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0" yWindow="360" windowWidth="20730" windowHeight="9375" tabRatio="937" activeTab="3"/>
  </bookViews>
  <sheets>
    <sheet name="BDI NÃO DESONERADO" sheetId="21" r:id="rId1"/>
    <sheet name="CFF NÃO DESONERADO" sheetId="4" r:id="rId2"/>
    <sheet name="COMPOSIÇÕES NÃO DESONERADO" sheetId="27" r:id="rId3"/>
    <sheet name="ORÇAMENTO NÃO DESONERADO" sheetId="3" r:id="rId4"/>
    <sheet name="ADM. 1" sheetId="16" r:id="rId5"/>
    <sheet name="SER.PREL.2" sheetId="5" r:id="rId6"/>
    <sheet name="PAV. 3" sheetId="28" r:id="rId7"/>
    <sheet name="URB. 4" sheetId="29" r:id="rId8"/>
    <sheet name="Terminal Rodoviário. 5" sheetId="41" r:id="rId9"/>
    <sheet name="SERV. DIV. 6" sheetId="18" r:id="rId10"/>
  </sheets>
  <externalReferences>
    <externalReference r:id="rId13"/>
  </externalReferences>
  <definedNames>
    <definedName name="_xlnm.Print_Area" localSheetId="4">'ADM. 1'!$A$1:$M$26</definedName>
    <definedName name="_xlnm.Print_Area" localSheetId="0">'BDI NÃO DESONERADO'!$A$1:$I$81</definedName>
    <definedName name="_xlnm.Print_Area" localSheetId="1">'CFF NÃO DESONERADO'!$A$1:$Q$37</definedName>
    <definedName name="_xlnm.Print_Area" localSheetId="2">'COMPOSIÇÕES NÃO DESONERADO'!$A$1:$J$48</definedName>
    <definedName name="_xlnm.Print_Area" localSheetId="3">'ORÇAMENTO NÃO DESONERADO'!$A$1:$I$219</definedName>
    <definedName name="_xlnm.Print_Area" localSheetId="6">'PAV. 3'!$A$1:$K$31</definedName>
    <definedName name="_xlnm.Print_Area" localSheetId="5">'SER.PREL.2'!$A$1:$K$33</definedName>
    <definedName name="_xlnm.Print_Area" localSheetId="9">'SERV. DIV. 6'!$A$1:$N$20</definedName>
    <definedName name="_xlnm.Print_Area" localSheetId="8">'Terminal Rodoviário. 5'!$A$1:$N$664</definedName>
    <definedName name="_xlnm.Print_Area" localSheetId="7">'URB. 4'!$A$1:$O$317</definedName>
    <definedName name="_xlnm.Print_Titles" localSheetId="3">'ORÇAMENTO NÃO DESONERADO'!$1:$10</definedName>
  </definedNames>
  <calcPr calcId="144525"/>
</workbook>
</file>

<file path=xl/sharedStrings.xml><?xml version="1.0" encoding="utf-8"?>
<sst xmlns="http://schemas.openxmlformats.org/spreadsheetml/2006/main" count="2445" uniqueCount="687">
  <si>
    <t xml:space="preserve"> m²</t>
  </si>
  <si>
    <t>1.1</t>
  </si>
  <si>
    <t>m³</t>
  </si>
  <si>
    <t>m²</t>
  </si>
  <si>
    <t>6.1</t>
  </si>
  <si>
    <t>6.2</t>
  </si>
  <si>
    <t>6.3</t>
  </si>
  <si>
    <t>Item</t>
  </si>
  <si>
    <t>Descrição dos Serviços</t>
  </si>
  <si>
    <t>Unid.</t>
  </si>
  <si>
    <t>Quant.</t>
  </si>
  <si>
    <t>Valor Unit.(R$)</t>
  </si>
  <si>
    <t>Valor Total(R$)</t>
  </si>
  <si>
    <t>ITEM</t>
  </si>
  <si>
    <t>DESCRIÇÃO</t>
  </si>
  <si>
    <t>1º MÊS</t>
  </si>
  <si>
    <t>2º MÊS</t>
  </si>
  <si>
    <t>3º MÊS</t>
  </si>
  <si>
    <t>4º MÊS</t>
  </si>
  <si>
    <t>TOTAL</t>
  </si>
  <si>
    <t>15 dias</t>
  </si>
  <si>
    <t>TOTAL DO MÊS (R$)</t>
  </si>
  <si>
    <t>TOTAL (%)</t>
  </si>
  <si>
    <t>ACUMULADO NO MÊS (R$)</t>
  </si>
  <si>
    <t>ACUMULADO (%)</t>
  </si>
  <si>
    <t>TOTAL DO GERAL (R$)</t>
  </si>
  <si>
    <t>%</t>
  </si>
  <si>
    <t>Valor BDI(R$)</t>
  </si>
  <si>
    <t xml:space="preserve">L= </t>
  </si>
  <si>
    <t>x</t>
  </si>
  <si>
    <t>=</t>
  </si>
  <si>
    <t>kg</t>
  </si>
  <si>
    <t>comprimento</t>
  </si>
  <si>
    <t>altura</t>
  </si>
  <si>
    <t>L=</t>
  </si>
  <si>
    <t>-</t>
  </si>
  <si>
    <t>largura</t>
  </si>
  <si>
    <t>Largura</t>
  </si>
  <si>
    <t>PLACA DE OBRA EM CHAPA DE ACO GALVANIZADO</t>
  </si>
  <si>
    <t>Data Base: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</si>
  <si>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</si>
  <si>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</si>
  <si>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</si>
  <si>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</si>
  <si>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</si>
  <si>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</si>
  <si>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</si>
  <si>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</si>
  <si>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ISS</t>
  </si>
  <si>
    <t>PIS</t>
  </si>
  <si>
    <t>COFINS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</si>
  <si>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</si>
  <si>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</si>
  <si>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</si>
  <si>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</si>
  <si>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</si>
  <si>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</si>
  <si>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</si>
  <si>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</si>
  <si>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</si>
  <si>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Proponente:</t>
  </si>
  <si>
    <t>Objeto:</t>
  </si>
  <si>
    <t>Endereço Da Obra:</t>
  </si>
  <si>
    <t>CONSTRUÇÃO DE EDIFÍCIOS</t>
  </si>
  <si>
    <t>MIN</t>
  </si>
  <si>
    <t>MED</t>
  </si>
  <si>
    <t>MAX</t>
  </si>
  <si>
    <t>BDI (%):</t>
  </si>
  <si>
    <t>BDI</t>
  </si>
  <si>
    <t>CONCRETO CICLOPICO FCK=10MPA 30% PEDRA DE MAO INCLUSIVE LANCAMENTO</t>
  </si>
  <si>
    <t xml:space="preserve">SERVIÇOS PRELIMINARES </t>
  </si>
  <si>
    <t>M2</t>
  </si>
  <si>
    <t>KG</t>
  </si>
  <si>
    <t>CUSTO TOTAL DA OBRA</t>
  </si>
  <si>
    <t>Comprimento</t>
  </si>
  <si>
    <t>SERVIÇOS DIVERSOS</t>
  </si>
  <si>
    <t>LIMPEZA GERAL E ENTREGA DA OBRA</t>
  </si>
  <si>
    <t>ADMINISTRAÇÃO LOCAL</t>
  </si>
  <si>
    <t>h</t>
  </si>
  <si>
    <t>ENCARREGADO GERAL COM ENCARGOS COMPLEMENTARES</t>
  </si>
  <si>
    <t>M</t>
  </si>
  <si>
    <t>m</t>
  </si>
  <si>
    <t>total</t>
  </si>
  <si>
    <t>UN.</t>
  </si>
  <si>
    <t>REPASSE</t>
  </si>
  <si>
    <t>EXECUÇÃO DE ALMOXARIFADO EM CANTEIRO DE OBRA EM CHAPA DE MADEIRA COMPENSADA, INCLUSO PRATELEIRAS. AF_02/2016</t>
  </si>
  <si>
    <t>FABRICAÇÃO DE FÔRMA PARA PILARES E ESTRUTURAS SIMILARES, EM CHAPA DE MADEIRA COMPENSADA RESINADA, E = 17 MM. AF_12/2015</t>
  </si>
  <si>
    <t>PINTURA ESMALTE ALTO BRILHO, DUAS DEMAOS, SOBRE SUPERFICIE METALICA</t>
  </si>
  <si>
    <t>1.2</t>
  </si>
  <si>
    <t>ENGENHEIRO CIVIL DE OBRA JUNIOR COM ENCARGOS COMPLEMENTARES</t>
  </si>
  <si>
    <t>M³</t>
  </si>
  <si>
    <t>PISO TÁTIL EM LADRILHO HIDRÁULICO DIRECIONAL E ALERTA, DIMENSÕES 20X20CM, E=2CM. INCL. PERDAS.</t>
  </si>
  <si>
    <t>M²</t>
  </si>
  <si>
    <t>FONTE</t>
  </si>
  <si>
    <t>CÓDIGO</t>
  </si>
  <si>
    <t>QUANT.</t>
  </si>
  <si>
    <t>VALOR UNITÁRIO</t>
  </si>
  <si>
    <t>VALOR TOTAL</t>
  </si>
  <si>
    <t>SINAPI</t>
  </si>
  <si>
    <t>LADRILHO HIDRAULICO, *20 X 20* CM, E= 2 CM, TATIL ALERTA OU DIRECIONAL, AMARELO</t>
  </si>
  <si>
    <t>AREIA MEDIA - POSTO JAZIDA/FORNECEDOR (RETIRADO NA JAZIDA, SEM TRANSPORTE)</t>
  </si>
  <si>
    <t>CIMENTO PORTLAND COMPOSTO CP II-32</t>
  </si>
  <si>
    <t>PEDREIRO COM ENCARGOS COMPLEMENTARES</t>
  </si>
  <si>
    <t>H</t>
  </si>
  <si>
    <t>SERVENTE COM ENCARGOS COMPLEMENTARES</t>
  </si>
  <si>
    <t>COMPOSIÇÃO 01</t>
  </si>
  <si>
    <t>UND.</t>
  </si>
  <si>
    <t>ESCAVAÇÃO MANUAL DE VALAS. AF_03/2016</t>
  </si>
  <si>
    <t>CONCRETO FCK = 15MPA, TRAÇO 1:3,4:3,5 (CIMENTO/ AREIA MÉDIA/ BRITA 1)- PREPARO MECÂNICO COM BETONEIRA 400 L. AF_07/2016</t>
  </si>
  <si>
    <t>TOTAL=</t>
  </si>
  <si>
    <t>total.</t>
  </si>
  <si>
    <t>peso de aco</t>
  </si>
  <si>
    <t>comp. Total</t>
  </si>
  <si>
    <t>kg/m</t>
  </si>
  <si>
    <t>+</t>
  </si>
  <si>
    <t>A=</t>
  </si>
  <si>
    <t>Município/UF:</t>
  </si>
  <si>
    <t xml:space="preserve">Responsável Técnico:    </t>
  </si>
  <si>
    <t xml:space="preserve"> MARUZA BAPTISTA </t>
  </si>
  <si>
    <t xml:space="preserve">Registro Profissional:  </t>
  </si>
  <si>
    <t>CAU:A 28510-2/PA</t>
  </si>
  <si>
    <t xml:space="preserve">URBANIZAÇÃO </t>
  </si>
  <si>
    <t>73924/001</t>
  </si>
  <si>
    <t>und</t>
  </si>
  <si>
    <t>UND</t>
  </si>
  <si>
    <t>COMPOSIÇÃO 03</t>
  </si>
  <si>
    <t>SERRALHEIRO COM ENCARGOS COMPLEMENTARES</t>
  </si>
  <si>
    <t>AUXILIAR DE SERRALHEIRO COM ENCARGOS COMPLEMENTARES</t>
  </si>
  <si>
    <t>FABRICAÇÃO, MONTAGEM E DESMONTAGEM DE FÔRMA PARA SAPATA, EM MADEIRA SERRADA, E=25 MM, 4 UTILIZAÇÕES. AF_06/2017</t>
  </si>
  <si>
    <t xml:space="preserve">TOTAL= </t>
  </si>
  <si>
    <t>4.1</t>
  </si>
  <si>
    <t>PLANTIO DE ARBUSTO COM ALTURA 50 A 100CM, EM CAVA DE 60X60X60CM</t>
  </si>
  <si>
    <t>PLANTIO DE GRAMA ESMERALDA EM ROLO</t>
  </si>
  <si>
    <t xml:space="preserve">FUNDAÇÃO </t>
  </si>
  <si>
    <t>PILAR</t>
  </si>
  <si>
    <t>ARMAÇÃO DE PILAR OU VIGA DE UMA ESTRUTURA CONVENCIONAL DE CONCRETO ARMADO EM UMA EDIFÍCAÇÃO TÉRREA OU SOBRADO UTILIZANDO AÇO CA-50 DE 6.3 MM</t>
  </si>
  <si>
    <t>ARMAÇÃO DE PILAR OU VIGA DE UMA ESTRUTURA CONVENCIONAL DE CONCRETO ARMADO EM UMA EDIFÍCAÇÃO TÉRREA OU SOBRADO UTILIZANDO AÇO CA-50 DE 5.0 MM - MONTAGEM. AF_12/2015</t>
  </si>
  <si>
    <t>LIXEIRA</t>
  </si>
  <si>
    <t>ESTRUTURA METALICA DO CESTO DA LIXEIRA</t>
  </si>
  <si>
    <t>UNID.</t>
  </si>
  <si>
    <t>TUBO DE AÇO PRETO SEM COSTURA, CONEXÃO SOLDADA, DN 50 (2"), INSTALADO EM PRUMADAS - FORNECIMENTO E INSTALAÇÃO. AF_12/2015</t>
  </si>
  <si>
    <t>PARAFUSO M16 EM ACO GALVANIZADO, COMPRIMENTO = 125 MM, DIAMETRO = 16 MM,ROSCA MAQUINA, CABECA QUADRADA</t>
  </si>
  <si>
    <t>CHAPA DE ACO GALVANIZADA BITOLA GSG 16, E = 1,55 MM (12,40 KG/M2)</t>
  </si>
  <si>
    <t>TELA DE ARAME ONDULADA, FIO *2,77* MM (10 BWG), MALHA 5 X 5 CM, H = 2 M</t>
  </si>
  <si>
    <t>BARRA DE FERRO RETANGULAR, BARRA CHATA, 2" X 1/4" (L X E), 2,53 KG/M</t>
  </si>
  <si>
    <t>SOLDADOR COM ENCARGOS COMPLEMENTARES</t>
  </si>
  <si>
    <t>( ver detalhe PRANCHA ESTRUTURAL LIXEIRAS-02/02)</t>
  </si>
  <si>
    <t>= pilar da lixeira</t>
  </si>
  <si>
    <t>(0,25+0,08)*0,80/2</t>
  </si>
  <si>
    <t>=- lado do trapezio</t>
  </si>
  <si>
    <t>lado</t>
  </si>
  <si>
    <t>lado (diagonal)</t>
  </si>
  <si>
    <t>=- lado 1 diagonal</t>
  </si>
  <si>
    <t>=- lado 2 fundos</t>
  </si>
  <si>
    <t xml:space="preserve">barra da armação da lixeira </t>
  </si>
  <si>
    <t xml:space="preserve">estribo da armação da lixeira </t>
  </si>
  <si>
    <t>CABO DE COBRE FLEXÍVEL ISOLADO, 4 MM², ANTI-CHAMA 450/750 V, PARA CIRCUITOS TERMINAIS - FORNECIMENTO E INSTALAÇÃO. AF_12/2015</t>
  </si>
  <si>
    <t>Subtotal item 1</t>
  </si>
  <si>
    <t>Subtotal item 2</t>
  </si>
  <si>
    <t>Subtotal item 4</t>
  </si>
  <si>
    <t>2.1</t>
  </si>
  <si>
    <t>2.2</t>
  </si>
  <si>
    <t>2.3</t>
  </si>
  <si>
    <t>CONTRAPARTIDA</t>
  </si>
  <si>
    <t>h/dia</t>
  </si>
  <si>
    <t>dias/mês</t>
  </si>
  <si>
    <t>duração</t>
  </si>
  <si>
    <t>H=</t>
  </si>
  <si>
    <t>5º MÊS</t>
  </si>
  <si>
    <t>6º MÊS</t>
  </si>
  <si>
    <t>7º MÊS</t>
  </si>
  <si>
    <t>Convênio:</t>
  </si>
  <si>
    <t>PLANILHA ORÇAMENTÁRIA - NÃO DESONERADA</t>
  </si>
  <si>
    <t>COMPOSIÇÃO ANALÍTICA DA TAXA DE BENEFÍCIO E DESPESAS INDIRETAS - BDI</t>
  </si>
  <si>
    <t>CRONOGRAMA FÍSICO-FINANCEIRO - CFF</t>
  </si>
  <si>
    <t>COMPOSIÇÕES DE PREÇO UNITÁRIOS - CPU</t>
  </si>
  <si>
    <t>MEMÓRIA DE CÁLCULO</t>
  </si>
  <si>
    <r>
      <rPr>
        <u val="single"/>
        <sz val="11"/>
        <rFont val="Calibri"/>
        <family val="2"/>
      </rPr>
      <t>4ø6</t>
    </r>
    <r>
      <rPr>
        <u val="single"/>
        <sz val="11"/>
        <rFont val="Arial"/>
        <family val="2"/>
      </rPr>
      <t>.3" - 90cm</t>
    </r>
  </si>
  <si>
    <r>
      <rPr>
        <u val="single"/>
        <sz val="11"/>
        <rFont val="Calibri"/>
        <family val="2"/>
      </rPr>
      <t>7ø</t>
    </r>
    <r>
      <rPr>
        <u val="single"/>
        <sz val="11"/>
        <rFont val="Arial"/>
        <family val="2"/>
      </rPr>
      <t>05.0" - 46 cm</t>
    </r>
  </si>
  <si>
    <t>74209/001</t>
  </si>
  <si>
    <t>SINAPI - INSUMO</t>
  </si>
  <si>
    <t>SINAPI - COMPOSIÇÃO</t>
  </si>
  <si>
    <t>Área total de locação</t>
  </si>
  <si>
    <t>5.1</t>
  </si>
  <si>
    <t>5.2</t>
  </si>
  <si>
    <t>Subtotal item 6</t>
  </si>
  <si>
    <t>X</t>
  </si>
  <si>
    <t>LASTRO DE CONCRETO, PREPARO MECÂNICO, INCLUSOS ADITIVO IMPERMEABILIZANTE, LANÇAMENTO E ADENSAMENTO</t>
  </si>
  <si>
    <t>FABRICAÇÃO, MONTAGEM E DESMONTAGEM DE FÔRMA PARA VIGA BALDRAME, EM MADEIRA SERRADA, E=25 MM, 4 UTILIZAÇÕES. AF_06/2017</t>
  </si>
  <si>
    <t>74106/001</t>
  </si>
  <si>
    <t>IMPERMEABILIZACAO DE ESTRUTURAS ENTERRADAS, COM TINTA ASFALTICA, DUAS DEMAOS.</t>
  </si>
  <si>
    <t>quant. De blocos</t>
  </si>
  <si>
    <t>Baldrame</t>
  </si>
  <si>
    <t>Blocos</t>
  </si>
  <si>
    <t>espessura</t>
  </si>
  <si>
    <t>Perímetro</t>
  </si>
  <si>
    <t>F=</t>
  </si>
  <si>
    <t>Arranques</t>
  </si>
  <si>
    <t>comp.</t>
  </si>
  <si>
    <t>C=</t>
  </si>
  <si>
    <t>Vigas Baldrame</t>
  </si>
  <si>
    <t>INFRAESTRUTURA</t>
  </si>
  <si>
    <t>Áreas de locação</t>
  </si>
  <si>
    <t>área</t>
  </si>
  <si>
    <t>SUPERESTRUTURA</t>
  </si>
  <si>
    <t>FABRICAÇÃO DE FÔRMA PARA PILARES E ESTRUTURAS SIMILARES, EM MADEIRA SERRADA, E=25 MM. AF_12/2015</t>
  </si>
  <si>
    <t>VIGAS</t>
  </si>
  <si>
    <t>FABRICAÇÃO DE FÔRMA PARA VIGAS, EM MADEIRA SERRADA, E=25 MM. AF_12/2015</t>
  </si>
  <si>
    <t>ALVENARIA</t>
  </si>
  <si>
    <t>ALVENARIA DE VEDAÇÃO DE BLOCOS CERÂMICOS FURADOS NA HORIZONTAL DE 9X19X19CM (ESPESSURA 9CM) DE PAREDES COM ÁREA LÍQUIDA MAIOR OU IGUAL A 6M²</t>
  </si>
  <si>
    <t>COBERTURA</t>
  </si>
  <si>
    <t>REVESTIMENTO</t>
  </si>
  <si>
    <t>CHAPISCO APLICADO EM ALVENARIA (SEM PRESENÇA DE VÃOS) E ESTRUTURAS DE CONCRETO DE FACHADA, COM COLHER DE PEDREIRO. ARGAMASSA TRAÇO 1:3 COM PREPARO MANUAL. AF_06/2014</t>
  </si>
  <si>
    <t>EMBOÇO, PARA RECEBIMENTO DE CERÂMICA, EM ARGAMASSA TRAÇO 1:2:8, PREPARO MECÂNICO COM BETONEIRA 400L, APLICADO MANUALMENTE EM FACES INTERNAS DE PAREDES, PARA AMBIENTE COM ÁREA MENOR QUE 5M2, ESPESSURA DE 20MM, COM EXECUÇÃO DE TALISCAS. AF_06/2014.</t>
  </si>
  <si>
    <t>GRANITO PARA BANCADA, POLIDO, TIPO ANDORINHA/ QUARTZ/ CASTELO/ CORUMBA OU OUTROS EQUIVALENTES DA REGIAO, E= *2,5* CM - Balcão de Atendimento</t>
  </si>
  <si>
    <t>PISO</t>
  </si>
  <si>
    <t>CONTRAPISO EM ARGAMASSA TRAÇO 1:4 (CIMENTO E AREIA), PREPARO MECÂNICO COM BETONEIRA 400 L, APLICADO EM ÁREAS SECAS SOBRE LAJE, ADERIDO, ESPESSURA 2CM. AF_06/2014</t>
  </si>
  <si>
    <t>REVESTIMENTO CERÂMICO PARA PISO COM PLACAS TIPO GRÊS DE DIMENSÕES 35X35 CM APLICADA EM AMBIENTES DE ÁREA ENTRE 5 M2 E 10 M2. AF_06/2014</t>
  </si>
  <si>
    <t>ESQUADRIAS</t>
  </si>
  <si>
    <t>PINTURA</t>
  </si>
  <si>
    <t>INSTALAÇÕES ELÉTRICAS</t>
  </si>
  <si>
    <t>CAIXA DE PASSAGEM 40X40X50 FUNDO BRITA COM TAMPA</t>
  </si>
  <si>
    <t>INSTALAÇÕES HIDROSANITÁRIAS</t>
  </si>
  <si>
    <t>altura do pilar</t>
  </si>
  <si>
    <t xml:space="preserve">   </t>
  </si>
  <si>
    <t>FT=</t>
  </si>
  <si>
    <t xml:space="preserve"> </t>
  </si>
  <si>
    <t>Área</t>
  </si>
  <si>
    <t>Área da alvenaria</t>
  </si>
  <si>
    <t>2 lados</t>
  </si>
  <si>
    <t>Ch=</t>
  </si>
  <si>
    <t xml:space="preserve">perimetro do pilar </t>
  </si>
  <si>
    <t>CH=</t>
  </si>
  <si>
    <t xml:space="preserve">altura do pilarete </t>
  </si>
  <si>
    <t>perímetro interno</t>
  </si>
  <si>
    <t>area med. Cad.</t>
  </si>
  <si>
    <t>BA=</t>
  </si>
  <si>
    <t>ARG=</t>
  </si>
  <si>
    <t>PM=</t>
  </si>
  <si>
    <t>externa</t>
  </si>
  <si>
    <t>PT=</t>
  </si>
  <si>
    <t>ESCAVAÇÃO MANUAL DE VALA COM PROFUNDIDADE MENOR OU IGUAL A 1,30 M. AF_03/2016</t>
  </si>
  <si>
    <t>REVESTIMENTO CERÂMICO PARA PAREDES INTERNAS COM PLACAS TIPO ESMALTADA EXTRA DE DIMENSÕES 20X20 CM APLICADAS EM AMBIENTES DE ÁREA MAIOR QUE 5M² NA ALTURA INTEIRA DAS PAREDES. AF_06/2014</t>
  </si>
  <si>
    <t xml:space="preserve">comprimento </t>
  </si>
  <si>
    <t>quant. pilar</t>
  </si>
  <si>
    <t>quant. pilares</t>
  </si>
  <si>
    <t>perímetro alvenaria</t>
  </si>
  <si>
    <t>74198/001</t>
  </si>
  <si>
    <t>FOSSA SÉPTICA EM ALVENARIA DE TIJOLO CERÂMICO MACIÇO, DIMENSÕES EXTERNAS DE 1,90X1,10X1,40 M, VOLUME DE 1.500 LITROS, REVESTIDO INTERNAMENTE COM MASSA ÚNICA E IMPERMEABILIZANTE E COM TAMPA DE CONCRETO ARMADO COM ESPESSURA DE 8 CM</t>
  </si>
  <si>
    <t>quant.</t>
  </si>
  <si>
    <t>ESTRUTURA</t>
  </si>
  <si>
    <t>LASTRO DE CONCRETO MAGRO, APLICADO EM BLOCOS DE COROAMENTO OU SAPATAS, ESPESSURA DE 5 CM. AF_08/2017</t>
  </si>
  <si>
    <t>Larg. + 0,10m</t>
  </si>
  <si>
    <t>Comp. + 0,10m</t>
  </si>
  <si>
    <t>quant.lixeiras</t>
  </si>
  <si>
    <t>quant. De lixeiras</t>
  </si>
  <si>
    <t>quant. De lados</t>
  </si>
  <si>
    <t>quant.de barra</t>
  </si>
  <si>
    <t xml:space="preserve">comp. de barra </t>
  </si>
  <si>
    <t>quant. de lixeira</t>
  </si>
  <si>
    <t>peso de aço</t>
  </si>
  <si>
    <t>quantidade</t>
  </si>
  <si>
    <t>comp. de estribo</t>
  </si>
  <si>
    <t xml:space="preserve">Larg. </t>
  </si>
  <si>
    <t xml:space="preserve">Comp. </t>
  </si>
  <si>
    <t>Altura + Lastro</t>
  </si>
  <si>
    <t>perim. Da forma</t>
  </si>
  <si>
    <t>BANCOS DE CONCRETO</t>
  </si>
  <si>
    <t>quant. De blocos por banco</t>
  </si>
  <si>
    <t>quant. De bancos</t>
  </si>
  <si>
    <t>comp. + 0,10</t>
  </si>
  <si>
    <t>largura + 0,10</t>
  </si>
  <si>
    <t>Blocos + arranques</t>
  </si>
  <si>
    <t>altura bloco+arranques+lastro</t>
  </si>
  <si>
    <t xml:space="preserve">comp. </t>
  </si>
  <si>
    <t xml:space="preserve">largura </t>
  </si>
  <si>
    <t>quant. blocos por banco</t>
  </si>
  <si>
    <t>quant. bancos</t>
  </si>
  <si>
    <t xml:space="preserve">perímetro </t>
  </si>
  <si>
    <t xml:space="preserve">Blocos </t>
  </si>
  <si>
    <t>perímetro do banco</t>
  </si>
  <si>
    <t>obs.: será considerado que o banco será concretado na horizontal e depois colocado no local final</t>
  </si>
  <si>
    <t>Assento</t>
  </si>
  <si>
    <t>Apoio</t>
  </si>
  <si>
    <t>2 apoios</t>
  </si>
  <si>
    <t>comprimento do assento</t>
  </si>
  <si>
    <t>ARMAÇÃO DE ESTRUTURAS DE CONCRETO ARMADO, EXCETO VIGAS, PILARES, LAJES E FUNDAÇÕES, UTILIZANDO AÇO CA-60 DE 5,0 MM - MONTAGEM. AF_12/2015</t>
  </si>
  <si>
    <t>ARMAÇÃO DE ESTRUTURAS DE CONCRETO ARMADO, EXCETO VIGAS, PILARES, LAJES E FUNDAÇÕES, UTILIZANDO AÇO CA-50 DE 8,0 MM - MONTAGEM. AF_12/2015</t>
  </si>
  <si>
    <t>CANTEIRO ELEVADO</t>
  </si>
  <si>
    <t>PEDRA BRITADA N. 1 (9,5 a 19 MM) POSTO PEDREIRA/FORNECEDOR, SEM FRETE</t>
  </si>
  <si>
    <t>SEIXO</t>
  </si>
  <si>
    <t>quant. de bancos</t>
  </si>
  <si>
    <t>SC</t>
  </si>
  <si>
    <t>GRANITO PARA BANCADA, POLIDO, TIPO ANDORINHA/ QUARTZ/ CASTELO/ CORUMBA OU OUTROS EQUIVALENTES DA REGIAO, E= *2,5* CM</t>
  </si>
  <si>
    <t>BARRA DE APOIO LAVATORIO, EM ACO INOX POLIDO, *40 X 50* CM, DIAMETRO MINIMO 3 CM</t>
  </si>
  <si>
    <t>COMPOSIÇÃO 10</t>
  </si>
  <si>
    <t>73992/001</t>
  </si>
  <si>
    <t>LOCACAO CONVENCIONAL DE OBRA, ATRAVÉS DE GABARITO DE TABUAS CORRIDAS PONTALETADAS A CADA 1,50M, SEM REAPROVEITAMENTO</t>
  </si>
  <si>
    <t>863064/2017</t>
  </si>
  <si>
    <t>PREFEITURA MUNICIPAL DE OURÉM</t>
  </si>
  <si>
    <t>OURÉM/PA</t>
  </si>
  <si>
    <t>CONSTRUÇÃO DE TERMINAL RODOVIÁRIO ETAPA-01</t>
  </si>
  <si>
    <t>RUA JOAQUIM DIONISIO COM RUA PERSEVERANDO S/N. PRAÇA DO TERMINAL OURÉM/PA</t>
  </si>
  <si>
    <t>TERMINAL RODOVIARIO</t>
  </si>
  <si>
    <t>Área construida =</t>
  </si>
  <si>
    <t>EXECUÇÃO DE PASSEIO (CALÇADA) OU PISO DE CONCRETO COM CONCRETO MOLDADO IN LOCO, FEITO EM OBRA, ACABAMENTO CONVENCIONAL, ESPESSURA 6 CM, ARMA
DO. AF_07/2016</t>
  </si>
  <si>
    <t xml:space="preserve">Piso da área externa </t>
  </si>
  <si>
    <t xml:space="preserve">GRAMA </t>
  </si>
  <si>
    <t>NOTA: todas as áreas estão identificadas na planta baixa.</t>
  </si>
  <si>
    <t>FUNDAÇÃO - VIGA BALDRAME CORRIDA</t>
  </si>
  <si>
    <t xml:space="preserve">CONCRETO CICLOPICO FCK=10MPA 30% PEDRA DE MAO INCLUSIVE LANCAMENTO </t>
  </si>
  <si>
    <t xml:space="preserve">quant. de canteiros </t>
  </si>
  <si>
    <t>volume total</t>
  </si>
  <si>
    <t>ALVENARIA DE VEDAÇÃO DE BLOCOS CERÂMICOS FURADOS NA HORIZONTAL DE 9X19X19CM (ESPESSURA 9CM) DE PAREDES COM ÁREA LÍQUIDA MAIOR OU IGUAL A 6M² SEM VÃOS</t>
  </si>
  <si>
    <t>Área  total</t>
  </si>
  <si>
    <t>faces</t>
  </si>
  <si>
    <t>MASSA ÚNICA, PARA RECEBIMENTO DE PINTURA, EM ARGAMASSA TRAÇO 1:2:8, PREPARO MECÂNICO COM BETONEIRA 400L, APLICADA MANUALMENTE EM FACES INTER NAS DE PAREDES, ESPESSURA DE 20MM, COM EXECUÇÃO DE TALISCAS. AF_06/2014</t>
  </si>
  <si>
    <t xml:space="preserve"> APLICAÇÃO DE FUNDO SELADOR LÁTEX PVA EM PAREDES, UMA DEMÃO. AF_06/2014 </t>
  </si>
  <si>
    <t>perimetro da alvenaria</t>
  </si>
  <si>
    <t>ATERRO</t>
  </si>
  <si>
    <t xml:space="preserve"> TERRA VEGETAL (GRANEL) </t>
  </si>
  <si>
    <t>fundação corrida</t>
  </si>
  <si>
    <t>paredes do canteiro</t>
  </si>
  <si>
    <t>canteiro</t>
  </si>
  <si>
    <t>área total</t>
  </si>
  <si>
    <t>ALVENARIA JARDIM</t>
  </si>
  <si>
    <t>C</t>
  </si>
  <si>
    <t>AREA M²</t>
  </si>
  <si>
    <t>QUANT</t>
  </si>
  <si>
    <t xml:space="preserve">ALVENARIA BANHEIROS </t>
  </si>
  <si>
    <t>VÃOS PORTAS</t>
  </si>
  <si>
    <t>L</t>
  </si>
  <si>
    <t>ALVENARIA TERMINAL</t>
  </si>
  <si>
    <t>VÃOS JANELAS</t>
  </si>
  <si>
    <t>ALVENARIA TOTAL</t>
  </si>
  <si>
    <t>VÃOS</t>
  </si>
  <si>
    <t xml:space="preserve">Tubulações e Conexões em PVC </t>
  </si>
  <si>
    <t>TUBO PVC, SOLDAVEL, DN 20 MM, AGUA FRIA (NBR-5648)</t>
  </si>
  <si>
    <t>TUBO PVC, SOLDAVEL, DN 25 MM, AGUA FRIA (NBR-5648)</t>
  </si>
  <si>
    <t>TUBO PVC, SOLDAVEL, DN 32 MM, AGUA FRIA (NBR-5648)</t>
  </si>
  <si>
    <t>JOELHO PVC, SOLDAVEL, COM BUCHA DE LATAO, 90 GRAUS, 20 MM X 1/2", PARA AGUA FRIA PREDIAL</t>
  </si>
  <si>
    <t>JOELHO PVC, SOLDAVEL, 90 GRAUS, 25 MM, PARA AGUA FRIA PREDIAL</t>
  </si>
  <si>
    <t>JOELHO PVC, SOLDAVEL, 90 GRAUS, 20 MM, PARA AGUA FRIA PREDIAL</t>
  </si>
  <si>
    <t>BUCHA DE REDUCAO DE PVC, SOLDAVEL, CURTA, COM 25 X 20 MM, PARA AGUA FRIA PREDIAL</t>
  </si>
  <si>
    <t>TE SOLDAVEL, PVC, 90 GRAUS, 20 MM, PARA AGUA FRIA PREDIAL (NBR 5648)</t>
  </si>
  <si>
    <t>TE SOLDAVEL, PVC, 90 GRAUS, 25 MM, PARA AGUA FRIA PREDIAL (NBR 5648)</t>
  </si>
  <si>
    <t>REGISTRO DE GAVETA BRUTO, LATÃO, ROSCÁVEL, 1/2", COM ACABAMENTO E CANOPLA CROMADOS. FORNECIDO E INSTALADO EM RAMAL DE ÁGUA. AF_12/2014</t>
  </si>
  <si>
    <t>LUVA PVC SOLDAVEL, 32 MM, PARA AGUA FRIA PREDIAL</t>
  </si>
  <si>
    <t>FILTRO ANAEROBIO, EM POLIETILENO DE ALTA DENSIDADE (PEAD), CAPACIDADE *5000* LITROS (NBR 13969)</t>
  </si>
  <si>
    <t xml:space="preserve">SUMIDOURO EM ALVENARIA DE TIJOLO CERAMICO MACICO DIAMETRO 1,20M E ALTU  </t>
  </si>
  <si>
    <t>Sistema Fossa/Sumidouro</t>
  </si>
  <si>
    <t>CAIXA SIFONADA PVC, 150 X 150 X 50 MM, COM GRELHA REDONDA BRANCA</t>
  </si>
  <si>
    <t>Acessórios e Complementos</t>
  </si>
  <si>
    <t>TERMINAL DE VENTILACAO, 50 MM, SERIE NORMAL, ESGOTO PREDIAL</t>
  </si>
  <si>
    <t>JUNCAO SIMPLES, PVC SERIE R, DN 100 X 100 MM, PARA ESGOTO PREDIAL</t>
  </si>
  <si>
    <t>JUNCAO SIMPLES, PVC, DN 50 X 50 MM, SERIE NORMAL PARA ESGOTO PREDIAL</t>
  </si>
  <si>
    <t>JOELHO, PVC SERIE R, 45 GRAUS, DN 40 MM, PARA ESGOTO PREDIAL</t>
  </si>
  <si>
    <t>JOELHO, PVC SERIE R, 45 GRAUS, DN 50 MM, PARA ESGOTO PREDIAL</t>
  </si>
  <si>
    <t>JOELHO, PVC SERIE R, 45 GRAUS, DN 100 MM, PARA ESGOTO PREDIAL</t>
  </si>
  <si>
    <t>JOELHO, PVC SERIE R, 90 GRAUS, DN 40 MM, PARA ESGOTO PREDIAL</t>
  </si>
  <si>
    <t>JOELHO, PVC SERIE R, 90 GRAUS, DN 50 MM, PARA ESGOTO PREDIAL</t>
  </si>
  <si>
    <t>JOELHO, PVC SERIE R, 90 GRAUS, DN 100 MM, PARA ESGOTO PREDIAL</t>
  </si>
  <si>
    <t>TUBO PVC SERIE NORMAL, DN 40 MM, PARA ESGOTO PREDIAL (NBR 5688)</t>
  </si>
  <si>
    <t>TUBO PVC SERIE NORMAL, DN 50 MM, PARA ESGOTO PREDIAL (NBR 5688)</t>
  </si>
  <si>
    <t>TUBO PVC SERIE NORMAL, DN 100 MM, PARA ESGOTO PREDIAL (NBR 5688)</t>
  </si>
  <si>
    <t>Tubulações e Conexões de PVC</t>
  </si>
  <si>
    <t>Instalação Sanitária</t>
  </si>
  <si>
    <t>Louças e Metais</t>
  </si>
  <si>
    <t>Louças</t>
  </si>
  <si>
    <t>VASO SANITÁRIO SIFONADO COM CAIXA ACOPLADA LOUÇA BRANCA - PADRÃO MÉDIO - FORNECIMENTO E INSTALAÇÃO.</t>
  </si>
  <si>
    <t>ENGATE FLEXÍVEL EM PLÁSTICO BRANCO, 1/2" X 40CM</t>
  </si>
  <si>
    <t>VÁLVULA EM PLÁSTICO 1" PARA PIA, TANQUE OU LAVATÓRIO</t>
  </si>
  <si>
    <t xml:space="preserve">LAVATÓRIO LOUÇA BRANCA COM COLUNA, *44 X 35,5* CM, PADRÃO POPULAR, INCLUSO SIFÃO FLEXÍVEL EM PVC, VÁLVULA E ENGATE FLEXÍVEL 30CM EM PLÁSTICO E COM TORNEIRA CROMADA PADRÃO POPULAR - FORNECIMENTO E INSTALAÇÃO. </t>
  </si>
  <si>
    <t>ASSENTO SANITARIO DE PLASTICO, TIPO CONVENCIONAL</t>
  </si>
  <si>
    <t>TORNEIRA CROMADA DE MESA PARA LAVATORIO, PADRAO POPULAR, 1/2 " OU 3/4 " (REF1193)</t>
  </si>
  <si>
    <t>BARRA DE APOIO RETA, EM ACO INOX POLIDO, COMPRIMENTO 90 CM, DIAMETRO MINIMO 3 CM</t>
  </si>
  <si>
    <t>PAPELEIRA DE PAREDE EM METAL CROMADO SEM TAMPA</t>
  </si>
  <si>
    <t>TOALHEIRO PLASTICO TIPO DISPENSER PARA PAPEL TOALHA INTERFOLHADO</t>
  </si>
  <si>
    <t>SABONETEIRA PLASTICA TIPO DISPENSER PARA SABONETE LIQUIDO COM RESERVATORIO 800 A 1500 ML</t>
  </si>
  <si>
    <t>LUMINARIA DE EMBUTIR EM CHAPA DE ACO PARA 2 LAMPADAS FLUORESCENTES DE 14 W COM REFLETOR E ALETAS EM ALUMINIO, COMPLETA (INCLUI REATOR E LAMPADAS)</t>
  </si>
  <si>
    <t>LUMINÁRIA TIPO CALHA, DE SOBREPOR, COM 2 LÂMPADAS TUBULARES DE 36 W - FORNECIMENTO E INSTALAÇÃO. AF_11/2017</t>
  </si>
  <si>
    <t>LUMINÁRIA TIPO CALHA, DE SOBREPOR, COM 1 LÂMPADA TUBULAR DE 18 W FORNECIMENTO E INSTALAÇÃO. AF_11/2017</t>
  </si>
  <si>
    <t>TOMADA 2P+T 10A, 250V, CONJUNTO MONTADO PARA EMBUTIR 4" X 2" (PLACA + SUPORTE +MODULOR)</t>
  </si>
  <si>
    <t>INTERRUPTOR SIMPLES 10A, 250V, CONJUNTO MONTADO PARA EMBUTIR 4" X 2" (PLACA +SUPORTE + MODULO)</t>
  </si>
  <si>
    <t>INTERRUPTORES SIMPLES (2 MODULOS) 10A, 250V, CONJUNTO MONTADO PARA EMBUTIR 4"X 2" (PLACA + SUPORTE + MODULOS)</t>
  </si>
  <si>
    <t>INTERRUPTOR SIMPLES + TOMADA 2P+T 10A, 250V, CONJUNTO MONTADO PARA EMBUTIR 4"X 2" (PLACA + SUPORTE + MODULOS)</t>
  </si>
  <si>
    <t>CAIXA DE PASSAGEM, EM PVC, DE 4" X 2", PARA ELETRODUTO FLEXIVEL CORRUGADO</t>
  </si>
  <si>
    <t>QUADRO DE DISTRIBUICAO, COM BARRAMENTO TERRA / NEUTRO, DE EMBUTIR, PARA 8 DISJUNTORES DIN</t>
  </si>
  <si>
    <t>74130/001</t>
  </si>
  <si>
    <t>DISJUNTOR TERMOMAGNETICO MONOPOLAR PADRAO NEMA (AMERICANO) 10 A 30A 240V, FORNECIMENTO E INSTALACAO</t>
  </si>
  <si>
    <t>ELETRODUTO FLEXÍVEL CORRUGADO, PVC, DN 25 MM (3/4"), PARA CIRCUITOS TE RMINAIS, INSTALADO EM LAJE - FORNECIMENTO E INSTALAÇÃO. AF_12/2015</t>
  </si>
  <si>
    <t>CURVA 90 GRAUS PARA ELETRODUTO, PVC, ROSCÁVEL, DN 25 MM (3/4"), PARA CIRCUITOS TERMINAIS, INSTALADA EM LAJE - FORNECIMENTO E INSTALAÇÃO. AF_12/2015</t>
  </si>
  <si>
    <t xml:space="preserve">ELETRODUTO RÍGIDO ROSCÁVEL, PVC, DN 25 MM (3/4"), PARA CIRCU ITOS TERMINAIS, INSTALADO EM FORRO - FORNECIMENTO E INSTALAÇÃO. AF_12/2015 </t>
  </si>
  <si>
    <t>LUVA PARA ELETRODUTO, PVC, SOLDÁVEL, DN 25 MM (3/4), APARENTE, INSTALADA EM TETO - FORNECIMENTO E INSTALAÇÃO. AF_11/2016_P</t>
  </si>
  <si>
    <t>PERFILADO PERFURADO SIMPLES 38 X 38 MM, CHAPA 22</t>
  </si>
  <si>
    <t>CAIXA DE PROTECAO PARA 1 MEDIDOR MONOFASICO, EM CHAPA DE ACO 20 USG (PADRAO DA CONCESSIONARIA LOCAL)</t>
  </si>
  <si>
    <t>HASTE DE ATERRAMENTO 3/4 PARA SPDA - FORNECIMENTO E INSTALAÇÃO. AF_12/2017</t>
  </si>
  <si>
    <t>CABO DE COBRE FLEXÍVEL ISOLADO, 2,5 MM², ANTI-CHAMA 450/750 V, PARA CIRCUITOS TERMINAIS - FORNECIMENTO E INSTALAÇÃO. AF_12/2015</t>
  </si>
  <si>
    <t>MOVIMENTO DE TERRA</t>
  </si>
  <si>
    <t xml:space="preserve"> REATERRO MANUAL DE VALAS COM COMPACTAÇÃO MECANIZADA. AF_04/2017</t>
  </si>
  <si>
    <t>ESCAVAÇÃO MANUAL PARA BLOCO DE COROAMENTO OU SAPATA, COM PREVISÃO DE FÔRMA. AF_06/2017</t>
  </si>
  <si>
    <t>Sapatas</t>
  </si>
  <si>
    <t>larg.</t>
  </si>
  <si>
    <t>1,5(pescoço)+0,1m</t>
  </si>
  <si>
    <t>quant. de sapatas</t>
  </si>
  <si>
    <t>larg. viga+0,1m</t>
  </si>
  <si>
    <t>alt. viga+0,1m</t>
  </si>
  <si>
    <t>quant. de vigas</t>
  </si>
  <si>
    <t>volume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</si>
  <si>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</si>
  <si>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</si>
  <si>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</si>
  <si>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</si>
  <si>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</si>
  <si>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</si>
  <si>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</si>
  <si>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</si>
  <si>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</si>
  <si>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</si>
  <si>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</si>
  <si>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</si>
  <si>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</si>
  <si>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</si>
  <si>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</si>
  <si>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</si>
  <si>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</si>
  <si>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</si>
  <si>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</si>
  <si>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</si>
  <si>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</si>
  <si>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</si>
  <si>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Esp.. Viga-0,03m</t>
  </si>
  <si>
    <t>Área de forma</t>
  </si>
  <si>
    <t>nota: o comprimento total é soma dos comprimentos das vaigas baldrame.</t>
  </si>
  <si>
    <t>comprimento total</t>
  </si>
  <si>
    <t>ARMAÇÃO DE PILAR OU VIGA DE UMA ESTRUTURA CONVENCIONAL DE CONCRETO ARMADO EM UMA EDIFICAÇÃO TÉRREA OU SOBRADO UTILIZANDO AÇO CA-60 DE 5,0 MM - MONTAGEM. AF_12/2015</t>
  </si>
  <si>
    <t>ARMAÇÃO DE PILAR OU VIGA DE UMA ESTRUTURA CONVENCIONAL DE CONCRETO ARMADO EM UMA EDIFICAÇÃO TÉRREA OU SOBRADO UTILIZANDO AÇO CA-50 DE 6,3 MM - MONTAGEM. AF_12/2015</t>
  </si>
  <si>
    <t>ARMAÇÃO DE PILAR OU VIGA DE UMA ESTRUTURA CONVENCIONAL DE CONCRETO ARMADO EM UMA EDIFICAÇÃO TÉRREA OU SOBRADO UTILIZANDO AÇO CA-50 DE 10,0 MM - MONTAGEM. AF_12/2015</t>
  </si>
  <si>
    <t>ARMAÇÃO DE PILAR OU VIGA DE UMA ESTRUTURA CONVENCIONAL DE CONCRETO ARMADO EM UMA EDIFICAÇÃO TÉRREA OU SOBRADO UTILIZANDO AÇO CA-50 DE 12,5 MM - MONTAGEM. AF_12/2015</t>
  </si>
  <si>
    <t>ARMAÇÃO DE PILAR OU VIGA DE UMA ESTRUTURA CONVENCIONAL DE CONCRETO ARMADO EM UMA EDIFICAÇÃO TÉRREA OU SOBRADO UTILIZANDO AÇO CA-50 DE 8,0 MM - MONTAGEM. AF_12/2015</t>
  </si>
  <si>
    <t xml:space="preserve"> CONCRETO FCK = 20MPA, TRAÇO 1:2,7:3 (CIMENTO/ AREIA MÉDIA/ BRITA 1) </t>
  </si>
  <si>
    <t xml:space="preserve">EXECUÇÃO DE ESTRUTURA DE CONCRETO ARMADO, FCK = 20 MPA, AMAÇÃO: 5,0MM,6,3MM,10,0MM,12,5MM E 8,0MM/ AÇO CA-50 E CA-60.
</t>
  </si>
  <si>
    <t>volume total de  escavação</t>
  </si>
  <si>
    <t>volume total de  concreto</t>
  </si>
  <si>
    <t>volume total de reaterro</t>
  </si>
  <si>
    <t>larg. Viga</t>
  </si>
  <si>
    <t>Alt.. Viga</t>
  </si>
  <si>
    <t>Vigas Respaldo</t>
  </si>
  <si>
    <t>Viga rerspaldo</t>
  </si>
  <si>
    <t>nota: o comprimento total é soma dos comprimentos das vaigas respaldo</t>
  </si>
  <si>
    <t>73866/007</t>
  </si>
  <si>
    <t>ESTRUTURA PARA COBERTURA TIPO SHED, EM ALUMINIO ANODIZADO, VAO DE 20M, ESPACAMENTO DAS TESOURAS DE 5M ATE 6,5M</t>
  </si>
  <si>
    <t>LAJE</t>
  </si>
  <si>
    <t>74141/003</t>
  </si>
  <si>
    <t xml:space="preserve"> LAJE PRE-MOLD BETA 16 P/3,5KN/M2 VAO 5,2M INCL VIGOTAS TIJOLOS ARMADURA NEGATIVA CAPEAMENTO 3CM CONCRETO 15MPA ESCORAMENTO MATERIAL E MAO DE OBRA.</t>
  </si>
  <si>
    <t>TELHAMENTO COM TELHA DE AÇO/ALUMÍNIO E = 0,5 MM, COM ATÉ 2 ÁGUAS, INCLUSO IÇAMENTO. AF_06/2016</t>
  </si>
  <si>
    <t>Cerâmica / Paredes banheiros</t>
  </si>
  <si>
    <t xml:space="preserve">quant. </t>
  </si>
  <si>
    <t>Área Circulação</t>
  </si>
  <si>
    <t>Á.banheiros</t>
  </si>
  <si>
    <t>Á. Guichê</t>
  </si>
  <si>
    <t>Á. Banheiros</t>
  </si>
  <si>
    <t>PISO INDUSTRIAL DE ALTA RESISTENCIA, ESPESSURA 8MM, INCLUSO JUNTAS DE DILATACAO PLASTICAS E POLIMENTO MECANIZADO</t>
  </si>
  <si>
    <t>Á. Circulação</t>
  </si>
  <si>
    <t>APLICAÇÃO MANUAL DE PINTURA COM TINTA LÁTEX ACRÍLICA EM PAREDES, DUAS DEMÃOS. AF_06/2014</t>
  </si>
  <si>
    <t>JANELA DE ALUMÍNIO MAXIM-AR, FIXAÇÃO COM PARAFUSO, VEDAÇÃO COM ESPUMA EXPANSIVA PU, COM VIDROS, PADRONIZADA. AF_07/2016</t>
  </si>
  <si>
    <t>Janelas - Guichês</t>
  </si>
  <si>
    <t>Janelas - Banheiros</t>
  </si>
  <si>
    <t>PORTA EM ALUMÍNIO DE ABRIR TIPO VENEZIANA COM GUARNIÇÃO, FIXAÇÃO COM PARAFUSOS - FORNECIMENTO E INSTALAÇÃO. AF_08/2015</t>
  </si>
  <si>
    <t>FECHADURA DE EMBUTIR PARA PORTA DE BANHEIRO, COMPLETA, ACABAMENTO PADRÃO MÉDIO, INCLUSO EXECUÇÃO DE FURO - FORNECIMENTO E INSTALAÇÃO. AF_08/2015</t>
  </si>
  <si>
    <t>quant. de cabine</t>
  </si>
  <si>
    <t>quant. de jan</t>
  </si>
  <si>
    <t>Portas - Sanitário 80cm</t>
  </si>
  <si>
    <t>Portas - Sanitário 90cm</t>
  </si>
  <si>
    <t>PORTA DE MADEIRA PARA PINTURA, SEMI-OCA (LEVE OU MÉDIA), 80X210CM, ESPESSURA DE 3,5CM, INCLUSO DOBRADIÇAS - FORNECIMENTO E INSTALAÇÃO. AF_08/2015</t>
  </si>
  <si>
    <t>FECHADURA DE EMBUTIR COM CILINDRO, EXTERNA, COMPLETA, ACABA MENTO PADRÃO MÉDIO, INCLUSO EXECUÇÃO DE FURO - FORNECIMENTO E INSTALAÇÃO. AF_08/2015</t>
  </si>
  <si>
    <t>PORTA DE MADEIRA PARA PINTURA, SEMI-OCA (LEVE OU MÉDIA), 90X210CM, ESPESSURA DE 3,5CM, INCLUSO DOBRADIÇAS - FORNECIMENTO E INSTALAÇÃO. AF_08/2016</t>
  </si>
  <si>
    <t>Portas - Sanitário cabines</t>
  </si>
  <si>
    <t>PORTA DE MADEIRA PARA PINTURA, SEMI-OCA (LEVE OU MÉDIA), 70X210CM, ESPESSURA DE 3,5CM, INCLUSO DOBRADIÇAS - FORNECIMENTO E INSTALAÇÃO. AF_08/2015</t>
  </si>
  <si>
    <t>FECHADURA DE EMBUTIR COM CILINDRO, EXTERNA, COMPLETA, ACABA MENTO PADRÃO MÉDIO, INCLUSO EXECUÇÃO DE FURO - FORNECIMENTO E INSTALAÇÃO. AF_08/2
015</t>
  </si>
  <si>
    <t>Portas - Guichês 70cm</t>
  </si>
  <si>
    <t>COMPOSIÇÃO 02</t>
  </si>
  <si>
    <t>5.3</t>
  </si>
  <si>
    <t>5.4.1</t>
  </si>
  <si>
    <t>5.3.1</t>
  </si>
  <si>
    <t>5.3.2</t>
  </si>
  <si>
    <t>5.4.2</t>
  </si>
  <si>
    <t>5.5</t>
  </si>
  <si>
    <t>5.5.1</t>
  </si>
  <si>
    <t xml:space="preserve">quantidade </t>
  </si>
  <si>
    <t>B</t>
  </si>
  <si>
    <t>pilares</t>
  </si>
  <si>
    <t>altura-desc.viga</t>
  </si>
  <si>
    <t>PILARES</t>
  </si>
  <si>
    <t>ÁREA DE ESQUADRIAS</t>
  </si>
  <si>
    <t>UNID</t>
  </si>
  <si>
    <t>PORTA- SANITARIO 80</t>
  </si>
  <si>
    <t>PORTA- SANITARIO 90</t>
  </si>
  <si>
    <t>PORTA- SANITARIO 70</t>
  </si>
  <si>
    <t>ÁREA DE REVESTIMENTO CERÂMICO</t>
  </si>
  <si>
    <t>ÁREA TOTAL DE ESQUADRIAS</t>
  </si>
  <si>
    <r>
      <rPr>
        <b/>
        <sz val="11"/>
        <rFont val="Arial"/>
        <family val="2"/>
      </rPr>
      <t>B</t>
    </r>
    <r>
      <rPr>
        <sz val="11"/>
        <rFont val="Arial"/>
        <family val="2"/>
      </rPr>
      <t>-TOTAL=</t>
    </r>
  </si>
  <si>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-TOTAL=</t>
    </r>
  </si>
  <si>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- TOTAL=</t>
    </r>
  </si>
  <si>
    <t>(A)</t>
  </si>
  <si>
    <t>(B)</t>
  </si>
  <si>
    <t>Área de esquadrias</t>
  </si>
  <si>
    <t>(c)</t>
  </si>
  <si>
    <t>soma</t>
  </si>
  <si>
    <t>(A+B)</t>
  </si>
  <si>
    <t>Área de pintura</t>
  </si>
  <si>
    <t>(x)</t>
  </si>
  <si>
    <t>Área de pintura é = X=C-A+B</t>
  </si>
  <si>
    <t>Área Rev. Cerâmico</t>
  </si>
  <si>
    <t>Área Alvenaria</t>
  </si>
  <si>
    <t>DETALHAMENTO DO B.D.I. - Edificação</t>
  </si>
  <si>
    <t>DETALHAMENTO DO B.D.I. - Materiais</t>
  </si>
  <si>
    <t>3.1</t>
  </si>
  <si>
    <t>4.2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</si>
  <si>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</si>
  <si>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</si>
  <si>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</si>
  <si>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</si>
  <si>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</si>
  <si>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</si>
  <si>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</si>
  <si>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</si>
  <si>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</si>
  <si>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</si>
  <si>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</si>
  <si>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</si>
  <si>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</si>
  <si>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</si>
  <si>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</si>
  <si>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</si>
  <si>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</si>
  <si>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</si>
  <si>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</si>
  <si>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</si>
  <si>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4.5</t>
  </si>
  <si>
    <t>4.5.1</t>
  </si>
  <si>
    <t>4.5.2</t>
  </si>
  <si>
    <t>4.5.3</t>
  </si>
  <si>
    <t>4.5.4</t>
  </si>
  <si>
    <t>4.6.5</t>
  </si>
  <si>
    <t>4.6.6</t>
  </si>
  <si>
    <t>4.6.7</t>
  </si>
  <si>
    <t>4.6.8</t>
  </si>
  <si>
    <t>5</t>
  </si>
  <si>
    <t>5.1.1</t>
  </si>
  <si>
    <t>5.1.2</t>
  </si>
  <si>
    <t>5.2.1</t>
  </si>
  <si>
    <t>5.2.2</t>
  </si>
  <si>
    <t>5.2.3</t>
  </si>
  <si>
    <t>5.2.4</t>
  </si>
  <si>
    <t>5.4</t>
  </si>
  <si>
    <t>5.6</t>
  </si>
  <si>
    <t>5.6.1</t>
  </si>
  <si>
    <t>5.7</t>
  </si>
  <si>
    <t>5.7.1</t>
  </si>
  <si>
    <t>5.7.2</t>
  </si>
  <si>
    <t>5.8.1</t>
  </si>
  <si>
    <t>5.8.2</t>
  </si>
  <si>
    <t>5.8.3</t>
  </si>
  <si>
    <t>5.8.4</t>
  </si>
  <si>
    <t>5.9</t>
  </si>
  <si>
    <t>5.9.1</t>
  </si>
  <si>
    <t>5.9.2</t>
  </si>
  <si>
    <t>5.9.3</t>
  </si>
  <si>
    <t>5.10</t>
  </si>
  <si>
    <t>5.10.1</t>
  </si>
  <si>
    <t>5.10.2</t>
  </si>
  <si>
    <t>5.10.3</t>
  </si>
  <si>
    <t>5.10.4</t>
  </si>
  <si>
    <t>5.10.5</t>
  </si>
  <si>
    <t>5.10.6</t>
  </si>
  <si>
    <t>5.10.7</t>
  </si>
  <si>
    <t>5.10.8</t>
  </si>
  <si>
    <t>5.10.9</t>
  </si>
  <si>
    <t>5.10.10</t>
  </si>
  <si>
    <t>5.10.11</t>
  </si>
  <si>
    <t>5.11</t>
  </si>
  <si>
    <t>5.11.1</t>
  </si>
  <si>
    <t>5.12</t>
  </si>
  <si>
    <t>5.12.1</t>
  </si>
  <si>
    <t>5.12.2</t>
  </si>
  <si>
    <t>5.12.3</t>
  </si>
  <si>
    <t>5.12.4</t>
  </si>
  <si>
    <t>5.12.5</t>
  </si>
  <si>
    <t>5.12.6</t>
  </si>
  <si>
    <t>5.12.7</t>
  </si>
  <si>
    <t>5.12.8</t>
  </si>
  <si>
    <t>5.12.9</t>
  </si>
  <si>
    <t>5.12.10</t>
  </si>
  <si>
    <t>5.12.11</t>
  </si>
  <si>
    <t>5.12.12</t>
  </si>
  <si>
    <t>5.12.13</t>
  </si>
  <si>
    <t>5.12.14</t>
  </si>
  <si>
    <t>5.12.15</t>
  </si>
  <si>
    <t>5.12.16</t>
  </si>
  <si>
    <t>5.12.17</t>
  </si>
  <si>
    <t>5.12.18</t>
  </si>
  <si>
    <t>5.12.19</t>
  </si>
  <si>
    <t>5.12.20</t>
  </si>
  <si>
    <t>5.13</t>
  </si>
  <si>
    <t>5.13.1</t>
  </si>
  <si>
    <t>5.13.2</t>
  </si>
  <si>
    <t>5.13.3</t>
  </si>
  <si>
    <t>5.13.4</t>
  </si>
  <si>
    <t>5.13.5</t>
  </si>
  <si>
    <t>5.13.6</t>
  </si>
  <si>
    <t>5.13.7</t>
  </si>
  <si>
    <t>5.13.8</t>
  </si>
  <si>
    <t>5.13.9</t>
  </si>
  <si>
    <t>5.13.10</t>
  </si>
  <si>
    <t>5.13.11</t>
  </si>
  <si>
    <t>5.14</t>
  </si>
  <si>
    <t>5.14.1</t>
  </si>
  <si>
    <t>5.14.2</t>
  </si>
  <si>
    <t>5.14.3</t>
  </si>
  <si>
    <t>5.14.4</t>
  </si>
  <si>
    <t>5.14.5</t>
  </si>
  <si>
    <t>5.14.6</t>
  </si>
  <si>
    <t>5.14.7</t>
  </si>
  <si>
    <t>5.14.8</t>
  </si>
  <si>
    <t>5.14.9</t>
  </si>
  <si>
    <t>5.14.10</t>
  </si>
  <si>
    <t>5.14.11</t>
  </si>
  <si>
    <t>5.14.12</t>
  </si>
  <si>
    <t>5.14.13</t>
  </si>
  <si>
    <t>5.14.2.1</t>
  </si>
  <si>
    <t>5.14.2.2</t>
  </si>
  <si>
    <t>5.15</t>
  </si>
  <si>
    <t>5.15.1</t>
  </si>
  <si>
    <t>5.15.2</t>
  </si>
  <si>
    <t>5.15.3</t>
  </si>
  <si>
    <t>5.16</t>
  </si>
  <si>
    <t>5.16.1</t>
  </si>
  <si>
    <t>5.16.2</t>
  </si>
  <si>
    <t>5.16.3</t>
  </si>
  <si>
    <t>5.16.4</t>
  </si>
  <si>
    <t>5.16.5</t>
  </si>
  <si>
    <t>5.16.6</t>
  </si>
  <si>
    <t>5.16.7</t>
  </si>
  <si>
    <t>5.16.8</t>
  </si>
  <si>
    <t>5.16.9</t>
  </si>
  <si>
    <t>5.16.10</t>
  </si>
  <si>
    <t>5.16.11</t>
  </si>
  <si>
    <t>5.8</t>
  </si>
  <si>
    <t>3.2</t>
  </si>
  <si>
    <t xml:space="preserve">PAVIMENTAÇÃO EXTERNA </t>
  </si>
  <si>
    <t>PISO TATIL</t>
  </si>
  <si>
    <t>Comprimento. M</t>
  </si>
  <si>
    <t>Largura.</t>
  </si>
  <si>
    <t>Áreas de piso tatil</t>
  </si>
  <si>
    <t>ALVENARIA GUICHES</t>
  </si>
  <si>
    <t>B2=</t>
  </si>
  <si>
    <t>V1=</t>
  </si>
  <si>
    <t xml:space="preserve">altura </t>
  </si>
  <si>
    <t xml:space="preserve">DIVERSOS </t>
  </si>
  <si>
    <t>5.17</t>
  </si>
  <si>
    <t>5,17,1</t>
  </si>
  <si>
    <t>DIVISORIA EM GRANITO, COM DUAS FACES POLIDAS, TIPO ANDORINHA/ QUARTZ/ CASTELO/CORUMBA OU OUTROS EQUIVALENTES DA REGIAO, E= *3,0* CM</t>
  </si>
  <si>
    <t>Subtotal item 5</t>
  </si>
  <si>
    <t>Subtotal item 5.14</t>
  </si>
  <si>
    <t>Subtotal item 5.13</t>
  </si>
  <si>
    <t>Subtotal item 5.16</t>
  </si>
  <si>
    <t>Subtotal item 5.15</t>
  </si>
  <si>
    <t>Subtotal item 5.12</t>
  </si>
  <si>
    <t>Subtotal item 5.11</t>
  </si>
  <si>
    <t>Subtotal item 5.10</t>
  </si>
  <si>
    <t>Subtotal item 5.9</t>
  </si>
  <si>
    <t>Subtotal item 5.8</t>
  </si>
  <si>
    <t>Subtotal item 5.7</t>
  </si>
  <si>
    <t>Subtotal item 5.6</t>
  </si>
  <si>
    <t>Subtotal item 5.5</t>
  </si>
  <si>
    <t>Subtotal item 5.4</t>
  </si>
  <si>
    <t>Subtotal item 5.3</t>
  </si>
  <si>
    <t>Subtotal item 5.2</t>
  </si>
  <si>
    <t>Subtotal item 5.1</t>
  </si>
  <si>
    <t>Subtotal item 3</t>
  </si>
  <si>
    <t>Subtotal item 5.17</t>
  </si>
  <si>
    <t>janela do guichê</t>
  </si>
  <si>
    <t>5,17,2</t>
  </si>
  <si>
    <t>PORTA DE ENROLAR MANUAL COMPLETA, ARTICULADA RAIADA LARGA, EM ACO GALVANIZADO NATURAL, CHAPA NUMERO 24 (SEM INSTALACAO)</t>
  </si>
  <si>
    <t>OUREM/PA</t>
  </si>
  <si>
    <t>SINAPI ABRIL 2018 - NÃO DESONERADA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</si>
</sst>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;[Red]&quot;-R$ &quot;#,##0.00"/>
    <numFmt numFmtId="166" formatCode="#,##0.000;[Red]\-#,##0.000"/>
    <numFmt numFmtId="167" formatCode="_(&quot;R$ &quot;* #,##0.00_);_(&quot;R$ &quot;* \(#,##0.00\);_(&quot;R$ &quot;* &quot;-&quot;??_);_(@_)"/>
    <numFmt numFmtId="168" formatCode="0.00000"/>
    <numFmt numFmtId="169" formatCode="&quot;R$&quot;\ #,##0.00"/>
    <numFmt numFmtId="170" formatCode="_([$€]* #,##0.00_);_([$€]* \(#,##0.00\);_([$€]* &quot;-&quot;??_);_(@_)"/>
    <numFmt numFmtId="171" formatCode="#,##0.00;#,##0.00"/>
    <numFmt numFmtId="172" formatCode="###0.0;###0.0"/>
    <numFmt numFmtId="173" formatCode="_(&quot;R$&quot;* #,##0.00_);_(&quot;R$&quot;* \(#,##0.00\);_(&quot;R$&quot;* &quot;-&quot;??_);_(@_)"/>
    <numFmt numFmtId="174" formatCode="_-[$R$-416]\ * #,##0.00_-;\-[$R$-416]\ * #,##0.00_-;_-[$R$-416]\ * &quot;-&quot;??_-;_-@_-"/>
    <numFmt numFmtId="175" formatCode="0.000"/>
    <numFmt numFmtId="176" formatCode="#,##0.0;[Red]\-#,##0.0"/>
    <numFmt numFmtId="177" formatCode="[$-416]mmmm\-yy;@"/>
    <numFmt numFmtId="178" formatCode="&quot;R$ &quot;#,##0.00_);\(&quot;R$ &quot;#,##0.00\)"/>
    <numFmt numFmtId="179" formatCode="#,##0.00_ ;[Red]\-#,##0.00\ "/>
    <numFmt numFmtId="180" formatCode="0.0%"/>
    <numFmt numFmtId="181" formatCode="0.000%"/>
    <numFmt numFmtId="182" formatCode="_(* #,##0.000_);_(* \(#,##0.000\);_(* &quot;-&quot;??_);_(@_)"/>
  </numFmts>
  <fonts count="3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u val="single"/>
      <sz val="11"/>
      <name val="Arial"/>
      <family val="2"/>
    </font>
    <font>
      <sz val="10"/>
      <color rgb="FF000000"/>
      <name val="Times New Roman"/>
      <family val="1"/>
    </font>
    <font>
      <b/>
      <sz val="18"/>
      <color theme="1"/>
      <name val="Arial"/>
      <family val="2"/>
    </font>
    <font>
      <sz val="11"/>
      <color indexed="8"/>
      <name val="Arial"/>
      <family val="2"/>
    </font>
    <font>
      <u val="single"/>
      <sz val="11"/>
      <name val="Calibri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 val="singleAccounting"/>
      <sz val="11"/>
      <name val="Arial"/>
      <family val="2"/>
    </font>
    <font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000000"/>
      <name val="Times New Roman"/>
      <family val="2"/>
    </font>
    <font>
      <u val="single"/>
      <sz val="10"/>
      <color rgb="FF000000"/>
      <name val="Times New Roman"/>
      <family val="2"/>
    </font>
    <font>
      <sz val="11"/>
      <color rgb="FF00000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0.39998000860214233"/>
        <bgColor indexed="64"/>
      </patternFill>
    </fill>
    <fill>
      <patternFill patternType="solid">
        <fgColor rgb="FFFFFF00"/>
        <bgColor indexed="64"/>
      </patternFill>
    </fill>
  </fills>
  <borders count="1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/>
      <top/>
      <bottom/>
    </border>
    <border>
      <left/>
      <right style="medium">
        <color indexed="8"/>
      </right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thin"/>
      <right/>
      <top/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/>
      <top style="thin"/>
      <bottom style="hair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/>
      <top style="thin"/>
      <bottom style="hair">
        <color indexed="8"/>
      </bottom>
    </border>
    <border>
      <left/>
      <right style="thin"/>
      <top style="thin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/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 style="thin"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 style="medium"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</borders>
  <cellStyleXfs count="66">
    <xf numFmtId="17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>
      <alignment/>
      <protection/>
    </xf>
    <xf numFmtId="167" fontId="0" fillId="0" borderId="0" applyFont="0" applyFill="0" applyBorder="0" applyAlignment="0" applyProtection="0"/>
    <xf numFmtId="170" fontId="0" fillId="0" borderId="0">
      <alignment/>
      <protection/>
    </xf>
    <xf numFmtId="170" fontId="5" fillId="0" borderId="0">
      <alignment/>
      <protection/>
    </xf>
    <xf numFmtId="170" fontId="6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44" fontId="0" fillId="0" borderId="0" applyFont="0" applyFill="0" applyBorder="0" applyAlignment="0" applyProtection="0"/>
    <xf numFmtId="170" fontId="0" fillId="0" borderId="0">
      <alignment/>
      <protection/>
    </xf>
    <xf numFmtId="173" fontId="0" fillId="0" borderId="0" applyFont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8" fillId="0" borderId="0">
      <alignment/>
      <protection/>
    </xf>
    <xf numFmtId="170" fontId="8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9" fontId="0" fillId="0" borderId="0" applyFont="0" applyFill="0" applyBorder="0" applyAlignment="0" quotePrefix="1">
      <protection locked="0"/>
    </xf>
    <xf numFmtId="9" fontId="0" fillId="0" borderId="0" applyFont="0" applyFill="0" applyBorder="0" applyAlignment="0" quotePrefix="1">
      <protection locked="0"/>
    </xf>
    <xf numFmtId="9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quotePrefix="1">
      <protection locked="0"/>
    </xf>
    <xf numFmtId="43" fontId="0" fillId="0" borderId="0" applyFont="0" applyFill="0" applyBorder="0" applyAlignment="0" quotePrefix="1">
      <protection locked="0"/>
    </xf>
    <xf numFmtId="164" fontId="7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35">
    <xf numFmtId="170" fontId="0" fillId="0" borderId="0" xfId="0"/>
    <xf numFmtId="170" fontId="0" fillId="2" borderId="0" xfId="0" applyFill="1"/>
    <xf numFmtId="40" fontId="0" fillId="2" borderId="0" xfId="0" applyNumberFormat="1" applyFont="1" applyFill="1" applyAlignment="1">
      <alignment horizontal="center"/>
    </xf>
    <xf numFmtId="4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 applyAlignment="1">
      <alignment horizontal="left"/>
    </xf>
    <xf numFmtId="170" fontId="0" fillId="0" borderId="0" xfId="0" applyFont="1" applyAlignment="1">
      <alignment vertical="center" wrapText="1"/>
    </xf>
    <xf numFmtId="170" fontId="0" fillId="0" borderId="0" xfId="0" applyBorder="1"/>
    <xf numFmtId="170" fontId="0" fillId="2" borderId="0" xfId="0" applyFont="1" applyFill="1" applyBorder="1"/>
    <xf numFmtId="170" fontId="0" fillId="0" borderId="0" xfId="0" applyFont="1"/>
    <xf numFmtId="170" fontId="0" fillId="2" borderId="0" xfId="0" applyFont="1" applyFill="1" applyAlignment="1">
      <alignment horizontal="left"/>
    </xf>
    <xf numFmtId="170" fontId="0" fillId="2" borderId="0" xfId="0" applyFont="1" applyFill="1"/>
    <xf numFmtId="170" fontId="0" fillId="0" borderId="0" xfId="0" applyAlignment="1">
      <alignment horizontal="center"/>
    </xf>
    <xf numFmtId="177" fontId="4" fillId="3" borderId="0" xfId="31" applyNumberFormat="1" applyFont="1" applyFill="1" applyBorder="1" applyAlignment="1">
      <alignment vertical="center" wrapText="1"/>
      <protection/>
    </xf>
    <xf numFmtId="170" fontId="14" fillId="4" borderId="0" xfId="31" applyFont="1" applyFill="1" applyBorder="1" applyAlignment="1">
      <alignment vertical="center"/>
      <protection/>
    </xf>
    <xf numFmtId="0" fontId="4" fillId="5" borderId="0" xfId="31" applyNumberFormat="1" applyFont="1" applyFill="1" applyBorder="1" applyAlignment="1">
      <alignment vertical="center"/>
      <protection/>
    </xf>
    <xf numFmtId="170" fontId="4" fillId="3" borderId="0" xfId="31" applyFont="1" applyFill="1" applyBorder="1" applyAlignment="1">
      <alignment vertical="center"/>
      <protection/>
    </xf>
    <xf numFmtId="0" fontId="4" fillId="3" borderId="0" xfId="31" applyNumberFormat="1" applyFont="1" applyFill="1" applyBorder="1" applyAlignment="1">
      <alignment vertical="center"/>
      <protection/>
    </xf>
    <xf numFmtId="174" fontId="4" fillId="3" borderId="0" xfId="0" applyNumberFormat="1" applyFont="1" applyFill="1" applyBorder="1" applyAlignment="1" applyProtection="1">
      <alignment vertical="center" wrapText="1"/>
      <protection/>
    </xf>
    <xf numFmtId="170" fontId="4" fillId="6" borderId="1" xfId="31" applyFont="1" applyFill="1" applyBorder="1" applyAlignment="1">
      <alignment horizontal="left" vertical="center"/>
      <protection/>
    </xf>
    <xf numFmtId="0" fontId="4" fillId="3" borderId="1" xfId="31" applyNumberFormat="1" applyFont="1" applyFill="1" applyBorder="1" applyAlignment="1">
      <alignment vertical="center"/>
      <protection/>
    </xf>
    <xf numFmtId="170" fontId="4" fillId="6" borderId="0" xfId="31" applyFont="1" applyFill="1" applyBorder="1" applyAlignment="1">
      <alignment horizontal="left" vertical="center"/>
      <protection/>
    </xf>
    <xf numFmtId="170" fontId="4" fillId="3" borderId="2" xfId="31" applyFont="1" applyFill="1" applyBorder="1" applyAlignment="1">
      <alignment horizontal="left" vertical="center" wrapText="1"/>
      <protection/>
    </xf>
    <xf numFmtId="170" fontId="4" fillId="7" borderId="0" xfId="31" applyFont="1" applyFill="1" applyBorder="1" applyAlignment="1">
      <alignment horizontal="left" vertical="center"/>
      <protection/>
    </xf>
    <xf numFmtId="0" fontId="4" fillId="5" borderId="0" xfId="31" applyNumberFormat="1" applyFont="1" applyFill="1" applyBorder="1" applyAlignment="1">
      <alignment horizontal="left" vertical="center"/>
      <protection/>
    </xf>
    <xf numFmtId="170" fontId="13" fillId="0" borderId="0" xfId="0" applyFont="1" applyBorder="1"/>
    <xf numFmtId="40" fontId="13" fillId="8" borderId="3" xfId="0" applyNumberFormat="1" applyFont="1" applyFill="1" applyBorder="1" applyAlignment="1">
      <alignment horizontal="center"/>
    </xf>
    <xf numFmtId="40" fontId="13" fillId="8" borderId="4" xfId="0" applyNumberFormat="1" applyFont="1" applyFill="1" applyBorder="1" applyAlignment="1">
      <alignment horizontal="center"/>
    </xf>
    <xf numFmtId="40" fontId="13" fillId="8" borderId="5" xfId="0" applyNumberFormat="1" applyFont="1" applyFill="1" applyBorder="1" applyAlignment="1">
      <alignment horizontal="center"/>
    </xf>
    <xf numFmtId="40" fontId="13" fillId="9" borderId="0" xfId="0" applyNumberFormat="1" applyFont="1" applyFill="1" applyBorder="1" applyAlignment="1">
      <alignment horizontal="center"/>
    </xf>
    <xf numFmtId="170" fontId="13" fillId="2" borderId="0" xfId="0" applyFont="1" applyFill="1" applyBorder="1"/>
    <xf numFmtId="40" fontId="13" fillId="0" borderId="0" xfId="0" applyNumberFormat="1" applyFont="1" applyFill="1" applyBorder="1" applyAlignment="1">
      <alignment horizontal="center"/>
    </xf>
    <xf numFmtId="170" fontId="13" fillId="2" borderId="6" xfId="0" applyFont="1" applyFill="1" applyBorder="1"/>
    <xf numFmtId="170" fontId="13" fillId="0" borderId="6" xfId="0" applyFont="1" applyBorder="1"/>
    <xf numFmtId="170" fontId="13" fillId="0" borderId="0" xfId="0" applyFont="1" applyBorder="1" applyAlignment="1">
      <alignment/>
    </xf>
    <xf numFmtId="0" fontId="13" fillId="0" borderId="1" xfId="0" applyNumberFormat="1" applyFont="1" applyFill="1" applyBorder="1" applyAlignment="1">
      <alignment horizontal="center" vertical="center" wrapText="1"/>
    </xf>
    <xf numFmtId="40" fontId="13" fillId="5" borderId="0" xfId="0" applyNumberFormat="1" applyFont="1" applyFill="1" applyBorder="1" applyAlignment="1">
      <alignment horizontal="center"/>
    </xf>
    <xf numFmtId="170" fontId="13" fillId="0" borderId="1" xfId="0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170" fontId="13" fillId="0" borderId="0" xfId="0" applyFont="1" applyFill="1" applyBorder="1" applyAlignment="1">
      <alignment/>
    </xf>
    <xf numFmtId="40" fontId="13" fillId="8" borderId="8" xfId="0" applyNumberFormat="1" applyFont="1" applyFill="1" applyBorder="1" applyAlignment="1">
      <alignment horizontal="center"/>
    </xf>
    <xf numFmtId="40" fontId="13" fillId="8" borderId="9" xfId="0" applyNumberFormat="1" applyFont="1" applyFill="1" applyBorder="1" applyAlignment="1">
      <alignment horizontal="center"/>
    </xf>
    <xf numFmtId="170" fontId="13" fillId="0" borderId="0" xfId="0" applyFont="1"/>
    <xf numFmtId="170" fontId="13" fillId="3" borderId="0" xfId="0" applyFont="1" applyFill="1" applyBorder="1"/>
    <xf numFmtId="0" fontId="13" fillId="3" borderId="1" xfId="0" applyNumberFormat="1" applyFont="1" applyFill="1" applyBorder="1" applyAlignment="1">
      <alignment horizontal="center" vertical="center" wrapText="1"/>
    </xf>
    <xf numFmtId="170" fontId="13" fillId="3" borderId="1" xfId="0" applyFont="1" applyFill="1" applyBorder="1" applyAlignment="1">
      <alignment horizontal="center" vertical="center" wrapText="1"/>
    </xf>
    <xf numFmtId="170" fontId="4" fillId="0" borderId="0" xfId="0" applyFont="1" applyAlignment="1">
      <alignment horizontal="center"/>
    </xf>
    <xf numFmtId="170" fontId="13" fillId="0" borderId="0" xfId="0" applyFont="1" applyAlignment="1">
      <alignment horizontal="center"/>
    </xf>
    <xf numFmtId="174" fontId="4" fillId="3" borderId="0" xfId="0" applyNumberFormat="1" applyFont="1" applyFill="1" applyBorder="1" applyAlignment="1" applyProtection="1">
      <alignment horizontal="center" vertical="center" wrapText="1"/>
      <protection/>
    </xf>
    <xf numFmtId="40" fontId="13" fillId="2" borderId="0" xfId="0" applyNumberFormat="1" applyFont="1" applyFill="1" applyBorder="1" applyAlignment="1">
      <alignment horizontal="center"/>
    </xf>
    <xf numFmtId="40" fontId="13" fillId="2" borderId="0" xfId="0" applyNumberFormat="1" applyFont="1" applyFill="1" applyBorder="1" applyAlignment="1">
      <alignment horizontal="left"/>
    </xf>
    <xf numFmtId="40" fontId="4" fillId="2" borderId="0" xfId="0" applyNumberFormat="1" applyFont="1" applyFill="1" applyBorder="1" applyAlignment="1">
      <alignment horizontal="center"/>
    </xf>
    <xf numFmtId="40" fontId="4" fillId="2" borderId="2" xfId="0" applyNumberFormat="1" applyFont="1" applyFill="1" applyBorder="1" applyAlignment="1">
      <alignment horizontal="left"/>
    </xf>
    <xf numFmtId="40" fontId="4" fillId="2" borderId="0" xfId="0" applyNumberFormat="1" applyFont="1" applyFill="1" applyBorder="1" applyAlignment="1">
      <alignment horizontal="left"/>
    </xf>
    <xf numFmtId="43" fontId="13" fillId="0" borderId="0" xfId="0" applyNumberFormat="1" applyFont="1" applyAlignment="1">
      <alignment vertical="center" wrapText="1"/>
    </xf>
    <xf numFmtId="170" fontId="13" fillId="0" borderId="0" xfId="0" applyFont="1" applyAlignment="1">
      <alignment vertical="center" wrapText="1"/>
    </xf>
    <xf numFmtId="9" fontId="13" fillId="0" borderId="0" xfId="21" applyFont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2" fontId="13" fillId="3" borderId="1" xfId="20" applyNumberFormat="1" applyFont="1" applyFill="1" applyBorder="1" applyAlignment="1">
      <alignment horizontal="center" vertical="center" wrapText="1"/>
    </xf>
    <xf numFmtId="169" fontId="13" fillId="0" borderId="11" xfId="20" applyNumberFormat="1" applyFont="1" applyFill="1" applyBorder="1" applyAlignment="1">
      <alignment horizontal="center" vertical="center" wrapText="1"/>
    </xf>
    <xf numFmtId="10" fontId="13" fillId="3" borderId="11" xfId="21" applyNumberFormat="1" applyFont="1" applyFill="1" applyBorder="1" applyAlignment="1">
      <alignment horizontal="center" vertical="center" wrapText="1"/>
    </xf>
    <xf numFmtId="9" fontId="13" fillId="3" borderId="0" xfId="21" applyFont="1" applyFill="1" applyAlignment="1">
      <alignment vertical="center" wrapText="1"/>
    </xf>
    <xf numFmtId="170" fontId="13" fillId="3" borderId="0" xfId="0" applyFont="1" applyFill="1" applyAlignment="1">
      <alignment vertical="center" wrapText="1"/>
    </xf>
    <xf numFmtId="170" fontId="13" fillId="3" borderId="7" xfId="0" applyFont="1" applyFill="1" applyBorder="1" applyAlignment="1">
      <alignment horizontal="center" vertical="center" wrapText="1"/>
    </xf>
    <xf numFmtId="2" fontId="13" fillId="3" borderId="7" xfId="20" applyNumberFormat="1" applyFont="1" applyFill="1" applyBorder="1" applyAlignment="1">
      <alignment horizontal="center" vertical="center" wrapText="1"/>
    </xf>
    <xf numFmtId="169" fontId="13" fillId="0" borderId="12" xfId="20" applyNumberFormat="1" applyFont="1" applyFill="1" applyBorder="1" applyAlignment="1">
      <alignment horizontal="center" vertical="center" wrapText="1"/>
    </xf>
    <xf numFmtId="170" fontId="13" fillId="0" borderId="13" xfId="0" applyFont="1" applyBorder="1" applyAlignment="1">
      <alignment vertical="center" wrapText="1"/>
    </xf>
    <xf numFmtId="170" fontId="13" fillId="0" borderId="6" xfId="0" applyFont="1" applyBorder="1" applyAlignment="1">
      <alignment horizontal="left" vertical="center" wrapText="1"/>
    </xf>
    <xf numFmtId="170" fontId="13" fillId="0" borderId="6" xfId="0" applyFont="1" applyBorder="1" applyAlignment="1">
      <alignment horizontal="center" vertical="center" wrapText="1"/>
    </xf>
    <xf numFmtId="0" fontId="13" fillId="0" borderId="6" xfId="20" applyNumberFormat="1" applyFont="1" applyBorder="1" applyAlignment="1">
      <alignment horizontal="center" vertical="center" wrapText="1"/>
    </xf>
    <xf numFmtId="164" fontId="13" fillId="0" borderId="6" xfId="20" applyFont="1" applyBorder="1" applyAlignment="1">
      <alignment horizontal="center" vertical="center" wrapText="1"/>
    </xf>
    <xf numFmtId="169" fontId="13" fillId="0" borderId="1" xfId="20" applyNumberFormat="1" applyFont="1" applyFill="1" applyBorder="1" applyAlignment="1">
      <alignment horizontal="center" vertical="center" wrapText="1"/>
    </xf>
    <xf numFmtId="170" fontId="13" fillId="0" borderId="0" xfId="0" applyFont="1" applyFill="1" applyAlignment="1">
      <alignment vertical="center" wrapText="1"/>
    </xf>
    <xf numFmtId="169" fontId="13" fillId="0" borderId="0" xfId="0" applyNumberFormat="1" applyFont="1" applyFill="1" applyAlignment="1">
      <alignment vertical="center" wrapText="1"/>
    </xf>
    <xf numFmtId="170" fontId="4" fillId="0" borderId="0" xfId="0" applyFont="1" applyFill="1" applyBorder="1" applyAlignment="1">
      <alignment horizontal="right" vertical="center" wrapText="1"/>
    </xf>
    <xf numFmtId="10" fontId="13" fillId="3" borderId="14" xfId="21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/>
    </xf>
    <xf numFmtId="40" fontId="13" fillId="3" borderId="1" xfId="2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0" fontId="13" fillId="0" borderId="15" xfId="0" applyFont="1" applyFill="1" applyBorder="1" applyAlignment="1">
      <alignment horizontal="center" vertical="center" wrapText="1"/>
    </xf>
    <xf numFmtId="0" fontId="4" fillId="3" borderId="16" xfId="59" applyFont="1" applyFill="1" applyBorder="1" applyAlignment="1">
      <alignment horizontal="left" vertical="center" wrapText="1"/>
      <protection/>
    </xf>
    <xf numFmtId="39" fontId="13" fillId="3" borderId="16" xfId="0" applyNumberFormat="1" applyFont="1" applyFill="1" applyBorder="1" applyAlignment="1">
      <alignment horizontal="center" vertical="center" wrapText="1"/>
    </xf>
    <xf numFmtId="170" fontId="13" fillId="0" borderId="17" xfId="0" applyFont="1" applyFill="1" applyBorder="1" applyAlignment="1">
      <alignment horizontal="center" vertical="center" wrapText="1"/>
    </xf>
    <xf numFmtId="39" fontId="13" fillId="3" borderId="8" xfId="0" applyNumberFormat="1" applyFont="1" applyFill="1" applyBorder="1" applyAlignment="1">
      <alignment horizontal="center" vertical="center" wrapText="1"/>
    </xf>
    <xf numFmtId="164" fontId="13" fillId="3" borderId="8" xfId="20" applyFont="1" applyFill="1" applyBorder="1" applyAlignment="1">
      <alignment horizontal="center" vertical="center"/>
    </xf>
    <xf numFmtId="170" fontId="13" fillId="0" borderId="11" xfId="0" applyFont="1" applyFill="1" applyBorder="1" applyAlignment="1" applyProtection="1">
      <alignment horizontal="center" vertical="center" wrapText="1"/>
      <protection/>
    </xf>
    <xf numFmtId="39" fontId="13" fillId="3" borderId="11" xfId="20" applyNumberFormat="1" applyFont="1" applyFill="1" applyBorder="1" applyAlignment="1" applyProtection="1">
      <alignment horizontal="center" vertical="center" wrapText="1"/>
      <protection/>
    </xf>
    <xf numFmtId="170" fontId="13" fillId="0" borderId="1" xfId="0" applyFont="1" applyFill="1" applyBorder="1" applyAlignment="1" applyProtection="1">
      <alignment horizontal="center" vertical="center" wrapText="1"/>
      <protection/>
    </xf>
    <xf numFmtId="170" fontId="13" fillId="0" borderId="7" xfId="0" applyFont="1" applyFill="1" applyBorder="1" applyAlignment="1" applyProtection="1">
      <alignment horizontal="center" vertical="center" wrapText="1"/>
      <protection/>
    </xf>
    <xf numFmtId="4" fontId="4" fillId="3" borderId="8" xfId="0" applyNumberFormat="1" applyFont="1" applyFill="1" applyBorder="1" applyAlignment="1">
      <alignment horizontal="left" vertical="center" wrapText="1"/>
    </xf>
    <xf numFmtId="170" fontId="13" fillId="0" borderId="8" xfId="0" applyFont="1" applyFill="1" applyBorder="1" applyAlignment="1" applyProtection="1">
      <alignment horizontal="center" vertical="center" wrapText="1"/>
      <protection/>
    </xf>
    <xf numFmtId="39" fontId="13" fillId="3" borderId="8" xfId="20" applyNumberFormat="1" applyFont="1" applyFill="1" applyBorder="1" applyAlignment="1" applyProtection="1">
      <alignment horizontal="center" vertical="center" wrapText="1"/>
      <protection/>
    </xf>
    <xf numFmtId="169" fontId="13" fillId="3" borderId="8" xfId="20" applyNumberFormat="1" applyFont="1" applyFill="1" applyBorder="1" applyAlignment="1">
      <alignment horizontal="center" vertical="center"/>
    </xf>
    <xf numFmtId="8" fontId="13" fillId="10" borderId="8" xfId="33" applyNumberFormat="1" applyFont="1" applyFill="1" applyBorder="1" applyAlignment="1" applyProtection="1">
      <alignment horizontal="center" vertical="center" wrapText="1"/>
      <protection/>
    </xf>
    <xf numFmtId="8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3" borderId="11" xfId="20" applyNumberFormat="1" applyFont="1" applyFill="1" applyBorder="1" applyAlignment="1">
      <alignment horizontal="center" vertical="center" wrapText="1"/>
    </xf>
    <xf numFmtId="170" fontId="13" fillId="0" borderId="0" xfId="0" applyFont="1" applyAlignment="1">
      <alignment horizontal="left" vertical="center" wrapText="1"/>
    </xf>
    <xf numFmtId="170" fontId="13" fillId="0" borderId="0" xfId="0" applyFont="1" applyAlignment="1">
      <alignment horizontal="center" vertical="center" wrapText="1"/>
    </xf>
    <xf numFmtId="0" fontId="13" fillId="0" borderId="0" xfId="20" applyNumberFormat="1" applyFont="1" applyAlignment="1">
      <alignment horizontal="center" vertical="center" wrapText="1"/>
    </xf>
    <xf numFmtId="164" fontId="13" fillId="0" borderId="0" xfId="20" applyFont="1" applyAlignment="1">
      <alignment horizontal="center" vertical="center" wrapText="1"/>
    </xf>
    <xf numFmtId="1" fontId="4" fillId="6" borderId="18" xfId="0" applyNumberFormat="1" applyFont="1" applyFill="1" applyBorder="1" applyAlignment="1">
      <alignment horizontal="center" vertical="center" wrapText="1"/>
    </xf>
    <xf numFmtId="169" fontId="13" fillId="0" borderId="7" xfId="20" applyNumberFormat="1" applyFont="1" applyFill="1" applyBorder="1" applyAlignment="1">
      <alignment horizontal="center" vertical="center" wrapText="1"/>
    </xf>
    <xf numFmtId="164" fontId="4" fillId="0" borderId="0" xfId="20" applyFont="1" applyFill="1" applyBorder="1" applyAlignment="1">
      <alignment horizontal="center" vertical="center" wrapText="1"/>
    </xf>
    <xf numFmtId="10" fontId="13" fillId="11" borderId="18" xfId="21" applyNumberFormat="1" applyFont="1" applyFill="1" applyBorder="1" applyAlignment="1">
      <alignment horizontal="center" vertical="center" wrapText="1"/>
    </xf>
    <xf numFmtId="169" fontId="4" fillId="11" borderId="19" xfId="20" applyNumberFormat="1" applyFont="1" applyFill="1" applyBorder="1" applyAlignment="1">
      <alignment horizontal="center" vertical="center" wrapText="1"/>
    </xf>
    <xf numFmtId="170" fontId="4" fillId="3" borderId="0" xfId="0" applyFont="1" applyFill="1" applyBorder="1" applyAlignment="1">
      <alignment horizontal="center" vertical="center" wrapText="1"/>
    </xf>
    <xf numFmtId="169" fontId="4" fillId="3" borderId="0" xfId="0" applyNumberFormat="1" applyFont="1" applyFill="1" applyBorder="1" applyAlignment="1">
      <alignment horizontal="center" vertical="center" wrapText="1"/>
    </xf>
    <xf numFmtId="10" fontId="13" fillId="3" borderId="0" xfId="21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right" vertical="center" wrapText="1"/>
    </xf>
    <xf numFmtId="10" fontId="13" fillId="6" borderId="18" xfId="21" applyNumberFormat="1" applyFont="1" applyFill="1" applyBorder="1" applyAlignment="1">
      <alignment horizontal="center" vertical="center" wrapText="1"/>
    </xf>
    <xf numFmtId="0" fontId="4" fillId="0" borderId="0" xfId="20" applyNumberFormat="1" applyFont="1" applyFill="1" applyBorder="1" applyAlignment="1">
      <alignment horizontal="center" vertical="center" wrapText="1"/>
    </xf>
    <xf numFmtId="49" fontId="4" fillId="12" borderId="18" xfId="0" applyNumberFormat="1" applyFont="1" applyFill="1" applyBorder="1" applyAlignment="1">
      <alignment horizontal="center" vertical="center" wrapText="1"/>
    </xf>
    <xf numFmtId="0" fontId="4" fillId="12" borderId="19" xfId="20" applyNumberFormat="1" applyFont="1" applyFill="1" applyBorder="1" applyAlignment="1">
      <alignment horizontal="center" vertical="center" wrapText="1"/>
    </xf>
    <xf numFmtId="4" fontId="4" fillId="12" borderId="18" xfId="0" applyNumberFormat="1" applyFont="1" applyFill="1" applyBorder="1" applyAlignment="1">
      <alignment horizontal="center" vertical="center" wrapText="1"/>
    </xf>
    <xf numFmtId="164" fontId="4" fillId="12" borderId="20" xfId="20" applyFont="1" applyFill="1" applyBorder="1" applyAlignment="1">
      <alignment horizontal="center" vertical="center" wrapText="1"/>
    </xf>
    <xf numFmtId="10" fontId="13" fillId="6" borderId="21" xfId="21" applyNumberFormat="1" applyFont="1" applyFill="1" applyBorder="1" applyAlignment="1">
      <alignment horizontal="center" vertical="center" wrapText="1"/>
    </xf>
    <xf numFmtId="170" fontId="4" fillId="11" borderId="22" xfId="0" applyFont="1" applyFill="1" applyBorder="1" applyAlignment="1">
      <alignment horizontal="center" vertical="center" wrapText="1"/>
    </xf>
    <xf numFmtId="7" fontId="4" fillId="12" borderId="23" xfId="20" applyNumberFormat="1" applyFont="1" applyFill="1" applyBorder="1" applyAlignment="1">
      <alignment horizontal="center" vertical="center" wrapText="1"/>
    </xf>
    <xf numFmtId="10" fontId="13" fillId="12" borderId="21" xfId="0" applyNumberFormat="1" applyFont="1" applyFill="1" applyBorder="1" applyAlignment="1">
      <alignment horizontal="center" vertical="center" wrapText="1"/>
    </xf>
    <xf numFmtId="10" fontId="13" fillId="0" borderId="24" xfId="0" applyNumberFormat="1" applyFont="1" applyBorder="1" applyAlignment="1">
      <alignment horizontal="center" vertical="center" wrapText="1"/>
    </xf>
    <xf numFmtId="10" fontId="13" fillId="0" borderId="0" xfId="0" applyNumberFormat="1" applyFont="1" applyAlignment="1">
      <alignment horizontal="center" vertical="center" wrapText="1"/>
    </xf>
    <xf numFmtId="170" fontId="4" fillId="6" borderId="1" xfId="31" applyFont="1" applyFill="1" applyBorder="1" applyAlignment="1">
      <alignment vertical="center"/>
      <protection/>
    </xf>
    <xf numFmtId="170" fontId="4" fillId="6" borderId="1" xfId="31" applyFont="1" applyFill="1" applyBorder="1" applyAlignment="1">
      <alignment vertical="center" wrapText="1"/>
      <protection/>
    </xf>
    <xf numFmtId="170" fontId="4" fillId="0" borderId="0" xfId="31" applyFont="1" applyFill="1" applyBorder="1" applyAlignment="1">
      <alignment horizontal="left" vertical="center" wrapText="1"/>
      <protection/>
    </xf>
    <xf numFmtId="0" fontId="4" fillId="0" borderId="0" xfId="31" applyNumberFormat="1" applyFont="1" applyFill="1" applyBorder="1" applyAlignment="1">
      <alignment horizontal="left" vertical="center" wrapText="1"/>
      <protection/>
    </xf>
    <xf numFmtId="174" fontId="4" fillId="0" borderId="0" xfId="0" applyNumberFormat="1" applyFont="1" applyFill="1" applyBorder="1" applyAlignment="1" applyProtection="1">
      <alignment horizontal="center" vertical="center" wrapText="1"/>
      <protection/>
    </xf>
    <xf numFmtId="174" fontId="4" fillId="0" borderId="0" xfId="0" applyNumberFormat="1" applyFont="1" applyFill="1" applyBorder="1" applyAlignment="1" applyProtection="1">
      <alignment horizontal="left" vertical="center" wrapText="1"/>
      <protection/>
    </xf>
    <xf numFmtId="174" fontId="4" fillId="0" borderId="0" xfId="0" applyNumberFormat="1" applyFont="1" applyFill="1" applyBorder="1" applyAlignment="1" applyProtection="1">
      <alignment vertical="center" wrapText="1"/>
      <protection/>
    </xf>
    <xf numFmtId="0" fontId="13" fillId="3" borderId="7" xfId="0" applyNumberFormat="1" applyFont="1" applyFill="1" applyBorder="1" applyAlignment="1">
      <alignment horizontal="center" vertical="center"/>
    </xf>
    <xf numFmtId="170" fontId="13" fillId="0" borderId="2" xfId="0" applyFont="1" applyBorder="1"/>
    <xf numFmtId="170" fontId="13" fillId="3" borderId="1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/>
    </xf>
    <xf numFmtId="170" fontId="4" fillId="7" borderId="1" xfId="31" applyFont="1" applyFill="1" applyBorder="1" applyAlignment="1">
      <alignment vertical="center"/>
      <protection/>
    </xf>
    <xf numFmtId="170" fontId="0" fillId="0" borderId="0" xfId="0" applyFont="1" applyFill="1" applyBorder="1" applyAlignment="1">
      <alignment vertical="center" wrapText="1"/>
    </xf>
    <xf numFmtId="170" fontId="13" fillId="0" borderId="0" xfId="0" applyFont="1" applyFill="1" applyBorder="1" applyAlignment="1">
      <alignment vertical="center" wrapText="1"/>
    </xf>
    <xf numFmtId="170" fontId="4" fillId="6" borderId="0" xfId="24" applyFont="1" applyFill="1" applyBorder="1" applyAlignment="1">
      <alignment vertical="center"/>
      <protection/>
    </xf>
    <xf numFmtId="40" fontId="4" fillId="2" borderId="2" xfId="0" applyNumberFormat="1" applyFont="1" applyFill="1" applyBorder="1" applyAlignment="1">
      <alignment horizontal="center" vertical="top"/>
    </xf>
    <xf numFmtId="40" fontId="4" fillId="2" borderId="0" xfId="0" applyNumberFormat="1" applyFont="1" applyFill="1" applyBorder="1" applyAlignment="1">
      <alignment horizontal="center" vertical="top"/>
    </xf>
    <xf numFmtId="172" fontId="10" fillId="0" borderId="2" xfId="24" applyNumberFormat="1" applyFont="1" applyFill="1" applyBorder="1" applyAlignment="1">
      <alignment horizontal="center" vertical="center" wrapText="1"/>
      <protection/>
    </xf>
    <xf numFmtId="170" fontId="10" fillId="0" borderId="0" xfId="24" applyFont="1" applyFill="1" applyBorder="1" applyAlignment="1">
      <alignment horizontal="left" vertical="top"/>
      <protection/>
    </xf>
    <xf numFmtId="170" fontId="13" fillId="0" borderId="0" xfId="0" applyFont="1" applyFill="1" applyBorder="1" applyAlignment="1">
      <alignment horizontal="left" vertical="top"/>
    </xf>
    <xf numFmtId="170" fontId="4" fillId="0" borderId="0" xfId="24" applyFont="1" applyFill="1" applyBorder="1" applyAlignment="1">
      <alignment horizontal="center" vertical="top"/>
      <protection/>
    </xf>
    <xf numFmtId="170" fontId="4" fillId="3" borderId="0" xfId="24" applyFont="1" applyFill="1" applyBorder="1" applyAlignment="1">
      <alignment vertical="center"/>
      <protection/>
    </xf>
    <xf numFmtId="170" fontId="12" fillId="0" borderId="0" xfId="24" applyFont="1" applyFill="1" applyBorder="1" applyAlignment="1">
      <alignment horizontal="center" vertical="top"/>
      <protection/>
    </xf>
    <xf numFmtId="170" fontId="10" fillId="0" borderId="0" xfId="24" applyFont="1" applyFill="1" applyBorder="1" applyAlignment="1">
      <alignment horizontal="center" vertical="top"/>
      <protection/>
    </xf>
    <xf numFmtId="170" fontId="13" fillId="0" borderId="0" xfId="0" applyFont="1" applyFill="1" applyBorder="1" applyAlignment="1">
      <alignment horizontal="center" vertical="top"/>
    </xf>
    <xf numFmtId="2" fontId="12" fillId="0" borderId="0" xfId="24" applyNumberFormat="1" applyFont="1" applyFill="1" applyBorder="1" applyAlignment="1">
      <alignment horizontal="center" vertical="top"/>
      <protection/>
    </xf>
    <xf numFmtId="170" fontId="12" fillId="0" borderId="0" xfId="24" applyFont="1" applyFill="1" applyBorder="1" applyAlignment="1">
      <alignment horizontal="left" vertical="top"/>
      <protection/>
    </xf>
    <xf numFmtId="2" fontId="13" fillId="0" borderId="0" xfId="0" applyNumberFormat="1" applyFont="1" applyFill="1" applyBorder="1" applyAlignment="1">
      <alignment horizontal="center" vertical="top"/>
    </xf>
    <xf numFmtId="2" fontId="13" fillId="0" borderId="0" xfId="24" applyNumberFormat="1" applyFont="1" applyFill="1" applyBorder="1" applyAlignment="1">
      <alignment horizontal="center" vertical="top"/>
      <protection/>
    </xf>
    <xf numFmtId="172" fontId="10" fillId="0" borderId="2" xfId="24" applyNumberFormat="1" applyFont="1" applyFill="1" applyBorder="1" applyAlignment="1">
      <alignment vertical="center" wrapText="1"/>
      <protection/>
    </xf>
    <xf numFmtId="170" fontId="13" fillId="0" borderId="0" xfId="24" applyFont="1" applyFill="1" applyBorder="1" applyAlignment="1">
      <alignment horizontal="left" vertical="top"/>
      <protection/>
    </xf>
    <xf numFmtId="171" fontId="10" fillId="0" borderId="0" xfId="24" applyNumberFormat="1" applyFont="1" applyFill="1" applyBorder="1" applyAlignment="1">
      <alignment horizontal="center" vertical="top"/>
      <protection/>
    </xf>
    <xf numFmtId="170" fontId="4" fillId="3" borderId="2" xfId="24" applyFont="1" applyFill="1" applyBorder="1" applyAlignment="1">
      <alignment vertical="center"/>
      <protection/>
    </xf>
    <xf numFmtId="170" fontId="11" fillId="0" borderId="0" xfId="0" applyFont="1" applyBorder="1" applyAlignment="1">
      <alignment horizontal="center"/>
    </xf>
    <xf numFmtId="170" fontId="11" fillId="0" borderId="0" xfId="0" applyFont="1" applyBorder="1" applyAlignment="1">
      <alignment/>
    </xf>
    <xf numFmtId="170" fontId="4" fillId="0" borderId="0" xfId="24" applyFont="1" applyFill="1" applyBorder="1" applyAlignment="1">
      <alignment horizontal="right"/>
      <protection/>
    </xf>
    <xf numFmtId="170" fontId="4" fillId="0" borderId="0" xfId="24" applyFont="1" applyFill="1" applyBorder="1" applyAlignment="1">
      <alignment/>
      <protection/>
    </xf>
    <xf numFmtId="170" fontId="4" fillId="0" borderId="0" xfId="24" applyFont="1" applyFill="1" applyBorder="1" applyAlignment="1">
      <alignment horizontal="center"/>
      <protection/>
    </xf>
    <xf numFmtId="8" fontId="4" fillId="0" borderId="0" xfId="24" applyNumberFormat="1" applyFont="1" applyFill="1" applyBorder="1" applyAlignment="1">
      <alignment horizontal="center"/>
      <protection/>
    </xf>
    <xf numFmtId="8" fontId="13" fillId="0" borderId="0" xfId="24" applyNumberFormat="1" applyFont="1" applyFill="1" applyBorder="1" applyAlignment="1">
      <alignment horizontal="right"/>
      <protection/>
    </xf>
    <xf numFmtId="170" fontId="13" fillId="0" borderId="0" xfId="24" applyFont="1" applyFill="1" applyBorder="1" applyAlignment="1">
      <alignment horizontal="center" wrapText="1"/>
      <protection/>
    </xf>
    <xf numFmtId="170" fontId="13" fillId="0" borderId="0" xfId="0" applyFont="1" applyFill="1" applyBorder="1" applyAlignment="1">
      <alignment wrapText="1"/>
    </xf>
    <xf numFmtId="2" fontId="13" fillId="0" borderId="0" xfId="24" applyNumberFormat="1" applyFont="1" applyFill="1" applyBorder="1" applyAlignment="1">
      <alignment horizontal="center" vertical="center"/>
      <protection/>
    </xf>
    <xf numFmtId="8" fontId="13" fillId="0" borderId="0" xfId="24" applyNumberFormat="1" applyFont="1" applyFill="1" applyBorder="1" applyAlignment="1">
      <alignment horizontal="right" vertical="center"/>
      <protection/>
    </xf>
    <xf numFmtId="170" fontId="13" fillId="0" borderId="0" xfId="24" applyFont="1" applyFill="1" applyBorder="1" applyAlignment="1">
      <alignment vertical="center" wrapText="1"/>
      <protection/>
    </xf>
    <xf numFmtId="170" fontId="13" fillId="0" borderId="0" xfId="24" applyFont="1" applyFill="1" applyBorder="1" applyAlignment="1">
      <alignment horizontal="center" vertical="center"/>
      <protection/>
    </xf>
    <xf numFmtId="170" fontId="13" fillId="0" borderId="0" xfId="24" applyFont="1" applyFill="1" applyBorder="1" applyAlignment="1">
      <alignment horizontal="center"/>
      <protection/>
    </xf>
    <xf numFmtId="170" fontId="13" fillId="0" borderId="0" xfId="24" applyFont="1" applyFill="1" applyBorder="1" applyAlignment="1">
      <alignment horizontal="left" vertical="center"/>
      <protection/>
    </xf>
    <xf numFmtId="170" fontId="13" fillId="0" borderId="0" xfId="24" applyFont="1" applyFill="1" applyBorder="1" applyAlignment="1">
      <alignment horizontal="right"/>
      <protection/>
    </xf>
    <xf numFmtId="8" fontId="4" fillId="0" borderId="0" xfId="24" applyNumberFormat="1" applyFont="1" applyFill="1" applyBorder="1" applyAlignment="1">
      <alignment horizontal="center" vertical="center"/>
      <protection/>
    </xf>
    <xf numFmtId="8" fontId="4" fillId="0" borderId="0" xfId="24" applyNumberFormat="1" applyFont="1" applyFill="1" applyBorder="1" applyAlignment="1">
      <alignment horizontal="right"/>
      <protection/>
    </xf>
    <xf numFmtId="170" fontId="13" fillId="0" borderId="0" xfId="0" applyFont="1" applyFill="1" applyBorder="1"/>
    <xf numFmtId="170" fontId="13" fillId="0" borderId="0" xfId="0" applyFont="1" applyFill="1" applyBorder="1" applyAlignment="1">
      <alignment horizontal="center" vertical="center" wrapText="1"/>
    </xf>
    <xf numFmtId="170" fontId="13" fillId="0" borderId="0" xfId="0" applyFont="1" applyFill="1" applyBorder="1" applyAlignment="1">
      <alignment vertical="center"/>
    </xf>
    <xf numFmtId="170" fontId="13" fillId="0" borderId="0" xfId="24" applyFont="1" applyFill="1" applyBorder="1" applyAlignment="1">
      <alignment horizontal="right" vertical="center"/>
      <protection/>
    </xf>
    <xf numFmtId="170" fontId="13" fillId="0" borderId="0" xfId="24" applyFont="1" applyFill="1" applyBorder="1" applyAlignment="1">
      <alignment vertical="center"/>
      <protection/>
    </xf>
    <xf numFmtId="170" fontId="13" fillId="0" borderId="0" xfId="24" applyFont="1" applyFill="1" applyBorder="1" applyAlignment="1">
      <alignment wrapText="1"/>
      <protection/>
    </xf>
    <xf numFmtId="170" fontId="18" fillId="0" borderId="0" xfId="24" applyFont="1" applyFill="1" applyBorder="1" applyAlignment="1">
      <alignment wrapText="1"/>
      <protection/>
    </xf>
    <xf numFmtId="4" fontId="13" fillId="0" borderId="0" xfId="24" applyNumberFormat="1" applyFont="1" applyFill="1" applyBorder="1" applyAlignment="1">
      <alignment horizontal="center" vertical="center" wrapText="1"/>
      <protection/>
    </xf>
    <xf numFmtId="170" fontId="18" fillId="0" borderId="0" xfId="24" applyFont="1" applyFill="1" applyBorder="1" applyAlignment="1">
      <alignment vertical="center" wrapText="1"/>
      <protection/>
    </xf>
    <xf numFmtId="170" fontId="18" fillId="0" borderId="0" xfId="24" applyFont="1" applyFill="1" applyBorder="1">
      <alignment/>
      <protection/>
    </xf>
    <xf numFmtId="170" fontId="13" fillId="0" borderId="0" xfId="24" applyFont="1" applyFill="1" applyBorder="1" applyAlignment="1">
      <alignment horizontal="center" vertical="center" wrapText="1"/>
      <protection/>
    </xf>
    <xf numFmtId="170" fontId="18" fillId="0" borderId="0" xfId="24" applyFont="1" applyFill="1" applyBorder="1" applyAlignment="1">
      <alignment/>
      <protection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vertical="center"/>
    </xf>
    <xf numFmtId="8" fontId="13" fillId="0" borderId="0" xfId="24" applyNumberFormat="1" applyFont="1" applyFill="1" applyBorder="1" applyAlignment="1">
      <alignment horizontal="center" vertical="center"/>
      <protection/>
    </xf>
    <xf numFmtId="2" fontId="13" fillId="0" borderId="0" xfId="24" applyNumberFormat="1" applyFont="1" applyFill="1" applyBorder="1" applyAlignment="1">
      <alignment horizontal="center" vertical="center" wrapText="1"/>
      <protection/>
    </xf>
    <xf numFmtId="168" fontId="13" fillId="0" borderId="0" xfId="24" applyNumberFormat="1" applyFont="1" applyFill="1" applyBorder="1" applyAlignment="1">
      <alignment horizontal="center" vertical="center"/>
      <protection/>
    </xf>
    <xf numFmtId="2" fontId="13" fillId="0" borderId="0" xfId="24" applyNumberFormat="1" applyFont="1" applyFill="1" applyBorder="1" applyAlignment="1">
      <alignment horizontal="center"/>
      <protection/>
    </xf>
    <xf numFmtId="168" fontId="13" fillId="0" borderId="0" xfId="24" applyNumberFormat="1" applyFont="1" applyFill="1" applyBorder="1" applyAlignment="1">
      <alignment horizontal="center"/>
      <protection/>
    </xf>
    <xf numFmtId="38" fontId="4" fillId="2" borderId="2" xfId="0" applyNumberFormat="1" applyFont="1" applyFill="1" applyBorder="1" applyAlignment="1">
      <alignment horizontal="left"/>
    </xf>
    <xf numFmtId="40" fontId="4" fillId="0" borderId="0" xfId="0" applyNumberFormat="1" applyFont="1" applyFill="1" applyBorder="1" applyAlignment="1">
      <alignment horizontal="left"/>
    </xf>
    <xf numFmtId="40" fontId="4" fillId="2" borderId="13" xfId="0" applyNumberFormat="1" applyFont="1" applyFill="1" applyBorder="1" applyAlignment="1">
      <alignment horizontal="left"/>
    </xf>
    <xf numFmtId="40" fontId="4" fillId="2" borderId="6" xfId="0" applyNumberFormat="1" applyFont="1" applyFill="1" applyBorder="1" applyAlignment="1">
      <alignment horizontal="left"/>
    </xf>
    <xf numFmtId="40" fontId="13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40" fontId="4" fillId="2" borderId="0" xfId="0" applyNumberFormat="1" applyFont="1" applyFill="1" applyAlignment="1">
      <alignment horizontal="left"/>
    </xf>
    <xf numFmtId="40" fontId="13" fillId="2" borderId="0" xfId="0" applyNumberFormat="1" applyFont="1" applyFill="1" applyAlignment="1">
      <alignment horizontal="center"/>
    </xf>
    <xf numFmtId="170" fontId="13" fillId="2" borderId="0" xfId="0" applyFont="1" applyFill="1"/>
    <xf numFmtId="40" fontId="4" fillId="2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170" fontId="4" fillId="0" borderId="0" xfId="0" applyFont="1"/>
    <xf numFmtId="2" fontId="13" fillId="0" borderId="0" xfId="0" applyNumberFormat="1" applyFont="1" applyAlignment="1">
      <alignment horizontal="center"/>
    </xf>
    <xf numFmtId="0" fontId="4" fillId="0" borderId="0" xfId="0" applyNumberFormat="1" applyFont="1"/>
    <xf numFmtId="0" fontId="13" fillId="0" borderId="0" xfId="0" applyNumberFormat="1" applyFont="1"/>
    <xf numFmtId="170" fontId="13" fillId="3" borderId="0" xfId="0" applyFont="1" applyFill="1"/>
    <xf numFmtId="2" fontId="13" fillId="0" borderId="0" xfId="0" applyNumberFormat="1" applyFont="1" applyAlignment="1">
      <alignment horizontal="right" vertical="center"/>
    </xf>
    <xf numFmtId="170" fontId="13" fillId="3" borderId="0" xfId="0" applyFont="1" applyFill="1" applyAlignment="1">
      <alignment horizontal="center"/>
    </xf>
    <xf numFmtId="2" fontId="13" fillId="3" borderId="0" xfId="0" applyNumberFormat="1" applyFont="1" applyFill="1"/>
    <xf numFmtId="170" fontId="13" fillId="0" borderId="0" xfId="0" applyFont="1" applyAlignment="1">
      <alignment vertical="center"/>
    </xf>
    <xf numFmtId="40" fontId="4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Alignment="1">
      <alignment horizontal="center"/>
    </xf>
    <xf numFmtId="40" fontId="4" fillId="5" borderId="0" xfId="0" applyNumberFormat="1" applyFont="1" applyFill="1" applyBorder="1" applyAlignment="1">
      <alignment horizontal="center"/>
    </xf>
    <xf numFmtId="40" fontId="4" fillId="2" borderId="2" xfId="0" applyNumberFormat="1" applyFont="1" applyFill="1" applyBorder="1" applyAlignment="1">
      <alignment horizontal="center" vertical="center"/>
    </xf>
    <xf numFmtId="170" fontId="15" fillId="3" borderId="0" xfId="0" applyFont="1" applyFill="1"/>
    <xf numFmtId="2" fontId="15" fillId="0" borderId="0" xfId="0" applyNumberFormat="1" applyFont="1"/>
    <xf numFmtId="2" fontId="13" fillId="0" borderId="0" xfId="0" applyNumberFormat="1" applyFont="1"/>
    <xf numFmtId="170" fontId="13" fillId="0" borderId="2" xfId="0" applyFont="1" applyBorder="1" applyAlignment="1">
      <alignment horizontal="center"/>
    </xf>
    <xf numFmtId="170" fontId="4" fillId="0" borderId="2" xfId="0" applyFont="1" applyBorder="1" applyAlignment="1">
      <alignment horizontal="center"/>
    </xf>
    <xf numFmtId="170" fontId="4" fillId="0" borderId="0" xfId="0" applyFont="1" applyBorder="1"/>
    <xf numFmtId="170" fontId="4" fillId="0" borderId="0" xfId="0" applyFont="1" applyAlignment="1">
      <alignment horizontal="center" vertical="center"/>
    </xf>
    <xf numFmtId="40" fontId="13" fillId="3" borderId="0" xfId="55" applyNumberFormat="1" applyFont="1" applyFill="1" applyAlignment="1">
      <alignment horizontal="center"/>
      <protection/>
    </xf>
    <xf numFmtId="40" fontId="13" fillId="3" borderId="0" xfId="58" applyNumberFormat="1" applyFont="1" applyFill="1" applyAlignment="1">
      <alignment horizontal="center" vertical="top"/>
      <protection/>
    </xf>
    <xf numFmtId="40" fontId="13" fillId="3" borderId="0" xfId="55" applyNumberFormat="1" applyFont="1" applyFill="1" applyBorder="1" applyAlignment="1">
      <alignment horizontal="center"/>
      <protection/>
    </xf>
    <xf numFmtId="40" fontId="13" fillId="3" borderId="0" xfId="55" applyNumberFormat="1" applyFont="1" applyFill="1" applyAlignment="1">
      <alignment horizontal="left"/>
      <protection/>
    </xf>
    <xf numFmtId="40" fontId="13" fillId="3" borderId="0" xfId="58" applyNumberFormat="1" applyFont="1" applyFill="1" applyAlignment="1">
      <alignment horizontal="center" vertical="center"/>
      <protection/>
    </xf>
    <xf numFmtId="40" fontId="13" fillId="3" borderId="0" xfId="55" applyNumberFormat="1" applyFont="1" applyFill="1" applyAlignment="1">
      <alignment horizontal="center" vertical="center"/>
      <protection/>
    </xf>
    <xf numFmtId="40" fontId="13" fillId="3" borderId="0" xfId="58" applyNumberFormat="1" applyFont="1" applyFill="1" applyBorder="1" applyAlignment="1">
      <alignment horizontal="center"/>
      <protection/>
    </xf>
    <xf numFmtId="176" fontId="13" fillId="3" borderId="0" xfId="58" applyNumberFormat="1" applyFont="1" applyFill="1" applyAlignment="1">
      <alignment horizontal="center"/>
      <protection/>
    </xf>
    <xf numFmtId="40" fontId="13" fillId="3" borderId="0" xfId="58" applyNumberFormat="1" applyFont="1" applyFill="1" applyAlignment="1">
      <alignment wrapText="1"/>
      <protection/>
    </xf>
    <xf numFmtId="40" fontId="13" fillId="3" borderId="0" xfId="55" applyNumberFormat="1" applyFont="1" applyFill="1" applyBorder="1" applyAlignment="1">
      <alignment horizontal="left"/>
      <protection/>
    </xf>
    <xf numFmtId="49" fontId="13" fillId="3" borderId="0" xfId="58" applyNumberFormat="1" applyFont="1" applyFill="1" applyAlignment="1">
      <alignment horizontal="left" wrapText="1"/>
      <protection/>
    </xf>
    <xf numFmtId="49" fontId="13" fillId="3" borderId="0" xfId="0" applyNumberFormat="1" applyFont="1" applyFill="1"/>
    <xf numFmtId="40" fontId="13" fillId="3" borderId="0" xfId="58" applyNumberFormat="1" applyFont="1" applyFill="1" applyAlignment="1">
      <alignment horizontal="left" vertical="center" wrapText="1"/>
      <protection/>
    </xf>
    <xf numFmtId="40" fontId="13" fillId="3" borderId="0" xfId="58" applyNumberFormat="1" applyFont="1" applyFill="1" applyAlignment="1">
      <alignment horizontal="left"/>
      <protection/>
    </xf>
    <xf numFmtId="166" fontId="13" fillId="3" borderId="0" xfId="58" applyNumberFormat="1" applyFont="1" applyFill="1" applyAlignment="1">
      <alignment horizontal="center"/>
      <protection/>
    </xf>
    <xf numFmtId="176" fontId="13" fillId="3" borderId="0" xfId="58" applyNumberFormat="1" applyFont="1" applyFill="1" applyAlignment="1">
      <alignment horizontal="left"/>
      <protection/>
    </xf>
    <xf numFmtId="40" fontId="4" fillId="3" borderId="0" xfId="55" applyNumberFormat="1" applyFont="1" applyFill="1" applyBorder="1" applyAlignment="1">
      <alignment horizontal="center"/>
      <protection/>
    </xf>
    <xf numFmtId="2" fontId="13" fillId="0" borderId="0" xfId="0" applyNumberFormat="1" applyFont="1" applyAlignment="1">
      <alignment horizontal="center" vertical="center"/>
    </xf>
    <xf numFmtId="0" fontId="4" fillId="2" borderId="2" xfId="20" applyNumberFormat="1" applyFont="1" applyFill="1" applyBorder="1" applyAlignment="1">
      <alignment horizontal="center"/>
    </xf>
    <xf numFmtId="170" fontId="13" fillId="0" borderId="1" xfId="0" applyFont="1" applyBorder="1" applyAlignment="1">
      <alignment vertical="center" wrapText="1"/>
    </xf>
    <xf numFmtId="170" fontId="13" fillId="13" borderId="25" xfId="0" applyFont="1" applyFill="1" applyBorder="1" applyAlignment="1">
      <alignment horizontal="center" vertical="center"/>
    </xf>
    <xf numFmtId="170" fontId="13" fillId="14" borderId="26" xfId="0" applyFont="1" applyFill="1" applyBorder="1" applyAlignment="1">
      <alignment vertical="center"/>
    </xf>
    <xf numFmtId="170" fontId="13" fillId="14" borderId="27" xfId="0" applyFont="1" applyFill="1" applyBorder="1" applyAlignment="1">
      <alignment vertical="center"/>
    </xf>
    <xf numFmtId="170" fontId="13" fillId="15" borderId="26" xfId="0" applyFont="1" applyFill="1" applyBorder="1" applyAlignment="1">
      <alignment vertical="center"/>
    </xf>
    <xf numFmtId="170" fontId="13" fillId="15" borderId="27" xfId="0" applyFont="1" applyFill="1" applyBorder="1" applyAlignment="1">
      <alignment horizontal="center" vertical="center"/>
    </xf>
    <xf numFmtId="170" fontId="13" fillId="15" borderId="27" xfId="0" applyFont="1" applyFill="1" applyBorder="1" applyAlignment="1">
      <alignment vertical="center"/>
    </xf>
    <xf numFmtId="170" fontId="13" fillId="16" borderId="26" xfId="0" applyFont="1" applyFill="1" applyBorder="1" applyAlignment="1">
      <alignment vertical="center"/>
    </xf>
    <xf numFmtId="170" fontId="13" fillId="16" borderId="27" xfId="0" applyFont="1" applyFill="1" applyBorder="1" applyAlignment="1">
      <alignment vertical="center"/>
    </xf>
    <xf numFmtId="170" fontId="4" fillId="17" borderId="20" xfId="0" applyFont="1" applyFill="1" applyBorder="1" applyAlignment="1">
      <alignment horizontal="center" vertical="center"/>
    </xf>
    <xf numFmtId="10" fontId="13" fillId="17" borderId="28" xfId="0" applyNumberFormat="1" applyFont="1" applyFill="1" applyBorder="1" applyAlignment="1">
      <alignment horizontal="center" vertical="center"/>
    </xf>
    <xf numFmtId="10" fontId="13" fillId="17" borderId="29" xfId="0" applyNumberFormat="1" applyFont="1" applyFill="1" applyBorder="1" applyAlignment="1">
      <alignment horizontal="center" vertical="center"/>
    </xf>
    <xf numFmtId="10" fontId="13" fillId="17" borderId="19" xfId="0" applyNumberFormat="1" applyFont="1" applyFill="1" applyBorder="1" applyAlignment="1">
      <alignment horizontal="center" vertical="center"/>
    </xf>
    <xf numFmtId="170" fontId="13" fillId="2" borderId="30" xfId="0" applyFont="1" applyFill="1" applyBorder="1" applyAlignment="1">
      <alignment vertical="center"/>
    </xf>
    <xf numFmtId="165" fontId="13" fillId="2" borderId="31" xfId="0" applyNumberFormat="1" applyFont="1" applyFill="1" applyBorder="1" applyAlignment="1">
      <alignment horizontal="center" vertical="center"/>
    </xf>
    <xf numFmtId="165" fontId="13" fillId="2" borderId="32" xfId="0" applyNumberFormat="1" applyFont="1" applyFill="1" applyBorder="1" applyAlignment="1">
      <alignment vertical="center"/>
    </xf>
    <xf numFmtId="170" fontId="4" fillId="18" borderId="33" xfId="0" applyFont="1" applyFill="1" applyBorder="1" applyAlignment="1">
      <alignment horizontal="center" vertical="center"/>
    </xf>
    <xf numFmtId="165" fontId="4" fillId="18" borderId="34" xfId="0" applyNumberFormat="1" applyFont="1" applyFill="1" applyBorder="1" applyAlignment="1">
      <alignment horizontal="center" vertical="center"/>
    </xf>
    <xf numFmtId="170" fontId="13" fillId="2" borderId="35" xfId="0" applyFont="1" applyFill="1" applyBorder="1" applyAlignment="1">
      <alignment horizontal="center" vertical="center"/>
    </xf>
    <xf numFmtId="170" fontId="4" fillId="2" borderId="4" xfId="0" applyFont="1" applyFill="1" applyBorder="1" applyAlignment="1">
      <alignment horizontal="center" vertical="center"/>
    </xf>
    <xf numFmtId="170" fontId="4" fillId="18" borderId="4" xfId="0" applyFont="1" applyFill="1" applyBorder="1" applyAlignment="1">
      <alignment horizontal="center" vertical="center"/>
    </xf>
    <xf numFmtId="170" fontId="13" fillId="2" borderId="36" xfId="0" applyFont="1" applyFill="1" applyBorder="1" applyAlignment="1">
      <alignment horizontal="center" vertical="center"/>
    </xf>
    <xf numFmtId="170" fontId="4" fillId="2" borderId="37" xfId="0" applyFont="1" applyFill="1" applyBorder="1" applyAlignment="1">
      <alignment horizontal="center" vertical="center"/>
    </xf>
    <xf numFmtId="170" fontId="13" fillId="0" borderId="13" xfId="0" applyFont="1" applyBorder="1"/>
    <xf numFmtId="170" fontId="13" fillId="0" borderId="24" xfId="0" applyFont="1" applyBorder="1"/>
    <xf numFmtId="2" fontId="13" fillId="0" borderId="14" xfId="0" applyNumberFormat="1" applyFont="1" applyBorder="1"/>
    <xf numFmtId="1" fontId="13" fillId="0" borderId="38" xfId="0" applyNumberFormat="1" applyFont="1" applyBorder="1" applyAlignment="1">
      <alignment horizontal="center"/>
    </xf>
    <xf numFmtId="170" fontId="13" fillId="0" borderId="39" xfId="0" applyFont="1" applyBorder="1"/>
    <xf numFmtId="170" fontId="13" fillId="0" borderId="40" xfId="0" applyFont="1" applyBorder="1"/>
    <xf numFmtId="170" fontId="13" fillId="0" borderId="41" xfId="0" applyFont="1" applyBorder="1"/>
    <xf numFmtId="10" fontId="13" fillId="0" borderId="42" xfId="27" applyNumberFormat="1" applyFont="1" applyFill="1" applyBorder="1" applyAlignment="1" applyProtection="1">
      <alignment horizontal="center"/>
      <protection/>
    </xf>
    <xf numFmtId="1" fontId="13" fillId="0" borderId="43" xfId="0" applyNumberFormat="1" applyFont="1" applyBorder="1" applyAlignment="1">
      <alignment horizontal="center"/>
    </xf>
    <xf numFmtId="170" fontId="13" fillId="0" borderId="44" xfId="0" applyFont="1" applyBorder="1"/>
    <xf numFmtId="10" fontId="13" fillId="0" borderId="45" xfId="27" applyNumberFormat="1" applyFont="1" applyFill="1" applyBorder="1" applyAlignment="1" applyProtection="1">
      <alignment horizontal="center"/>
      <protection/>
    </xf>
    <xf numFmtId="170" fontId="13" fillId="0" borderId="0" xfId="0" applyFont="1" applyAlignment="1">
      <alignment horizontal="right"/>
    </xf>
    <xf numFmtId="170" fontId="13" fillId="0" borderId="46" xfId="0" applyFont="1" applyBorder="1"/>
    <xf numFmtId="10" fontId="13" fillId="0" borderId="45" xfId="0" applyNumberFormat="1" applyFont="1" applyBorder="1" applyAlignment="1">
      <alignment horizontal="center"/>
    </xf>
    <xf numFmtId="10" fontId="13" fillId="0" borderId="0" xfId="0" applyNumberFormat="1" applyFont="1"/>
    <xf numFmtId="170" fontId="13" fillId="0" borderId="47" xfId="0" applyFont="1" applyBorder="1"/>
    <xf numFmtId="170" fontId="13" fillId="0" borderId="23" xfId="0" applyFont="1" applyBorder="1" applyAlignment="1">
      <alignment horizontal="center"/>
    </xf>
    <xf numFmtId="170" fontId="13" fillId="0" borderId="23" xfId="0" applyFont="1" applyBorder="1"/>
    <xf numFmtId="170" fontId="13" fillId="0" borderId="21" xfId="0" applyFont="1" applyBorder="1"/>
    <xf numFmtId="170" fontId="13" fillId="0" borderId="20" xfId="0" applyFont="1" applyBorder="1" applyAlignment="1">
      <alignment horizontal="center"/>
    </xf>
    <xf numFmtId="170" fontId="13" fillId="0" borderId="19" xfId="0" applyFont="1" applyBorder="1" applyAlignment="1">
      <alignment horizontal="center"/>
    </xf>
    <xf numFmtId="170" fontId="13" fillId="0" borderId="48" xfId="0" applyFont="1" applyBorder="1" applyAlignment="1">
      <alignment horizontal="center"/>
    </xf>
    <xf numFmtId="10" fontId="13" fillId="3" borderId="49" xfId="0" applyNumberFormat="1" applyFont="1" applyFill="1" applyBorder="1" applyAlignment="1">
      <alignment horizontal="center" vertical="center"/>
    </xf>
    <xf numFmtId="1" fontId="13" fillId="0" borderId="50" xfId="0" applyNumberFormat="1" applyFont="1" applyBorder="1" applyAlignment="1">
      <alignment horizontal="center"/>
    </xf>
    <xf numFmtId="170" fontId="13" fillId="0" borderId="51" xfId="0" applyFont="1" applyBorder="1"/>
    <xf numFmtId="170" fontId="13" fillId="0" borderId="52" xfId="0" applyFont="1" applyBorder="1"/>
    <xf numFmtId="170" fontId="13" fillId="0" borderId="53" xfId="0" applyFont="1" applyBorder="1"/>
    <xf numFmtId="10" fontId="13" fillId="19" borderId="54" xfId="27" applyNumberFormat="1" applyFont="1" applyFill="1" applyBorder="1" applyAlignment="1" applyProtection="1">
      <alignment horizontal="center"/>
      <protection/>
    </xf>
    <xf numFmtId="2" fontId="20" fillId="0" borderId="11" xfId="32" applyNumberFormat="1" applyFont="1" applyBorder="1" applyAlignment="1">
      <alignment vertical="center"/>
      <protection/>
    </xf>
    <xf numFmtId="2" fontId="20" fillId="0" borderId="55" xfId="32" applyNumberFormat="1" applyFont="1" applyBorder="1" applyAlignment="1">
      <alignment vertical="center"/>
      <protection/>
    </xf>
    <xf numFmtId="2" fontId="21" fillId="0" borderId="11" xfId="27" applyNumberFormat="1" applyFont="1" applyFill="1" applyBorder="1" applyAlignment="1" applyProtection="1">
      <alignment horizontal="center" vertical="center"/>
      <protection/>
    </xf>
    <xf numFmtId="10" fontId="13" fillId="0" borderId="14" xfId="0" applyNumberFormat="1" applyFont="1" applyBorder="1"/>
    <xf numFmtId="2" fontId="20" fillId="0" borderId="1" xfId="32" applyNumberFormat="1" applyFont="1" applyBorder="1" applyAlignment="1">
      <alignment vertical="center"/>
      <protection/>
    </xf>
    <xf numFmtId="2" fontId="20" fillId="0" borderId="17" xfId="32" applyNumberFormat="1" applyFont="1" applyBorder="1" applyAlignment="1">
      <alignment vertical="center"/>
      <protection/>
    </xf>
    <xf numFmtId="2" fontId="21" fillId="0" borderId="1" xfId="27" applyNumberFormat="1" applyFont="1" applyFill="1" applyBorder="1" applyAlignment="1" applyProtection="1">
      <alignment horizontal="center" vertical="center"/>
      <protection/>
    </xf>
    <xf numFmtId="2" fontId="20" fillId="0" borderId="1" xfId="32" applyNumberFormat="1" applyFont="1" applyBorder="1" applyAlignment="1">
      <alignment horizontal="center" vertical="center"/>
      <protection/>
    </xf>
    <xf numFmtId="170" fontId="13" fillId="0" borderId="38" xfId="0" applyFont="1" applyBorder="1" applyAlignment="1">
      <alignment horizontal="center"/>
    </xf>
    <xf numFmtId="170" fontId="13" fillId="0" borderId="43" xfId="0" applyFont="1" applyBorder="1" applyAlignment="1">
      <alignment horizontal="center"/>
    </xf>
    <xf numFmtId="2" fontId="21" fillId="0" borderId="1" xfId="27" applyNumberFormat="1" applyFont="1" applyFill="1" applyBorder="1" applyAlignment="1" applyProtection="1">
      <alignment horizontal="right" vertical="center"/>
      <protection/>
    </xf>
    <xf numFmtId="2" fontId="21" fillId="0" borderId="17" xfId="27" applyNumberFormat="1" applyFont="1" applyFill="1" applyBorder="1" applyAlignment="1" applyProtection="1">
      <alignment horizontal="right" vertical="center"/>
      <protection/>
    </xf>
    <xf numFmtId="170" fontId="13" fillId="0" borderId="50" xfId="0" applyFont="1" applyBorder="1" applyAlignment="1">
      <alignment horizontal="center"/>
    </xf>
    <xf numFmtId="10" fontId="13" fillId="0" borderId="54" xfId="27" applyNumberFormat="1" applyFont="1" applyFill="1" applyBorder="1" applyAlignment="1" applyProtection="1">
      <alignment horizontal="center"/>
      <protection/>
    </xf>
    <xf numFmtId="10" fontId="4" fillId="19" borderId="56" xfId="27" applyNumberFormat="1" applyFont="1" applyFill="1" applyBorder="1" applyAlignment="1" applyProtection="1">
      <alignment horizontal="center"/>
      <protection/>
    </xf>
    <xf numFmtId="10" fontId="4" fillId="19" borderId="56" xfId="0" applyNumberFormat="1" applyFont="1" applyFill="1" applyBorder="1" applyAlignment="1">
      <alignment horizontal="center" vertical="center"/>
    </xf>
    <xf numFmtId="10" fontId="4" fillId="0" borderId="14" xfId="0" applyNumberFormat="1" applyFont="1" applyBorder="1" applyAlignment="1">
      <alignment horizontal="center"/>
    </xf>
    <xf numFmtId="170" fontId="4" fillId="0" borderId="2" xfId="0" applyFont="1" applyBorder="1"/>
    <xf numFmtId="170" fontId="13" fillId="0" borderId="14" xfId="0" applyFont="1" applyBorder="1"/>
    <xf numFmtId="10" fontId="13" fillId="0" borderId="18" xfId="2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vertical="center" wrapText="1"/>
    </xf>
    <xf numFmtId="0" fontId="4" fillId="12" borderId="18" xfId="0" applyNumberFormat="1" applyFont="1" applyFill="1" applyBorder="1" applyAlignment="1">
      <alignment horizontal="center" vertical="center" wrapText="1"/>
    </xf>
    <xf numFmtId="0" fontId="4" fillId="6" borderId="20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Border="1" applyAlignment="1">
      <alignment vertical="center" wrapText="1"/>
    </xf>
    <xf numFmtId="0" fontId="13" fillId="0" borderId="1" xfId="59" applyNumberFormat="1" applyFont="1" applyBorder="1" applyAlignment="1">
      <alignment horizontal="center" vertical="center"/>
      <protection/>
    </xf>
    <xf numFmtId="0" fontId="13" fillId="3" borderId="7" xfId="59" applyNumberFormat="1" applyFont="1" applyFill="1" applyBorder="1" applyAlignment="1">
      <alignment horizontal="center" vertical="center"/>
      <protection/>
    </xf>
    <xf numFmtId="0" fontId="13" fillId="3" borderId="16" xfId="59" applyNumberFormat="1" applyFont="1" applyFill="1" applyBorder="1" applyAlignment="1">
      <alignment horizontal="center" vertical="center"/>
      <protection/>
    </xf>
    <xf numFmtId="0" fontId="13" fillId="3" borderId="8" xfId="0" applyNumberFormat="1" applyFont="1" applyFill="1" applyBorder="1" applyAlignment="1">
      <alignment horizontal="center" vertical="center"/>
    </xf>
    <xf numFmtId="0" fontId="13" fillId="3" borderId="8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horizontal="right" vertical="center" wrapText="1"/>
    </xf>
    <xf numFmtId="0" fontId="13" fillId="0" borderId="1" xfId="59" applyNumberFormat="1" applyFont="1" applyFill="1" applyBorder="1" applyAlignment="1" applyProtection="1">
      <alignment horizontal="center" vertical="center" wrapText="1"/>
      <protection/>
    </xf>
    <xf numFmtId="0" fontId="4" fillId="6" borderId="18" xfId="0" applyNumberFormat="1" applyFont="1" applyFill="1" applyBorder="1" applyAlignment="1">
      <alignment horizontal="center" vertical="center" wrapText="1"/>
    </xf>
    <xf numFmtId="40" fontId="13" fillId="2" borderId="0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39" fontId="13" fillId="3" borderId="1" xfId="0" applyNumberFormat="1" applyFont="1" applyFill="1" applyBorder="1" applyAlignment="1">
      <alignment horizontal="center" vertical="center" wrapText="1"/>
    </xf>
    <xf numFmtId="178" fontId="13" fillId="0" borderId="11" xfId="0" applyNumberFormat="1" applyFont="1" applyBorder="1" applyAlignment="1">
      <alignment horizontal="center" vertical="center" wrapText="1"/>
    </xf>
    <xf numFmtId="170" fontId="13" fillId="3" borderId="16" xfId="0" applyFont="1" applyFill="1" applyBorder="1" applyAlignment="1">
      <alignment horizontal="center" vertical="center" wrapText="1"/>
    </xf>
    <xf numFmtId="169" fontId="13" fillId="3" borderId="16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178" fontId="13" fillId="3" borderId="16" xfId="0" applyNumberFormat="1" applyFont="1" applyFill="1" applyBorder="1" applyAlignment="1">
      <alignment horizontal="center" vertical="center" wrapText="1"/>
    </xf>
    <xf numFmtId="10" fontId="13" fillId="0" borderId="16" xfId="21" applyNumberFormat="1" applyFont="1" applyBorder="1" applyAlignment="1">
      <alignment horizontal="center" vertical="center" wrapText="1"/>
    </xf>
    <xf numFmtId="170" fontId="4" fillId="3" borderId="8" xfId="0" applyFont="1" applyFill="1" applyBorder="1" applyAlignment="1">
      <alignment vertical="center" wrapText="1"/>
    </xf>
    <xf numFmtId="170" fontId="13" fillId="3" borderId="8" xfId="0" applyFont="1" applyFill="1" applyBorder="1" applyAlignment="1">
      <alignment horizontal="center" vertical="center" wrapText="1"/>
    </xf>
    <xf numFmtId="178" fontId="13" fillId="3" borderId="8" xfId="0" applyNumberFormat="1" applyFont="1" applyFill="1" applyBorder="1" applyAlignment="1">
      <alignment horizontal="center" vertical="center" wrapText="1"/>
    </xf>
    <xf numFmtId="10" fontId="13" fillId="3" borderId="9" xfId="21" applyNumberFormat="1" applyFont="1" applyFill="1" applyBorder="1" applyAlignment="1">
      <alignment horizontal="center" vertical="center" wrapText="1"/>
    </xf>
    <xf numFmtId="0" fontId="13" fillId="0" borderId="11" xfId="59" applyNumberFormat="1" applyFont="1" applyFill="1" applyBorder="1" applyAlignment="1" applyProtection="1">
      <alignment horizontal="center" vertical="center" wrapText="1"/>
      <protection/>
    </xf>
    <xf numFmtId="0" fontId="13" fillId="3" borderId="1" xfId="59" applyNumberFormat="1" applyFont="1" applyFill="1" applyBorder="1" applyAlignment="1" applyProtection="1">
      <alignment horizontal="center" vertical="center" wrapText="1"/>
      <protection/>
    </xf>
    <xf numFmtId="0" fontId="13" fillId="3" borderId="7" xfId="59" applyNumberFormat="1" applyFont="1" applyFill="1" applyBorder="1" applyAlignment="1" applyProtection="1">
      <alignment horizontal="center" vertical="center" wrapText="1"/>
      <protection/>
    </xf>
    <xf numFmtId="10" fontId="13" fillId="0" borderId="8" xfId="21" applyNumberFormat="1" applyFont="1" applyBorder="1" applyAlignment="1">
      <alignment horizontal="center" vertical="center" wrapText="1"/>
    </xf>
    <xf numFmtId="0" fontId="13" fillId="3" borderId="11" xfId="59" applyNumberFormat="1" applyFont="1" applyFill="1" applyBorder="1" applyAlignment="1" applyProtection="1">
      <alignment horizontal="center" vertical="center" wrapText="1"/>
      <protection/>
    </xf>
    <xf numFmtId="0" fontId="13" fillId="0" borderId="7" xfId="59" applyNumberFormat="1" applyFont="1" applyFill="1" applyBorder="1" applyAlignment="1" applyProtection="1">
      <alignment horizontal="center" vertical="center" wrapText="1"/>
      <protection/>
    </xf>
    <xf numFmtId="0" fontId="13" fillId="3" borderId="15" xfId="0" applyNumberFormat="1" applyFont="1" applyFill="1" applyBorder="1" applyAlignment="1">
      <alignment vertical="center" wrapText="1"/>
    </xf>
    <xf numFmtId="178" fontId="13" fillId="0" borderId="8" xfId="0" applyNumberFormat="1" applyFont="1" applyBorder="1" applyAlignment="1">
      <alignment horizontal="center" vertical="center" wrapText="1"/>
    </xf>
    <xf numFmtId="170" fontId="4" fillId="3" borderId="2" xfId="0" applyFont="1" applyFill="1" applyBorder="1" applyAlignment="1">
      <alignment horizontal="right" vertical="center" wrapText="1"/>
    </xf>
    <xf numFmtId="170" fontId="4" fillId="3" borderId="0" xfId="0" applyFont="1" applyFill="1" applyBorder="1" applyAlignment="1">
      <alignment horizontal="right" vertical="center" wrapText="1"/>
    </xf>
    <xf numFmtId="169" fontId="4" fillId="3" borderId="0" xfId="20" applyNumberFormat="1" applyFont="1" applyFill="1" applyBorder="1" applyAlignment="1">
      <alignment horizontal="center" vertical="center" wrapText="1"/>
    </xf>
    <xf numFmtId="170" fontId="4" fillId="11" borderId="24" xfId="0" applyFont="1" applyFill="1" applyBorder="1" applyAlignment="1">
      <alignment horizontal="center" vertical="center" wrapText="1"/>
    </xf>
    <xf numFmtId="169" fontId="4" fillId="11" borderId="6" xfId="20" applyNumberFormat="1" applyFont="1" applyFill="1" applyBorder="1" applyAlignment="1">
      <alignment horizontal="center" vertical="center" wrapText="1"/>
    </xf>
    <xf numFmtId="10" fontId="13" fillId="11" borderId="57" xfId="21" applyNumberFormat="1" applyFont="1" applyFill="1" applyBorder="1" applyAlignment="1">
      <alignment horizontal="center" vertical="center" wrapText="1"/>
    </xf>
    <xf numFmtId="10" fontId="13" fillId="3" borderId="1" xfId="21" applyNumberFormat="1" applyFont="1" applyFill="1" applyBorder="1" applyAlignment="1">
      <alignment horizontal="center" vertical="center" wrapText="1"/>
    </xf>
    <xf numFmtId="0" fontId="4" fillId="3" borderId="58" xfId="0" applyNumberFormat="1" applyFont="1" applyFill="1" applyBorder="1" applyAlignment="1">
      <alignment horizontal="center" vertical="center" wrapText="1"/>
    </xf>
    <xf numFmtId="170" fontId="4" fillId="3" borderId="58" xfId="0" applyFont="1" applyFill="1" applyBorder="1" applyAlignment="1">
      <alignment horizontal="center" vertical="center" wrapText="1"/>
    </xf>
    <xf numFmtId="169" fontId="4" fillId="3" borderId="58" xfId="0" applyNumberFormat="1" applyFont="1" applyFill="1" applyBorder="1" applyAlignment="1">
      <alignment horizontal="center" vertical="center" wrapText="1"/>
    </xf>
    <xf numFmtId="169" fontId="4" fillId="3" borderId="58" xfId="20" applyNumberFormat="1" applyFont="1" applyFill="1" applyBorder="1" applyAlignment="1">
      <alignment horizontal="center" vertical="center" wrapText="1"/>
    </xf>
    <xf numFmtId="10" fontId="13" fillId="3" borderId="59" xfId="21" applyNumberFormat="1" applyFont="1" applyFill="1" applyBorder="1" applyAlignment="1">
      <alignment horizontal="center" vertical="center" wrapText="1"/>
    </xf>
    <xf numFmtId="170" fontId="13" fillId="0" borderId="11" xfId="0" applyFont="1" applyFill="1" applyBorder="1" applyAlignment="1">
      <alignment horizontal="center" vertical="center" wrapText="1"/>
    </xf>
    <xf numFmtId="49" fontId="13" fillId="3" borderId="11" xfId="0" applyNumberFormat="1" applyFont="1" applyFill="1" applyBorder="1" applyAlignment="1" applyProtection="1">
      <alignment horizontal="center" vertical="center" wrapText="1"/>
      <protection/>
    </xf>
    <xf numFmtId="10" fontId="13" fillId="3" borderId="7" xfId="21" applyNumberFormat="1" applyFont="1" applyFill="1" applyBorder="1" applyAlignment="1">
      <alignment horizontal="center" vertical="center" wrapText="1"/>
    </xf>
    <xf numFmtId="49" fontId="13" fillId="3" borderId="17" xfId="0" applyNumberFormat="1" applyFont="1" applyFill="1" applyBorder="1" applyAlignment="1" applyProtection="1">
      <alignment horizontal="center" vertical="center" wrapText="1"/>
      <protection/>
    </xf>
    <xf numFmtId="169" fontId="13" fillId="0" borderId="8" xfId="20" applyNumberFormat="1" applyFont="1" applyFill="1" applyBorder="1" applyAlignment="1">
      <alignment horizontal="center" vertical="center" wrapText="1"/>
    </xf>
    <xf numFmtId="170" fontId="22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3" fillId="3" borderId="11" xfId="21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170" fontId="4" fillId="6" borderId="7" xfId="31" applyFont="1" applyFill="1" applyBorder="1" applyAlignment="1">
      <alignment vertical="center"/>
      <protection/>
    </xf>
    <xf numFmtId="170" fontId="4" fillId="0" borderId="0" xfId="0" applyFont="1" applyFill="1" applyBorder="1" applyAlignment="1">
      <alignment horizontal="center" vertical="center" wrapText="1"/>
    </xf>
    <xf numFmtId="170" fontId="4" fillId="6" borderId="1" xfId="31" applyFont="1" applyFill="1" applyBorder="1" applyAlignment="1">
      <alignment horizontal="left" vertical="center"/>
      <protection/>
    </xf>
    <xf numFmtId="170" fontId="4" fillId="7" borderId="1" xfId="31" applyFont="1" applyFill="1" applyBorder="1" applyAlignment="1">
      <alignment horizontal="left" vertical="center"/>
      <protection/>
    </xf>
    <xf numFmtId="170" fontId="13" fillId="0" borderId="1" xfId="0" applyFont="1" applyFill="1" applyBorder="1" applyAlignment="1">
      <alignment horizontal="left" vertical="center" wrapText="1"/>
    </xf>
    <xf numFmtId="170" fontId="13" fillId="0" borderId="1" xfId="0" applyFont="1" applyBorder="1" applyAlignment="1">
      <alignment horizontal="center" vertical="center" wrapText="1"/>
    </xf>
    <xf numFmtId="0" fontId="4" fillId="3" borderId="1" xfId="31" applyNumberFormat="1" applyFont="1" applyFill="1" applyBorder="1" applyAlignment="1">
      <alignment vertical="center"/>
      <protection/>
    </xf>
    <xf numFmtId="40" fontId="13" fillId="2" borderId="0" xfId="0" applyNumberFormat="1" applyFont="1" applyFill="1" applyBorder="1" applyAlignment="1">
      <alignment horizontal="center"/>
    </xf>
    <xf numFmtId="170" fontId="13" fillId="0" borderId="0" xfId="0" applyFont="1" applyAlignment="1">
      <alignment horizontal="center"/>
    </xf>
    <xf numFmtId="174" fontId="4" fillId="6" borderId="0" xfId="0" applyNumberFormat="1" applyFont="1" applyFill="1" applyBorder="1" applyAlignment="1" applyProtection="1">
      <alignment horizontal="center" vertical="center" wrapText="1"/>
      <protection/>
    </xf>
    <xf numFmtId="174" fontId="4" fillId="3" borderId="0" xfId="0" applyNumberFormat="1" applyFont="1" applyFill="1" applyBorder="1" applyAlignment="1" applyProtection="1">
      <alignment horizontal="left" vertical="center" wrapText="1"/>
      <protection/>
    </xf>
    <xf numFmtId="170" fontId="4" fillId="6" borderId="0" xfId="31" applyFont="1" applyFill="1" applyBorder="1" applyAlignment="1">
      <alignment horizontal="left" vertical="center" wrapText="1"/>
      <protection/>
    </xf>
    <xf numFmtId="0" fontId="4" fillId="3" borderId="0" xfId="31" applyNumberFormat="1" applyFont="1" applyFill="1" applyBorder="1" applyAlignment="1">
      <alignment horizontal="center" vertical="center" wrapText="1"/>
      <protection/>
    </xf>
    <xf numFmtId="170" fontId="13" fillId="0" borderId="0" xfId="0" applyFont="1" applyAlignment="1">
      <alignment horizontal="center"/>
    </xf>
    <xf numFmtId="40" fontId="13" fillId="3" borderId="0" xfId="58" applyNumberFormat="1" applyFont="1" applyFill="1" applyAlignment="1">
      <alignment horizontal="center"/>
      <protection/>
    </xf>
    <xf numFmtId="40" fontId="13" fillId="3" borderId="0" xfId="58" applyNumberFormat="1" applyFont="1" applyFill="1" applyAlignment="1">
      <alignment horizontal="left" wrapText="1"/>
      <protection/>
    </xf>
    <xf numFmtId="40" fontId="13" fillId="3" borderId="0" xfId="58" applyNumberFormat="1" applyFont="1" applyFill="1" applyAlignment="1">
      <alignment horizontal="center" wrapText="1"/>
      <protection/>
    </xf>
    <xf numFmtId="4" fontId="13" fillId="0" borderId="1" xfId="0" applyNumberFormat="1" applyFont="1" applyFill="1" applyBorder="1" applyAlignment="1">
      <alignment horizontal="center" vertical="center" wrapText="1"/>
    </xf>
    <xf numFmtId="170" fontId="13" fillId="0" borderId="7" xfId="0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4" fontId="13" fillId="0" borderId="0" xfId="33" applyFont="1" applyAlignment="1">
      <alignment horizontal="center" vertical="center" wrapText="1"/>
    </xf>
    <xf numFmtId="164" fontId="13" fillId="0" borderId="0" xfId="20" applyFont="1" applyAlignment="1">
      <alignment horizontal="right" vertical="center"/>
    </xf>
    <xf numFmtId="0" fontId="4" fillId="3" borderId="58" xfId="0" applyNumberFormat="1" applyFont="1" applyFill="1" applyBorder="1" applyAlignment="1">
      <alignment horizontal="right" vertical="center" wrapText="1"/>
    </xf>
    <xf numFmtId="44" fontId="13" fillId="0" borderId="0" xfId="33" applyFont="1" applyBorder="1" applyAlignment="1">
      <alignment horizontal="center"/>
    </xf>
    <xf numFmtId="170" fontId="13" fillId="0" borderId="7" xfId="0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40" fontId="4" fillId="2" borderId="0" xfId="0" applyNumberFormat="1" applyFont="1" applyFill="1" applyBorder="1" applyAlignment="1">
      <alignment/>
    </xf>
    <xf numFmtId="0" fontId="13" fillId="0" borderId="0" xfId="0" applyNumberFormat="1" applyFont="1" applyBorder="1"/>
    <xf numFmtId="170" fontId="13" fillId="0" borderId="1" xfId="0" applyFont="1" applyFill="1" applyBorder="1" applyAlignment="1">
      <alignment horizontal="left" vertical="top" wrapText="1"/>
    </xf>
    <xf numFmtId="0" fontId="13" fillId="0" borderId="0" xfId="0" applyNumberFormat="1" applyFont="1" applyAlignment="1">
      <alignment horizontal="center" vertical="center"/>
    </xf>
    <xf numFmtId="170" fontId="22" fillId="3" borderId="1" xfId="0" applyFont="1" applyFill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38" fontId="4" fillId="3" borderId="0" xfId="55" applyNumberFormat="1" applyFont="1" applyFill="1" applyBorder="1" applyAlignment="1">
      <alignment horizontal="center" vertical="center"/>
      <protection/>
    </xf>
    <xf numFmtId="40" fontId="4" fillId="3" borderId="0" xfId="55" applyNumberFormat="1" applyFont="1" applyFill="1" applyBorder="1" applyAlignment="1">
      <alignment horizontal="left" vertical="center"/>
      <protection/>
    </xf>
    <xf numFmtId="40" fontId="13" fillId="3" borderId="0" xfId="55" applyNumberFormat="1" applyFont="1" applyFill="1" applyBorder="1" applyAlignment="1">
      <alignment horizontal="left" vertical="center"/>
      <protection/>
    </xf>
    <xf numFmtId="170" fontId="9" fillId="0" borderId="0" xfId="44" applyFont="1" applyAlignment="1">
      <alignment vertical="center"/>
      <protection/>
    </xf>
    <xf numFmtId="40" fontId="13" fillId="3" borderId="0" xfId="55" applyNumberFormat="1" applyFont="1" applyFill="1" applyAlignment="1">
      <alignment horizontal="left" vertical="center"/>
      <protection/>
    </xf>
    <xf numFmtId="170" fontId="13" fillId="0" borderId="0" xfId="0" applyFont="1" applyAlignment="1">
      <alignment horizontal="center" vertical="center"/>
    </xf>
    <xf numFmtId="40" fontId="13" fillId="3" borderId="0" xfId="55" applyNumberFormat="1" applyFont="1" applyFill="1" applyBorder="1" applyAlignment="1">
      <alignment horizontal="center" vertical="center"/>
      <protection/>
    </xf>
    <xf numFmtId="40" fontId="13" fillId="20" borderId="17" xfId="55" applyNumberFormat="1" applyFont="1" applyFill="1" applyBorder="1" applyAlignment="1">
      <alignment horizontal="center" vertical="center"/>
      <protection/>
    </xf>
    <xf numFmtId="40" fontId="4" fillId="3" borderId="0" xfId="55" applyNumberFormat="1" applyFont="1" applyFill="1" applyBorder="1" applyAlignment="1">
      <alignment horizontal="center" vertical="center"/>
      <protection/>
    </xf>
    <xf numFmtId="40" fontId="13" fillId="20" borderId="8" xfId="55" applyNumberFormat="1" applyFont="1" applyFill="1" applyBorder="1" applyAlignment="1">
      <alignment horizontal="center" vertical="center"/>
      <protection/>
    </xf>
    <xf numFmtId="40" fontId="13" fillId="0" borderId="0" xfId="55" applyNumberFormat="1" applyFont="1" applyFill="1" applyBorder="1" applyAlignment="1">
      <alignment horizontal="left" vertical="center"/>
      <protection/>
    </xf>
    <xf numFmtId="40" fontId="4" fillId="3" borderId="0" xfId="55" applyNumberFormat="1" applyFont="1" applyFill="1" applyAlignment="1">
      <alignment vertical="center" wrapText="1"/>
      <protection/>
    </xf>
    <xf numFmtId="40" fontId="9" fillId="3" borderId="0" xfId="44" applyNumberFormat="1" applyFont="1" applyFill="1" applyAlignment="1">
      <alignment horizontal="center" vertical="center"/>
      <protection/>
    </xf>
    <xf numFmtId="40" fontId="13" fillId="3" borderId="0" xfId="55" applyNumberFormat="1" applyFont="1" applyFill="1" applyAlignment="1">
      <alignment horizontal="left" vertical="center" wrapText="1"/>
      <protection/>
    </xf>
    <xf numFmtId="170" fontId="9" fillId="3" borderId="0" xfId="44" applyFont="1" applyFill="1" applyAlignment="1">
      <alignment vertical="center"/>
      <protection/>
    </xf>
    <xf numFmtId="2" fontId="4" fillId="3" borderId="0" xfId="44" applyNumberFormat="1" applyFont="1" applyFill="1" applyAlignment="1">
      <alignment vertical="center" wrapText="1"/>
      <protection/>
    </xf>
    <xf numFmtId="170" fontId="13" fillId="3" borderId="0" xfId="0" applyFont="1" applyFill="1" applyAlignment="1">
      <alignment vertical="center"/>
    </xf>
    <xf numFmtId="40" fontId="13" fillId="3" borderId="0" xfId="0" applyNumberFormat="1" applyFont="1" applyFill="1" applyAlignment="1">
      <alignment horizontal="center" vertical="center"/>
    </xf>
    <xf numFmtId="40" fontId="4" fillId="3" borderId="0" xfId="0" applyNumberFormat="1" applyFont="1" applyFill="1" applyAlignment="1">
      <alignment horizontal="center" vertical="center"/>
    </xf>
    <xf numFmtId="2" fontId="13" fillId="3" borderId="0" xfId="0" applyNumberFormat="1" applyFont="1" applyFill="1" applyAlignment="1">
      <alignment vertical="center"/>
    </xf>
    <xf numFmtId="2" fontId="4" fillId="3" borderId="0" xfId="0" applyNumberFormat="1" applyFont="1" applyFill="1" applyAlignment="1">
      <alignment horizontal="left" vertical="center" wrapText="1"/>
    </xf>
    <xf numFmtId="40" fontId="4" fillId="3" borderId="0" xfId="0" applyNumberFormat="1" applyFont="1" applyFill="1" applyAlignment="1">
      <alignment horizontal="left" vertical="center"/>
    </xf>
    <xf numFmtId="40" fontId="13" fillId="3" borderId="0" xfId="0" applyNumberFormat="1" applyFont="1" applyFill="1" applyBorder="1" applyAlignment="1">
      <alignment horizontal="center" vertical="center"/>
    </xf>
    <xf numFmtId="170" fontId="13" fillId="3" borderId="0" xfId="0" applyFont="1" applyFill="1" applyAlignment="1">
      <alignment horizontal="center" vertical="center"/>
    </xf>
    <xf numFmtId="40" fontId="13" fillId="3" borderId="0" xfId="55" applyNumberFormat="1" applyFont="1" applyFill="1" applyBorder="1" applyAlignment="1">
      <alignment horizontal="left" vertical="center" wrapText="1"/>
      <protection/>
    </xf>
    <xf numFmtId="40" fontId="13" fillId="3" borderId="0" xfId="55" applyNumberFormat="1" applyFont="1" applyFill="1" applyBorder="1" applyAlignment="1">
      <alignment vertical="center" wrapText="1"/>
      <protection/>
    </xf>
    <xf numFmtId="40" fontId="13" fillId="20" borderId="9" xfId="55" applyNumberFormat="1" applyFont="1" applyFill="1" applyBorder="1" applyAlignment="1">
      <alignment horizontal="center" vertical="center"/>
      <protection/>
    </xf>
    <xf numFmtId="40" fontId="4" fillId="3" borderId="0" xfId="55" applyNumberFormat="1" applyFont="1" applyFill="1" applyBorder="1" applyAlignment="1">
      <alignment horizontal="left" vertical="center" wrapText="1"/>
      <protection/>
    </xf>
    <xf numFmtId="40" fontId="13" fillId="3" borderId="0" xfId="55" applyNumberFormat="1" applyFont="1" applyFill="1" applyBorder="1" applyAlignment="1">
      <alignment horizontal="center" vertical="center" wrapText="1"/>
      <protection/>
    </xf>
    <xf numFmtId="166" fontId="13" fillId="3" borderId="0" xfId="55" applyNumberFormat="1" applyFont="1" applyFill="1" applyBorder="1" applyAlignment="1">
      <alignment horizontal="center" vertical="center"/>
      <protection/>
    </xf>
    <xf numFmtId="40" fontId="4" fillId="3" borderId="0" xfId="55" applyNumberFormat="1" applyFont="1" applyFill="1" applyAlignment="1">
      <alignment horizontal="left" vertical="center" wrapText="1"/>
      <protection/>
    </xf>
    <xf numFmtId="40" fontId="4" fillId="3" borderId="0" xfId="55" applyNumberFormat="1" applyFont="1" applyFill="1" applyBorder="1" applyAlignment="1">
      <alignment vertical="center" wrapText="1"/>
      <protection/>
    </xf>
    <xf numFmtId="170" fontId="14" fillId="0" borderId="0" xfId="44" applyFont="1" applyAlignment="1">
      <alignment horizontal="center" vertical="center"/>
      <protection/>
    </xf>
    <xf numFmtId="40" fontId="13" fillId="3" borderId="0" xfId="55" applyNumberFormat="1" applyFont="1" applyFill="1" applyBorder="1" applyAlignment="1">
      <alignment vertical="center"/>
      <protection/>
    </xf>
    <xf numFmtId="170" fontId="13" fillId="3" borderId="0" xfId="0" applyFont="1" applyFill="1" applyBorder="1" applyAlignment="1">
      <alignment vertical="center"/>
    </xf>
    <xf numFmtId="2" fontId="13" fillId="0" borderId="0" xfId="0" applyNumberFormat="1" applyFont="1" applyAlignment="1">
      <alignment vertical="center"/>
    </xf>
    <xf numFmtId="170" fontId="14" fillId="0" borderId="0" xfId="0" applyFont="1" applyAlignment="1">
      <alignment horizontal="center" vertical="center"/>
    </xf>
    <xf numFmtId="40" fontId="13" fillId="0" borderId="0" xfId="55" applyNumberFormat="1" applyFont="1" applyFill="1" applyBorder="1" applyAlignment="1">
      <alignment horizontal="center" vertical="center"/>
      <protection/>
    </xf>
    <xf numFmtId="40" fontId="4" fillId="0" borderId="0" xfId="55" applyNumberFormat="1" applyFont="1" applyFill="1" applyBorder="1" applyAlignment="1">
      <alignment horizontal="center" vertical="center" wrapText="1"/>
      <protection/>
    </xf>
    <xf numFmtId="40" fontId="4" fillId="0" borderId="0" xfId="55" applyNumberFormat="1" applyFont="1" applyFill="1" applyBorder="1" applyAlignment="1">
      <alignment horizontal="center" vertical="center"/>
      <protection/>
    </xf>
    <xf numFmtId="40" fontId="13" fillId="0" borderId="0" xfId="55" applyNumberFormat="1" applyFont="1" applyFill="1" applyBorder="1" applyAlignment="1">
      <alignment vertical="center"/>
      <protection/>
    </xf>
    <xf numFmtId="40" fontId="4" fillId="0" borderId="0" xfId="55" applyNumberFormat="1" applyFont="1" applyFill="1" applyBorder="1" applyAlignment="1">
      <alignment horizontal="left" vertical="center" wrapText="1"/>
      <protection/>
    </xf>
    <xf numFmtId="40" fontId="13" fillId="0" borderId="0" xfId="55" applyNumberFormat="1" applyFont="1" applyFill="1" applyAlignment="1">
      <alignment horizontal="center" vertical="center"/>
      <protection/>
    </xf>
    <xf numFmtId="170" fontId="9" fillId="0" borderId="0" xfId="44" applyFont="1">
      <alignment/>
      <protection/>
    </xf>
    <xf numFmtId="170" fontId="14" fillId="0" borderId="0" xfId="44" applyFont="1" applyAlignment="1">
      <alignment vertical="center" wrapText="1"/>
      <protection/>
    </xf>
    <xf numFmtId="170" fontId="9" fillId="3" borderId="0" xfId="44" applyFont="1" applyFill="1" applyBorder="1" applyAlignment="1">
      <alignment horizontal="center" vertical="center"/>
      <protection/>
    </xf>
    <xf numFmtId="2" fontId="9" fillId="3" borderId="0" xfId="44" applyNumberFormat="1" applyFont="1" applyFill="1" applyBorder="1" applyAlignment="1">
      <alignment horizontal="center" vertical="center"/>
      <protection/>
    </xf>
    <xf numFmtId="170" fontId="23" fillId="3" borderId="1" xfId="0" applyFont="1" applyFill="1" applyBorder="1" applyAlignment="1">
      <alignment horizontal="left" vertical="center" wrapText="1"/>
    </xf>
    <xf numFmtId="2" fontId="4" fillId="3" borderId="0" xfId="0" applyNumberFormat="1" applyFont="1" applyFill="1" applyAlignment="1">
      <alignment vertical="center" wrapText="1"/>
    </xf>
    <xf numFmtId="0" fontId="13" fillId="0" borderId="0" xfId="0" applyNumberFormat="1" applyFont="1" applyAlignment="1">
      <alignment horizontal="center"/>
    </xf>
    <xf numFmtId="0" fontId="13" fillId="3" borderId="0" xfId="0" applyNumberFormat="1" applyFont="1" applyFill="1" applyBorder="1"/>
    <xf numFmtId="0" fontId="13" fillId="3" borderId="0" xfId="0" applyNumberFormat="1" applyFont="1" applyFill="1" applyBorder="1" applyAlignment="1">
      <alignment horizontal="center"/>
    </xf>
    <xf numFmtId="2" fontId="13" fillId="3" borderId="0" xfId="55" applyNumberFormat="1" applyFont="1" applyFill="1" applyBorder="1" applyAlignment="1">
      <alignment horizontal="left" vertical="center"/>
      <protection/>
    </xf>
    <xf numFmtId="2" fontId="13" fillId="3" borderId="0" xfId="55" applyNumberFormat="1" applyFont="1" applyFill="1" applyBorder="1" applyAlignment="1">
      <alignment horizontal="center" vertical="center"/>
      <protection/>
    </xf>
    <xf numFmtId="2" fontId="13" fillId="3" borderId="0" xfId="42" applyNumberFormat="1" applyFont="1" applyFill="1" applyAlignment="1">
      <alignment vertical="center"/>
      <protection/>
    </xf>
    <xf numFmtId="2" fontId="4" fillId="3" borderId="0" xfId="55" applyNumberFormat="1" applyFont="1" applyFill="1" applyBorder="1" applyAlignment="1">
      <alignment horizontal="center" vertical="center"/>
      <protection/>
    </xf>
    <xf numFmtId="2" fontId="13" fillId="3" borderId="0" xfId="55" applyNumberFormat="1" applyFont="1" applyFill="1" applyAlignment="1">
      <alignment horizontal="left" vertical="center"/>
      <protection/>
    </xf>
    <xf numFmtId="2" fontId="13" fillId="3" borderId="0" xfId="55" applyNumberFormat="1" applyFont="1" applyFill="1" applyAlignment="1">
      <alignment horizontal="center" vertical="center"/>
      <protection/>
    </xf>
    <xf numFmtId="2" fontId="4" fillId="3" borderId="0" xfId="55" applyNumberFormat="1" applyFont="1" applyFill="1" applyAlignment="1">
      <alignment horizontal="left" vertical="center"/>
      <protection/>
    </xf>
    <xf numFmtId="2" fontId="13" fillId="20" borderId="17" xfId="55" applyNumberFormat="1" applyFont="1" applyFill="1" applyBorder="1" applyAlignment="1">
      <alignment horizontal="left" vertical="center"/>
      <protection/>
    </xf>
    <xf numFmtId="2" fontId="13" fillId="20" borderId="8" xfId="55" applyNumberFormat="1" applyFont="1" applyFill="1" applyBorder="1" applyAlignment="1">
      <alignment horizontal="center" vertical="center"/>
      <protection/>
    </xf>
    <xf numFmtId="2" fontId="13" fillId="20" borderId="8" xfId="55" applyNumberFormat="1" applyFont="1" applyFill="1" applyBorder="1" applyAlignment="1">
      <alignment vertical="center"/>
      <protection/>
    </xf>
    <xf numFmtId="2" fontId="13" fillId="20" borderId="9" xfId="55" applyNumberFormat="1" applyFont="1" applyFill="1" applyBorder="1" applyAlignment="1">
      <alignment horizontal="left" vertical="center"/>
      <protection/>
    </xf>
    <xf numFmtId="2" fontId="4" fillId="3" borderId="0" xfId="55" applyNumberFormat="1" applyFont="1" applyFill="1" applyAlignment="1">
      <alignment horizontal="center" vertical="center"/>
      <protection/>
    </xf>
    <xf numFmtId="2" fontId="9" fillId="3" borderId="0" xfId="44" applyNumberFormat="1" applyFont="1" applyFill="1" applyAlignment="1">
      <alignment horizontal="center" vertical="center"/>
      <protection/>
    </xf>
    <xf numFmtId="2" fontId="9" fillId="3" borderId="0" xfId="44" applyNumberFormat="1" applyFont="1" applyFill="1" applyAlignment="1">
      <alignment vertical="center"/>
      <protection/>
    </xf>
    <xf numFmtId="2" fontId="9" fillId="0" borderId="0" xfId="0" applyNumberFormat="1" applyFont="1" applyAlignment="1">
      <alignment horizontal="center" vertical="center"/>
    </xf>
    <xf numFmtId="170" fontId="4" fillId="0" borderId="0" xfId="0" applyFont="1" applyAlignment="1">
      <alignment vertical="center"/>
    </xf>
    <xf numFmtId="2" fontId="13" fillId="3" borderId="0" xfId="55" applyNumberFormat="1" applyFont="1" applyFill="1" applyBorder="1" applyAlignment="1">
      <alignment vertical="center"/>
      <protection/>
    </xf>
    <xf numFmtId="2" fontId="13" fillId="3" borderId="0" xfId="55" applyNumberFormat="1" applyFont="1" applyFill="1" applyBorder="1" applyAlignment="1">
      <alignment vertical="center" wrapText="1"/>
      <protection/>
    </xf>
    <xf numFmtId="174" fontId="4" fillId="6" borderId="0" xfId="0" applyNumberFormat="1" applyFont="1" applyFill="1" applyBorder="1" applyAlignment="1" applyProtection="1">
      <alignment horizontal="center" vertical="center" wrapText="1"/>
      <protection/>
    </xf>
    <xf numFmtId="174" fontId="4" fillId="3" borderId="0" xfId="0" applyNumberFormat="1" applyFont="1" applyFill="1" applyBorder="1" applyAlignment="1" applyProtection="1">
      <alignment horizontal="left" vertical="center" wrapText="1"/>
      <protection/>
    </xf>
    <xf numFmtId="170" fontId="4" fillId="6" borderId="0" xfId="31" applyFont="1" applyFill="1" applyBorder="1" applyAlignment="1">
      <alignment horizontal="left" vertical="center" wrapText="1"/>
      <protection/>
    </xf>
    <xf numFmtId="0" fontId="4" fillId="3" borderId="0" xfId="31" applyNumberFormat="1" applyFont="1" applyFill="1" applyBorder="1" applyAlignment="1">
      <alignment horizontal="center" vertical="center" wrapText="1"/>
      <protection/>
    </xf>
    <xf numFmtId="170" fontId="13" fillId="0" borderId="0" xfId="0" applyFont="1" applyAlignment="1">
      <alignment horizontal="center"/>
    </xf>
    <xf numFmtId="4" fontId="13" fillId="0" borderId="1" xfId="0" applyNumberFormat="1" applyFont="1" applyFill="1" applyBorder="1" applyAlignment="1">
      <alignment horizontal="left" vertical="center" wrapText="1"/>
    </xf>
    <xf numFmtId="170" fontId="13" fillId="0" borderId="0" xfId="0" applyFont="1" applyAlignment="1">
      <alignment/>
    </xf>
    <xf numFmtId="2" fontId="13" fillId="0" borderId="0" xfId="0" applyNumberFormat="1" applyFont="1" applyAlignment="1">
      <alignment horizontal="center"/>
    </xf>
    <xf numFmtId="39" fontId="13" fillId="0" borderId="11" xfId="20" applyNumberFormat="1" applyFont="1" applyFill="1" applyBorder="1" applyAlignment="1" applyProtection="1">
      <alignment horizontal="center" vertical="center" wrapText="1"/>
      <protection/>
    </xf>
    <xf numFmtId="4" fontId="13" fillId="0" borderId="11" xfId="0" applyNumberFormat="1" applyFont="1" applyFill="1" applyBorder="1" applyAlignment="1">
      <alignment horizontal="left" vertical="center" wrapText="1"/>
    </xf>
    <xf numFmtId="170" fontId="4" fillId="0" borderId="0" xfId="24" applyFont="1" applyFill="1" applyBorder="1" applyAlignment="1">
      <alignment vertical="center"/>
      <protection/>
    </xf>
    <xf numFmtId="40" fontId="13" fillId="3" borderId="0" xfId="58" applyNumberFormat="1" applyFont="1" applyFill="1" applyAlignment="1">
      <alignment/>
      <protection/>
    </xf>
    <xf numFmtId="40" fontId="13" fillId="3" borderId="0" xfId="58" applyNumberFormat="1" applyFont="1" applyFill="1" applyAlignment="1">
      <alignment horizontal="right"/>
      <protection/>
    </xf>
    <xf numFmtId="170" fontId="13" fillId="0" borderId="0" xfId="0" applyFont="1" applyFill="1"/>
    <xf numFmtId="40" fontId="13" fillId="0" borderId="0" xfId="58" applyNumberFormat="1" applyFont="1" applyFill="1" applyBorder="1" applyAlignment="1">
      <alignment horizontal="center"/>
      <protection/>
    </xf>
    <xf numFmtId="40" fontId="13" fillId="0" borderId="0" xfId="55" applyNumberFormat="1" applyFont="1" applyFill="1" applyBorder="1" applyAlignment="1">
      <alignment horizontal="left"/>
      <protection/>
    </xf>
    <xf numFmtId="49" fontId="13" fillId="3" borderId="0" xfId="0" applyNumberFormat="1" applyFont="1" applyFill="1" applyAlignment="1">
      <alignment horizontal="center"/>
    </xf>
    <xf numFmtId="49" fontId="13" fillId="0" borderId="11" xfId="59" applyNumberFormat="1" applyFont="1" applyFill="1" applyBorder="1" applyAlignment="1" applyProtection="1">
      <alignment horizontal="left" vertical="center" wrapText="1"/>
      <protection/>
    </xf>
    <xf numFmtId="40" fontId="13" fillId="0" borderId="0" xfId="55" applyNumberFormat="1" applyFont="1" applyFill="1" applyAlignment="1">
      <alignment horizontal="center"/>
      <protection/>
    </xf>
    <xf numFmtId="176" fontId="13" fillId="0" borderId="0" xfId="58" applyNumberFormat="1" applyFont="1" applyFill="1" applyAlignment="1">
      <alignment horizontal="center"/>
      <protection/>
    </xf>
    <xf numFmtId="40" fontId="13" fillId="0" borderId="0" xfId="55" applyNumberFormat="1" applyFont="1" applyFill="1" applyAlignment="1">
      <alignment horizontal="left"/>
      <protection/>
    </xf>
    <xf numFmtId="40" fontId="13" fillId="0" borderId="0" xfId="58" applyNumberFormat="1" applyFont="1" applyFill="1" applyAlignment="1">
      <alignment horizontal="center"/>
      <protection/>
    </xf>
    <xf numFmtId="4" fontId="13" fillId="0" borderId="7" xfId="0" applyNumberFormat="1" applyFont="1" applyFill="1" applyBorder="1" applyAlignment="1">
      <alignment horizontal="left" vertical="center" wrapText="1"/>
    </xf>
    <xf numFmtId="49" fontId="13" fillId="0" borderId="1" xfId="59" applyNumberFormat="1" applyFont="1" applyFill="1" applyBorder="1" applyAlignment="1" applyProtection="1">
      <alignment horizontal="left" vertical="center" wrapText="1"/>
      <protection/>
    </xf>
    <xf numFmtId="170" fontId="13" fillId="0" borderId="7" xfId="0" applyFont="1" applyFill="1" applyBorder="1" applyAlignment="1">
      <alignment vertical="center" wrapText="1"/>
    </xf>
    <xf numFmtId="170" fontId="13" fillId="0" borderId="1" xfId="0" applyFont="1" applyFill="1" applyBorder="1" applyAlignment="1">
      <alignment vertical="center" wrapText="1"/>
    </xf>
    <xf numFmtId="178" fontId="13" fillId="0" borderId="1" xfId="0" applyNumberFormat="1" applyFont="1" applyBorder="1" applyAlignment="1">
      <alignment horizontal="center" vertical="center" wrapText="1"/>
    </xf>
    <xf numFmtId="178" fontId="13" fillId="0" borderId="7" xfId="0" applyNumberFormat="1" applyFont="1" applyBorder="1" applyAlignment="1">
      <alignment horizontal="center" vertical="center" wrapText="1"/>
    </xf>
    <xf numFmtId="170" fontId="4" fillId="0" borderId="0" xfId="0" applyFont="1" applyAlignment="1">
      <alignment horizontal="left"/>
    </xf>
    <xf numFmtId="170" fontId="27" fillId="0" borderId="0" xfId="0" applyFont="1"/>
    <xf numFmtId="170" fontId="27" fillId="0" borderId="0" xfId="0" applyFont="1" applyAlignment="1">
      <alignment horizontal="center"/>
    </xf>
    <xf numFmtId="170" fontId="27" fillId="0" borderId="0" xfId="0" applyFont="1" applyAlignment="1">
      <alignment horizontal="left"/>
    </xf>
    <xf numFmtId="39" fontId="13" fillId="0" borderId="7" xfId="20" applyNumberFormat="1" applyFont="1" applyFill="1" applyBorder="1" applyAlignment="1" applyProtection="1">
      <alignment horizontal="center" vertical="center" wrapText="1"/>
      <protection/>
    </xf>
    <xf numFmtId="170" fontId="1" fillId="0" borderId="0" xfId="0" applyFont="1" applyBorder="1"/>
    <xf numFmtId="170" fontId="1" fillId="3" borderId="0" xfId="0" applyFont="1" applyFill="1" applyBorder="1"/>
    <xf numFmtId="170" fontId="1" fillId="0" borderId="0" xfId="0" applyFont="1" applyBorder="1" applyAlignment="1">
      <alignment horizontal="center"/>
    </xf>
    <xf numFmtId="169" fontId="13" fillId="3" borderId="11" xfId="20" applyNumberFormat="1" applyFont="1" applyFill="1" applyBorder="1" applyAlignment="1">
      <alignment horizontal="center" vertical="center" wrapText="1"/>
    </xf>
    <xf numFmtId="169" fontId="13" fillId="3" borderId="1" xfId="20" applyNumberFormat="1" applyFont="1" applyFill="1" applyBorder="1" applyAlignment="1">
      <alignment horizontal="center" vertical="center" wrapText="1"/>
    </xf>
    <xf numFmtId="169" fontId="13" fillId="3" borderId="7" xfId="20" applyNumberFormat="1" applyFont="1" applyFill="1" applyBorder="1" applyAlignment="1">
      <alignment horizontal="center" vertical="center" wrapText="1"/>
    </xf>
    <xf numFmtId="49" fontId="13" fillId="0" borderId="7" xfId="59" applyNumberFormat="1" applyFont="1" applyFill="1" applyBorder="1" applyAlignment="1" applyProtection="1">
      <alignment horizontal="left" vertical="center" wrapText="1"/>
      <protection/>
    </xf>
    <xf numFmtId="0" fontId="13" fillId="0" borderId="1" xfId="59" applyFont="1" applyFill="1" applyBorder="1" applyAlignment="1">
      <alignment horizontal="left" vertical="center"/>
      <protection/>
    </xf>
    <xf numFmtId="0" fontId="13" fillId="0" borderId="7" xfId="59" applyFont="1" applyFill="1" applyBorder="1" applyAlignment="1">
      <alignment horizontal="left" vertical="center" wrapText="1"/>
      <protection/>
    </xf>
    <xf numFmtId="49" fontId="4" fillId="0" borderId="1" xfId="59" applyNumberFormat="1" applyFont="1" applyFill="1" applyBorder="1" applyAlignment="1" applyProtection="1">
      <alignment horizontal="left" vertical="center" wrapText="1"/>
      <protection/>
    </xf>
    <xf numFmtId="178" fontId="13" fillId="3" borderId="1" xfId="0" applyNumberFormat="1" applyFont="1" applyFill="1" applyBorder="1" applyAlignment="1">
      <alignment horizontal="center" vertical="center" wrapText="1"/>
    </xf>
    <xf numFmtId="170" fontId="4" fillId="11" borderId="19" xfId="0" applyFont="1" applyFill="1" applyBorder="1" applyAlignment="1">
      <alignment vertical="center" wrapText="1"/>
    </xf>
    <xf numFmtId="170" fontId="4" fillId="11" borderId="22" xfId="0" applyFont="1" applyFill="1" applyBorder="1" applyAlignment="1">
      <alignment vertical="center" wrapText="1"/>
    </xf>
    <xf numFmtId="169" fontId="13" fillId="3" borderId="1" xfId="18" applyNumberFormat="1" applyFont="1" applyFill="1" applyBorder="1" applyAlignment="1">
      <alignment horizontal="center" vertical="center"/>
    </xf>
    <xf numFmtId="174" fontId="4" fillId="3" borderId="0" xfId="0" applyNumberFormat="1" applyFont="1" applyFill="1" applyBorder="1" applyAlignment="1" applyProtection="1">
      <alignment horizontal="left" vertical="center" wrapText="1"/>
      <protection/>
    </xf>
    <xf numFmtId="0" fontId="4" fillId="3" borderId="0" xfId="31" applyNumberFormat="1" applyFont="1" applyFill="1" applyBorder="1" applyAlignment="1">
      <alignment horizontal="center" vertical="center" wrapText="1"/>
      <protection/>
    </xf>
    <xf numFmtId="170" fontId="4" fillId="6" borderId="1" xfId="31" applyFont="1" applyFill="1" applyBorder="1" applyAlignment="1">
      <alignment horizontal="left" vertical="center"/>
      <protection/>
    </xf>
    <xf numFmtId="170" fontId="13" fillId="0" borderId="1" xfId="0" applyFont="1" applyFill="1" applyBorder="1" applyAlignment="1">
      <alignment horizontal="left" vertical="center" wrapText="1"/>
    </xf>
    <xf numFmtId="170" fontId="4" fillId="0" borderId="0" xfId="0" applyFont="1" applyAlignment="1">
      <alignment horizontal="left" vertical="center"/>
    </xf>
    <xf numFmtId="49" fontId="13" fillId="3" borderId="55" xfId="0" applyNumberFormat="1" applyFont="1" applyFill="1" applyBorder="1" applyAlignment="1" applyProtection="1">
      <alignment horizontal="center" vertical="center" wrapText="1"/>
      <protection/>
    </xf>
    <xf numFmtId="9" fontId="13" fillId="0" borderId="0" xfId="21" applyFont="1" applyAlignment="1">
      <alignment horizontal="center" vertical="center" wrapText="1"/>
    </xf>
    <xf numFmtId="10" fontId="13" fillId="3" borderId="12" xfId="21" applyNumberFormat="1" applyFont="1" applyFill="1" applyBorder="1" applyAlignment="1">
      <alignment horizontal="center" vertical="center" wrapText="1"/>
    </xf>
    <xf numFmtId="170" fontId="13" fillId="14" borderId="60" xfId="0" applyFont="1" applyFill="1" applyBorder="1" applyAlignment="1">
      <alignment vertical="center"/>
    </xf>
    <xf numFmtId="170" fontId="13" fillId="16" borderId="60" xfId="0" applyFont="1" applyFill="1" applyBorder="1" applyAlignment="1">
      <alignment vertical="center"/>
    </xf>
    <xf numFmtId="170" fontId="13" fillId="14" borderId="61" xfId="0" applyFont="1" applyFill="1" applyBorder="1" applyAlignment="1">
      <alignment vertical="center"/>
    </xf>
    <xf numFmtId="170" fontId="13" fillId="14" borderId="62" xfId="0" applyFont="1" applyFill="1" applyBorder="1" applyAlignment="1">
      <alignment vertical="center"/>
    </xf>
    <xf numFmtId="170" fontId="13" fillId="0" borderId="15" xfId="0" applyFont="1" applyBorder="1"/>
    <xf numFmtId="170" fontId="13" fillId="0" borderId="63" xfId="0" applyFont="1" applyBorder="1"/>
    <xf numFmtId="170" fontId="13" fillId="0" borderId="64" xfId="0" applyFont="1" applyBorder="1"/>
    <xf numFmtId="170" fontId="13" fillId="0" borderId="65" xfId="0" applyFont="1" applyBorder="1"/>
    <xf numFmtId="170" fontId="13" fillId="0" borderId="55" xfId="0" applyFont="1" applyBorder="1"/>
    <xf numFmtId="170" fontId="13" fillId="0" borderId="59" xfId="0" applyFont="1" applyBorder="1"/>
    <xf numFmtId="170" fontId="13" fillId="14" borderId="66" xfId="0" applyFont="1" applyFill="1" applyBorder="1" applyAlignment="1">
      <alignment vertical="center"/>
    </xf>
    <xf numFmtId="170" fontId="13" fillId="14" borderId="67" xfId="0" applyFont="1" applyFill="1" applyBorder="1" applyAlignment="1">
      <alignment vertical="center"/>
    </xf>
    <xf numFmtId="170" fontId="4" fillId="18" borderId="68" xfId="0" applyFont="1" applyFill="1" applyBorder="1" applyAlignment="1">
      <alignment horizontal="center" vertical="center"/>
    </xf>
    <xf numFmtId="170" fontId="13" fillId="18" borderId="35" xfId="0" applyFont="1" applyFill="1" applyBorder="1" applyAlignment="1">
      <alignment horizontal="center" vertical="center"/>
    </xf>
    <xf numFmtId="170" fontId="13" fillId="3" borderId="1" xfId="0" applyNumberFormat="1" applyFont="1" applyFill="1" applyBorder="1" applyAlignment="1">
      <alignment horizontal="left" vertical="center" wrapText="1"/>
    </xf>
    <xf numFmtId="170" fontId="13" fillId="3" borderId="7" xfId="0" applyNumberFormat="1" applyFont="1" applyFill="1" applyBorder="1" applyAlignment="1">
      <alignment horizontal="left" vertical="center" wrapText="1"/>
    </xf>
    <xf numFmtId="170" fontId="13" fillId="3" borderId="0" xfId="0" applyFont="1" applyFill="1" applyAlignment="1">
      <alignment horizontal="center" vertical="center" wrapText="1"/>
    </xf>
    <xf numFmtId="170" fontId="13" fillId="3" borderId="6" xfId="0" applyFont="1" applyFill="1" applyBorder="1" applyAlignment="1">
      <alignment horizontal="center" vertical="center" wrapText="1"/>
    </xf>
    <xf numFmtId="169" fontId="13" fillId="3" borderId="7" xfId="18" applyNumberFormat="1" applyFont="1" applyFill="1" applyBorder="1" applyAlignment="1">
      <alignment horizontal="center" vertical="center"/>
    </xf>
    <xf numFmtId="169" fontId="13" fillId="3" borderId="7" xfId="0" applyNumberFormat="1" applyFont="1" applyFill="1" applyBorder="1" applyAlignment="1">
      <alignment horizontal="center" vertical="center" wrapText="1"/>
    </xf>
    <xf numFmtId="169" fontId="13" fillId="3" borderId="11" xfId="20" applyNumberFormat="1" applyFont="1" applyFill="1" applyBorder="1" applyAlignment="1">
      <alignment horizontal="center" vertical="center"/>
    </xf>
    <xf numFmtId="169" fontId="13" fillId="3" borderId="1" xfId="20" applyNumberFormat="1" applyFont="1" applyFill="1" applyBorder="1" applyAlignment="1">
      <alignment horizontal="center" vertical="center"/>
    </xf>
    <xf numFmtId="169" fontId="13" fillId="3" borderId="7" xfId="20" applyNumberFormat="1" applyFont="1" applyFill="1" applyBorder="1" applyAlignment="1">
      <alignment horizontal="center" vertical="center"/>
    </xf>
    <xf numFmtId="43" fontId="13" fillId="3" borderId="0" xfId="0" applyNumberFormat="1" applyFont="1" applyFill="1" applyAlignment="1">
      <alignment horizontal="center" vertical="center" wrapText="1"/>
    </xf>
    <xf numFmtId="4" fontId="13" fillId="3" borderId="0" xfId="0" applyNumberFormat="1" applyFont="1" applyFill="1" applyAlignment="1">
      <alignment horizontal="center" vertical="center" wrapText="1"/>
    </xf>
    <xf numFmtId="170" fontId="4" fillId="3" borderId="0" xfId="0" applyFont="1" applyFill="1" applyBorder="1" applyAlignment="1">
      <alignment horizontal="center"/>
    </xf>
    <xf numFmtId="169" fontId="13" fillId="3" borderId="1" xfId="0" applyNumberFormat="1" applyFont="1" applyFill="1" applyBorder="1" applyAlignment="1">
      <alignment horizontal="center" vertical="center" wrapText="1"/>
    </xf>
    <xf numFmtId="169" fontId="13" fillId="3" borderId="8" xfId="0" applyNumberFormat="1" applyFont="1" applyFill="1" applyBorder="1" applyAlignment="1">
      <alignment horizontal="center" vertical="center" wrapText="1"/>
    </xf>
    <xf numFmtId="169" fontId="13" fillId="3" borderId="58" xfId="0" applyNumberFormat="1" applyFont="1" applyFill="1" applyBorder="1" applyAlignment="1">
      <alignment horizontal="center" vertical="center" wrapText="1"/>
    </xf>
    <xf numFmtId="169" fontId="24" fillId="3" borderId="8" xfId="33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9" fontId="13" fillId="0" borderId="0" xfId="21" applyFont="1"/>
    <xf numFmtId="172" fontId="10" fillId="0" borderId="2" xfId="24" applyNumberFormat="1" applyFont="1" applyFill="1" applyBorder="1" applyAlignment="1">
      <alignment horizontal="center" vertical="center" wrapText="1"/>
      <protection/>
    </xf>
    <xf numFmtId="170" fontId="13" fillId="16" borderId="61" xfId="0" applyFont="1" applyFill="1" applyBorder="1" applyAlignment="1">
      <alignment vertical="center"/>
    </xf>
    <xf numFmtId="170" fontId="13" fillId="16" borderId="62" xfId="0" applyFont="1" applyFill="1" applyBorder="1" applyAlignment="1">
      <alignment vertical="center"/>
    </xf>
    <xf numFmtId="44" fontId="13" fillId="0" borderId="0" xfId="33" applyFont="1" applyFill="1" applyAlignment="1">
      <alignment vertical="center" wrapText="1"/>
    </xf>
    <xf numFmtId="174" fontId="4" fillId="6" borderId="0" xfId="0" applyNumberFormat="1" applyFont="1" applyFill="1" applyBorder="1" applyAlignment="1" applyProtection="1">
      <alignment horizontal="center" vertical="center" wrapText="1"/>
      <protection/>
    </xf>
    <xf numFmtId="174" fontId="4" fillId="3" borderId="0" xfId="0" applyNumberFormat="1" applyFont="1" applyFill="1" applyBorder="1" applyAlignment="1" applyProtection="1">
      <alignment horizontal="left" vertical="center" wrapText="1"/>
      <protection/>
    </xf>
    <xf numFmtId="170" fontId="4" fillId="6" borderId="0" xfId="31" applyFont="1" applyFill="1" applyBorder="1" applyAlignment="1">
      <alignment horizontal="left" vertical="center" wrapText="1"/>
      <protection/>
    </xf>
    <xf numFmtId="0" fontId="4" fillId="3" borderId="0" xfId="31" applyNumberFormat="1" applyFont="1" applyFill="1" applyBorder="1" applyAlignment="1">
      <alignment horizontal="center" vertical="center" wrapText="1"/>
      <protection/>
    </xf>
    <xf numFmtId="40" fontId="13" fillId="2" borderId="0" xfId="0" applyNumberFormat="1" applyFont="1" applyFill="1" applyBorder="1" applyAlignment="1">
      <alignment horizontal="center"/>
    </xf>
    <xf numFmtId="0" fontId="13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74" fontId="4" fillId="6" borderId="0" xfId="0" applyNumberFormat="1" applyFont="1" applyFill="1" applyBorder="1" applyAlignment="1" applyProtection="1">
      <alignment horizontal="center" vertical="center" wrapText="1"/>
      <protection/>
    </xf>
    <xf numFmtId="174" fontId="4" fillId="3" borderId="0" xfId="0" applyNumberFormat="1" applyFont="1" applyFill="1" applyBorder="1" applyAlignment="1" applyProtection="1">
      <alignment horizontal="left" vertical="center" wrapText="1"/>
      <protection/>
    </xf>
    <xf numFmtId="170" fontId="4" fillId="6" borderId="0" xfId="31" applyFont="1" applyFill="1" applyBorder="1" applyAlignment="1">
      <alignment horizontal="left" vertical="center" wrapText="1"/>
      <protection/>
    </xf>
    <xf numFmtId="0" fontId="4" fillId="3" borderId="0" xfId="31" applyNumberFormat="1" applyFont="1" applyFill="1" applyBorder="1" applyAlignment="1">
      <alignment horizontal="center" vertical="center" wrapText="1"/>
      <protection/>
    </xf>
    <xf numFmtId="17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1" fontId="4" fillId="6" borderId="57" xfId="0" applyNumberFormat="1" applyFont="1" applyFill="1" applyBorder="1" applyAlignment="1">
      <alignment horizontal="center" vertical="center" wrapText="1"/>
    </xf>
    <xf numFmtId="0" fontId="4" fillId="6" borderId="13" xfId="0" applyNumberFormat="1" applyFont="1" applyFill="1" applyBorder="1" applyAlignment="1">
      <alignment horizontal="center" vertical="center" wrapText="1"/>
    </xf>
    <xf numFmtId="10" fontId="13" fillId="6" borderId="69" xfId="21" applyNumberFormat="1" applyFont="1" applyFill="1" applyBorder="1" applyAlignment="1">
      <alignment horizontal="center" vertical="center" wrapText="1"/>
    </xf>
    <xf numFmtId="40" fontId="13" fillId="2" borderId="0" xfId="0" applyNumberFormat="1" applyFont="1" applyFill="1" applyBorder="1" applyAlignment="1">
      <alignment/>
    </xf>
    <xf numFmtId="0" fontId="13" fillId="3" borderId="8" xfId="59" applyNumberFormat="1" applyFont="1" applyFill="1" applyBorder="1" applyAlignment="1">
      <alignment horizontal="center" vertical="center"/>
      <protection/>
    </xf>
    <xf numFmtId="0" fontId="4" fillId="3" borderId="8" xfId="59" applyFont="1" applyFill="1" applyBorder="1" applyAlignment="1">
      <alignment horizontal="left" vertical="center" wrapText="1"/>
      <protection/>
    </xf>
    <xf numFmtId="10" fontId="13" fillId="0" borderId="9" xfId="21" applyNumberFormat="1" applyFont="1" applyBorder="1" applyAlignment="1">
      <alignment horizontal="center" vertical="center" wrapText="1"/>
    </xf>
    <xf numFmtId="170" fontId="13" fillId="0" borderId="1" xfId="0" applyFont="1" applyFill="1" applyBorder="1" applyAlignment="1">
      <alignment horizontal="left" vertical="center" wrapText="1"/>
    </xf>
    <xf numFmtId="174" fontId="4" fillId="6" borderId="0" xfId="0" applyNumberFormat="1" applyFont="1" applyFill="1" applyBorder="1" applyAlignment="1" applyProtection="1">
      <alignment horizontal="center" vertical="center" wrapText="1"/>
      <protection/>
    </xf>
    <xf numFmtId="174" fontId="4" fillId="3" borderId="0" xfId="0" applyNumberFormat="1" applyFont="1" applyFill="1" applyBorder="1" applyAlignment="1" applyProtection="1">
      <alignment horizontal="left" vertical="center" wrapText="1"/>
      <protection/>
    </xf>
    <xf numFmtId="170" fontId="4" fillId="6" borderId="0" xfId="31" applyFont="1" applyFill="1" applyBorder="1" applyAlignment="1">
      <alignment horizontal="left" vertical="center" wrapText="1"/>
      <protection/>
    </xf>
    <xf numFmtId="0" fontId="4" fillId="3" borderId="0" xfId="31" applyNumberFormat="1" applyFont="1" applyFill="1" applyBorder="1" applyAlignment="1">
      <alignment horizontal="center" vertical="center" wrapText="1"/>
      <protection/>
    </xf>
    <xf numFmtId="17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70" fontId="4" fillId="0" borderId="0" xfId="0" applyFont="1" applyAlignment="1">
      <alignment horizontal="left" wrapText="1"/>
    </xf>
    <xf numFmtId="0" fontId="13" fillId="0" borderId="0" xfId="0" applyNumberFormat="1" applyFont="1" applyAlignment="1">
      <alignment horizontal="center"/>
    </xf>
    <xf numFmtId="170" fontId="4" fillId="3" borderId="0" xfId="0" applyFont="1" applyFill="1" applyAlignment="1">
      <alignment horizontal="center"/>
    </xf>
    <xf numFmtId="170" fontId="0" fillId="3" borderId="0" xfId="0" applyFill="1"/>
    <xf numFmtId="170" fontId="4" fillId="3" borderId="0" xfId="0" applyFont="1" applyFill="1"/>
    <xf numFmtId="170" fontId="0" fillId="0" borderId="0" xfId="0" applyFont="1" applyAlignment="1">
      <alignment horizontal="center"/>
    </xf>
    <xf numFmtId="170" fontId="13" fillId="0" borderId="0" xfId="0" applyFont="1" applyAlignment="1">
      <alignment horizontal="center"/>
    </xf>
    <xf numFmtId="170" fontId="4" fillId="0" borderId="0" xfId="0" applyFont="1" applyAlignment="1">
      <alignment horizontal="left" wrapText="1"/>
    </xf>
    <xf numFmtId="2" fontId="13" fillId="0" borderId="0" xfId="0" applyNumberFormat="1" applyFont="1" applyAlignment="1">
      <alignment horizontal="center"/>
    </xf>
    <xf numFmtId="170" fontId="14" fillId="0" borderId="0" xfId="44" applyFont="1" applyAlignment="1">
      <alignment horizontal="left" vertical="center" wrapText="1"/>
      <protection/>
    </xf>
    <xf numFmtId="2" fontId="4" fillId="3" borderId="0" xfId="0" applyNumberFormat="1" applyFont="1" applyFill="1" applyAlignment="1">
      <alignment horizontal="left" vertical="center" wrapText="1"/>
    </xf>
    <xf numFmtId="40" fontId="4" fillId="3" borderId="0" xfId="55" applyNumberFormat="1" applyFont="1" applyFill="1" applyBorder="1" applyAlignment="1">
      <alignment horizontal="left" vertical="center" wrapText="1"/>
      <protection/>
    </xf>
    <xf numFmtId="2" fontId="13" fillId="3" borderId="0" xfId="55" applyNumberFormat="1" applyFont="1" applyFill="1" applyAlignment="1">
      <alignment horizontal="center" vertical="center"/>
      <protection/>
    </xf>
    <xf numFmtId="0" fontId="13" fillId="0" borderId="0" xfId="0" applyNumberFormat="1" applyFont="1" applyAlignment="1">
      <alignment horizontal="center"/>
    </xf>
    <xf numFmtId="40" fontId="13" fillId="3" borderId="0" xfId="55" applyNumberFormat="1" applyFont="1" applyFill="1" applyBorder="1" applyAlignment="1">
      <alignment horizontal="center" vertical="center" wrapText="1"/>
      <protection/>
    </xf>
    <xf numFmtId="40" fontId="13" fillId="8" borderId="17" xfId="0" applyNumberFormat="1" applyFont="1" applyFill="1" applyBorder="1" applyAlignment="1">
      <alignment horizontal="center"/>
    </xf>
    <xf numFmtId="0" fontId="23" fillId="3" borderId="1" xfId="0" applyNumberFormat="1" applyFont="1" applyFill="1" applyBorder="1" applyAlignment="1">
      <alignment horizontal="center" vertical="center"/>
    </xf>
    <xf numFmtId="170" fontId="24" fillId="3" borderId="1" xfId="34" applyFont="1" applyFill="1" applyBorder="1" applyAlignment="1">
      <alignment horizontal="left" vertical="center"/>
      <protection/>
    </xf>
    <xf numFmtId="4" fontId="13" fillId="3" borderId="58" xfId="0" applyNumberFormat="1" applyFont="1" applyFill="1" applyBorder="1" applyAlignment="1">
      <alignment horizontal="center" vertical="center" wrapText="1"/>
    </xf>
    <xf numFmtId="169" fontId="13" fillId="3" borderId="58" xfId="2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2" fontId="0" fillId="0" borderId="70" xfId="0" applyNumberFormat="1" applyBorder="1" applyAlignment="1">
      <alignment vertical="center"/>
    </xf>
    <xf numFmtId="2" fontId="0" fillId="0" borderId="71" xfId="0" applyNumberFormat="1" applyBorder="1"/>
    <xf numFmtId="2" fontId="0" fillId="0" borderId="70" xfId="0" applyNumberFormat="1" applyBorder="1"/>
    <xf numFmtId="2" fontId="0" fillId="0" borderId="72" xfId="0" applyNumberFormat="1" applyBorder="1"/>
    <xf numFmtId="2" fontId="0" fillId="0" borderId="0" xfId="0" applyNumberFormat="1"/>
    <xf numFmtId="2" fontId="0" fillId="0" borderId="7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74" xfId="0" applyNumberFormat="1" applyBorder="1"/>
    <xf numFmtId="2" fontId="0" fillId="0" borderId="1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18" xfId="0" applyNumberFormat="1" applyBorder="1"/>
    <xf numFmtId="2" fontId="0" fillId="0" borderId="1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0" fillId="0" borderId="76" xfId="0" applyNumberFormat="1" applyBorder="1" applyAlignment="1">
      <alignment vertical="center"/>
    </xf>
    <xf numFmtId="2" fontId="0" fillId="0" borderId="72" xfId="0" applyNumberFormat="1" applyBorder="1" applyAlignment="1">
      <alignment vertical="center"/>
    </xf>
    <xf numFmtId="2" fontId="0" fillId="0" borderId="10" xfId="0" applyNumberFormat="1" applyBorder="1"/>
    <xf numFmtId="2" fontId="0" fillId="0" borderId="1" xfId="0" applyNumberFormat="1" applyBorder="1"/>
    <xf numFmtId="2" fontId="0" fillId="0" borderId="70" xfId="0" applyNumberFormat="1" applyBorder="1" applyAlignment="1">
      <alignment horizontal="center" vertical="center"/>
    </xf>
    <xf numFmtId="2" fontId="0" fillId="0" borderId="7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70" fontId="24" fillId="3" borderId="17" xfId="34" applyFont="1" applyFill="1" applyBorder="1" applyAlignment="1">
      <alignment vertical="center"/>
      <protection/>
    </xf>
    <xf numFmtId="170" fontId="24" fillId="3" borderId="8" xfId="34" applyFont="1" applyFill="1" applyBorder="1" applyAlignment="1">
      <alignment vertical="center"/>
      <protection/>
    </xf>
    <xf numFmtId="170" fontId="24" fillId="3" borderId="9" xfId="34" applyFont="1" applyFill="1" applyBorder="1" applyAlignment="1">
      <alignment vertical="center"/>
      <protection/>
    </xf>
    <xf numFmtId="170" fontId="0" fillId="0" borderId="11" xfId="0" applyFont="1" applyFill="1" applyBorder="1" applyAlignment="1">
      <alignment horizontal="center" vertical="center" wrapText="1"/>
    </xf>
    <xf numFmtId="170" fontId="2" fillId="3" borderId="11" xfId="0" applyFont="1" applyFill="1" applyBorder="1" applyAlignment="1">
      <alignment horizontal="center" vertical="center" wrapText="1"/>
    </xf>
    <xf numFmtId="170" fontId="2" fillId="0" borderId="58" xfId="0" applyFont="1" applyFill="1" applyBorder="1" applyAlignment="1">
      <alignment horizontal="left" vertical="center" wrapText="1"/>
    </xf>
    <xf numFmtId="164" fontId="2" fillId="0" borderId="58" xfId="20" applyFont="1" applyFill="1" applyBorder="1" applyAlignment="1">
      <alignment horizontal="center" vertical="center" wrapText="1"/>
    </xf>
    <xf numFmtId="170" fontId="2" fillId="0" borderId="58" xfId="0" applyFont="1" applyFill="1" applyBorder="1" applyAlignment="1">
      <alignment horizontal="center" vertical="center" wrapText="1"/>
    </xf>
    <xf numFmtId="170" fontId="24" fillId="0" borderId="58" xfId="0" applyFont="1" applyFill="1" applyBorder="1" applyAlignment="1">
      <alignment horizontal="left" vertical="center" wrapText="1"/>
    </xf>
    <xf numFmtId="164" fontId="13" fillId="0" borderId="1" xfId="20" applyFont="1" applyFill="1" applyBorder="1" applyAlignment="1">
      <alignment horizontal="center" vertical="center" wrapText="1"/>
    </xf>
    <xf numFmtId="169" fontId="13" fillId="0" borderId="1" xfId="20" applyNumberFormat="1" applyFont="1" applyFill="1" applyBorder="1" applyAlignment="1">
      <alignment horizontal="right" vertical="center" wrapText="1"/>
    </xf>
    <xf numFmtId="169" fontId="13" fillId="0" borderId="11" xfId="2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left" vertical="center" wrapText="1"/>
    </xf>
    <xf numFmtId="164" fontId="4" fillId="0" borderId="8" xfId="2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4" fontId="13" fillId="0" borderId="55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64" fontId="13" fillId="0" borderId="7" xfId="20" applyFont="1" applyFill="1" applyBorder="1" applyAlignment="1">
      <alignment horizontal="center" vertical="center" wrapText="1"/>
    </xf>
    <xf numFmtId="169" fontId="13" fillId="0" borderId="7" xfId="20" applyNumberFormat="1" applyFont="1" applyFill="1" applyBorder="1" applyAlignment="1">
      <alignment horizontal="right"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170" fontId="13" fillId="0" borderId="64" xfId="0" applyFont="1" applyFill="1" applyBorder="1" applyAlignment="1">
      <alignment horizontal="left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170" fontId="2" fillId="3" borderId="8" xfId="0" applyFont="1" applyFill="1" applyBorder="1" applyAlignment="1">
      <alignment horizontal="center" vertical="center" wrapText="1"/>
    </xf>
    <xf numFmtId="170" fontId="4" fillId="0" borderId="11" xfId="0" applyFont="1" applyFill="1" applyBorder="1" applyAlignment="1">
      <alignment horizontal="center" vertical="center" wrapText="1"/>
    </xf>
    <xf numFmtId="170" fontId="13" fillId="0" borderId="11" xfId="0" applyFont="1" applyFill="1" applyBorder="1" applyAlignment="1">
      <alignment vertical="center" wrapText="1"/>
    </xf>
    <xf numFmtId="164" fontId="13" fillId="0" borderId="11" xfId="20" applyFont="1" applyFill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/>
    </xf>
    <xf numFmtId="170" fontId="13" fillId="3" borderId="1" xfId="0" applyFont="1" applyFill="1" applyBorder="1" applyAlignment="1">
      <alignment horizontal="left" vertical="center" wrapText="1"/>
    </xf>
    <xf numFmtId="10" fontId="13" fillId="3" borderId="65" xfId="21" applyNumberFormat="1" applyFont="1" applyFill="1" applyBorder="1" applyAlignment="1">
      <alignment horizontal="center" vertical="center" wrapText="1"/>
    </xf>
    <xf numFmtId="4" fontId="4" fillId="0" borderId="55" xfId="0" applyNumberFormat="1" applyFont="1" applyFill="1" applyBorder="1" applyAlignment="1">
      <alignment horizontal="center" vertical="center" wrapText="1"/>
    </xf>
    <xf numFmtId="4" fontId="13" fillId="0" borderId="64" xfId="0" applyNumberFormat="1" applyFont="1" applyFill="1" applyBorder="1" applyAlignment="1">
      <alignment horizontal="left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vertical="center" wrapText="1"/>
    </xf>
    <xf numFmtId="164" fontId="13" fillId="0" borderId="8" xfId="20" applyFont="1" applyFill="1" applyBorder="1" applyAlignment="1">
      <alignment horizontal="center" vertical="center" wrapText="1"/>
    </xf>
    <xf numFmtId="169" fontId="13" fillId="0" borderId="8" xfId="20" applyNumberFormat="1" applyFont="1" applyFill="1" applyBorder="1" applyAlignment="1">
      <alignment horizontal="right" vertical="center" wrapText="1"/>
    </xf>
    <xf numFmtId="169" fontId="4" fillId="0" borderId="8" xfId="0" applyNumberFormat="1" applyFont="1" applyFill="1" applyBorder="1" applyAlignment="1">
      <alignment horizontal="right" vertical="center" wrapText="1"/>
    </xf>
    <xf numFmtId="170" fontId="4" fillId="3" borderId="1" xfId="0" applyFont="1" applyFill="1" applyBorder="1" applyAlignment="1">
      <alignment horizontal="center" vertical="center" wrapText="1"/>
    </xf>
    <xf numFmtId="170" fontId="13" fillId="0" borderId="11" xfId="0" applyFont="1" applyFill="1" applyBorder="1" applyAlignment="1">
      <alignment horizontal="left" vertical="center" wrapText="1"/>
    </xf>
    <xf numFmtId="170" fontId="4" fillId="0" borderId="17" xfId="0" applyFont="1" applyFill="1" applyBorder="1" applyAlignment="1">
      <alignment vertical="center" wrapText="1"/>
    </xf>
    <xf numFmtId="170" fontId="4" fillId="0" borderId="8" xfId="0" applyFont="1" applyFill="1" applyBorder="1" applyAlignment="1">
      <alignment vertical="center" wrapText="1"/>
    </xf>
    <xf numFmtId="170" fontId="4" fillId="0" borderId="9" xfId="0" applyFont="1" applyFill="1" applyBorder="1" applyAlignment="1">
      <alignment vertical="center" wrapText="1"/>
    </xf>
    <xf numFmtId="170" fontId="4" fillId="3" borderId="55" xfId="0" applyFont="1" applyFill="1" applyBorder="1" applyAlignment="1">
      <alignment horizontal="center" vertical="center" wrapText="1"/>
    </xf>
    <xf numFmtId="10" fontId="13" fillId="3" borderId="63" xfId="21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4" fontId="4" fillId="3" borderId="55" xfId="0" applyNumberFormat="1" applyFont="1" applyFill="1" applyBorder="1" applyAlignment="1">
      <alignment horizontal="center" vertical="center" wrapText="1"/>
    </xf>
    <xf numFmtId="49" fontId="4" fillId="11" borderId="77" xfId="0" applyNumberFormat="1" applyFont="1" applyFill="1" applyBorder="1" applyAlignment="1" applyProtection="1">
      <alignment horizontal="center" vertical="center" wrapText="1"/>
      <protection/>
    </xf>
    <xf numFmtId="0" fontId="4" fillId="11" borderId="78" xfId="0" applyNumberFormat="1" applyFont="1" applyFill="1" applyBorder="1" applyAlignment="1">
      <alignment horizontal="right" vertical="center" wrapText="1"/>
    </xf>
    <xf numFmtId="49" fontId="4" fillId="11" borderId="78" xfId="24" applyNumberFormat="1" applyFont="1" applyFill="1" applyBorder="1" applyAlignment="1" applyProtection="1">
      <alignment horizontal="left" vertical="center" wrapText="1"/>
      <protection/>
    </xf>
    <xf numFmtId="170" fontId="4" fillId="11" borderId="78" xfId="0" applyFont="1" applyFill="1" applyBorder="1" applyAlignment="1">
      <alignment horizontal="right" vertical="center" wrapText="1"/>
    </xf>
    <xf numFmtId="0" fontId="4" fillId="11" borderId="78" xfId="0" applyNumberFormat="1" applyFont="1" applyFill="1" applyBorder="1" applyAlignment="1">
      <alignment horizontal="center" vertical="center" wrapText="1"/>
    </xf>
    <xf numFmtId="170" fontId="4" fillId="11" borderId="78" xfId="0" applyFont="1" applyFill="1" applyBorder="1" applyAlignment="1">
      <alignment horizontal="center" vertical="center" wrapText="1"/>
    </xf>
    <xf numFmtId="169" fontId="4" fillId="11" borderId="78" xfId="0" applyNumberFormat="1" applyFont="1" applyFill="1" applyBorder="1" applyAlignment="1">
      <alignment horizontal="center" vertical="center" wrapText="1"/>
    </xf>
    <xf numFmtId="169" fontId="4" fillId="11" borderId="78" xfId="20" applyNumberFormat="1" applyFont="1" applyFill="1" applyBorder="1" applyAlignment="1">
      <alignment horizontal="center" vertical="center" wrapText="1"/>
    </xf>
    <xf numFmtId="10" fontId="13" fillId="11" borderId="79" xfId="21" applyNumberFormat="1" applyFont="1" applyFill="1" applyBorder="1" applyAlignment="1">
      <alignment horizontal="center" vertical="center" wrapText="1"/>
    </xf>
    <xf numFmtId="49" fontId="13" fillId="3" borderId="1" xfId="24" applyNumberFormat="1" applyFont="1" applyFill="1" applyBorder="1" applyAlignment="1" applyProtection="1">
      <alignment horizontal="left" vertical="center" wrapText="1"/>
      <protection/>
    </xf>
    <xf numFmtId="40" fontId="2" fillId="3" borderId="0" xfId="58" applyNumberFormat="1" applyFont="1" applyFill="1" applyAlignment="1">
      <alignment horizontal="center"/>
      <protection/>
    </xf>
    <xf numFmtId="40" fontId="0" fillId="3" borderId="0" xfId="58" applyNumberFormat="1" applyFont="1" applyFill="1" applyAlignment="1">
      <alignment horizontal="center"/>
      <protection/>
    </xf>
    <xf numFmtId="38" fontId="0" fillId="3" borderId="0" xfId="58" applyNumberFormat="1" applyFont="1" applyFill="1" applyAlignment="1">
      <alignment horizontal="center"/>
      <protection/>
    </xf>
    <xf numFmtId="40" fontId="0" fillId="3" borderId="17" xfId="58" applyNumberFormat="1" applyFont="1" applyFill="1" applyBorder="1" applyAlignment="1">
      <alignment horizontal="center"/>
      <protection/>
    </xf>
    <xf numFmtId="40" fontId="0" fillId="3" borderId="8" xfId="58" applyNumberFormat="1" applyFont="1" applyFill="1" applyBorder="1" applyAlignment="1">
      <alignment horizontal="center"/>
      <protection/>
    </xf>
    <xf numFmtId="40" fontId="0" fillId="3" borderId="9" xfId="58" applyNumberFormat="1" applyFont="1" applyFill="1" applyBorder="1" applyAlignment="1">
      <alignment horizontal="center"/>
      <protection/>
    </xf>
    <xf numFmtId="40" fontId="0" fillId="3" borderId="0" xfId="58" applyNumberFormat="1" applyFont="1" applyFill="1" applyAlignment="1">
      <alignment horizontal="left"/>
      <protection/>
    </xf>
    <xf numFmtId="40" fontId="0" fillId="21" borderId="17" xfId="58" applyNumberFormat="1" applyFill="1" applyBorder="1" applyAlignment="1">
      <alignment horizontal="center"/>
      <protection/>
    </xf>
    <xf numFmtId="40" fontId="0" fillId="21" borderId="8" xfId="58" applyNumberFormat="1" applyFill="1" applyBorder="1" applyAlignment="1">
      <alignment horizontal="center"/>
      <protection/>
    </xf>
    <xf numFmtId="40" fontId="0" fillId="21" borderId="9" xfId="58" applyNumberFormat="1" applyFont="1" applyFill="1" applyBorder="1" applyAlignment="1">
      <alignment horizontal="center"/>
      <protection/>
    </xf>
    <xf numFmtId="40" fontId="0" fillId="3" borderId="0" xfId="58" applyNumberFormat="1" applyFont="1" applyFill="1" applyBorder="1" applyAlignment="1">
      <alignment horizontal="center"/>
      <protection/>
    </xf>
    <xf numFmtId="40" fontId="2" fillId="3" borderId="58" xfId="58" applyNumberFormat="1" applyFont="1" applyFill="1" applyBorder="1" applyAlignment="1">
      <alignment horizontal="center"/>
      <protection/>
    </xf>
    <xf numFmtId="40" fontId="0" fillId="3" borderId="0" xfId="58" applyNumberFormat="1" applyFill="1" applyBorder="1" applyAlignment="1">
      <alignment horizontal="center"/>
      <protection/>
    </xf>
    <xf numFmtId="40" fontId="2" fillId="3" borderId="0" xfId="58" applyNumberFormat="1" applyFont="1" applyFill="1" applyBorder="1" applyAlignment="1">
      <alignment horizontal="center"/>
      <protection/>
    </xf>
    <xf numFmtId="40" fontId="2" fillId="3" borderId="0" xfId="58" applyNumberFormat="1" applyFont="1" applyFill="1" applyBorder="1" applyAlignment="1">
      <alignment horizontal="left"/>
      <protection/>
    </xf>
    <xf numFmtId="170" fontId="4" fillId="3" borderId="11" xfId="0" applyFont="1" applyFill="1" applyBorder="1" applyAlignment="1">
      <alignment vertical="center" wrapText="1"/>
    </xf>
    <xf numFmtId="170" fontId="4" fillId="3" borderId="11" xfId="34" applyFont="1" applyFill="1" applyBorder="1" applyAlignment="1">
      <alignment horizontal="left" vertical="center"/>
      <protection/>
    </xf>
    <xf numFmtId="170" fontId="22" fillId="3" borderId="1" xfId="0" applyFont="1" applyFill="1" applyBorder="1" applyAlignment="1">
      <alignment horizontal="left" vertical="center" wrapText="1"/>
    </xf>
    <xf numFmtId="169" fontId="13" fillId="3" borderId="12" xfId="20" applyNumberFormat="1" applyFont="1" applyFill="1" applyBorder="1" applyAlignment="1">
      <alignment horizontal="center" vertical="center" wrapText="1"/>
    </xf>
    <xf numFmtId="2" fontId="13" fillId="3" borderId="0" xfId="42" applyNumberFormat="1" applyFont="1" applyFill="1" applyBorder="1" applyAlignment="1">
      <alignment vertical="center"/>
      <protection/>
    </xf>
    <xf numFmtId="2" fontId="13" fillId="3" borderId="1" xfId="0" applyNumberFormat="1" applyFont="1" applyFill="1" applyBorder="1" applyAlignment="1">
      <alignment horizontal="center" vertical="center"/>
    </xf>
    <xf numFmtId="169" fontId="13" fillId="3" borderId="1" xfId="0" applyNumberFormat="1" applyFont="1" applyFill="1" applyBorder="1" applyAlignment="1">
      <alignment horizontal="center" vertical="center"/>
    </xf>
    <xf numFmtId="2" fontId="13" fillId="3" borderId="17" xfId="0" applyNumberFormat="1" applyFont="1" applyFill="1" applyBorder="1" applyAlignment="1">
      <alignment horizontal="center" vertical="center"/>
    </xf>
    <xf numFmtId="2" fontId="13" fillId="3" borderId="8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 vertical="center"/>
    </xf>
    <xf numFmtId="169" fontId="13" fillId="3" borderId="9" xfId="0" applyNumberFormat="1" applyFont="1" applyFill="1" applyBorder="1" applyAlignment="1">
      <alignment/>
    </xf>
    <xf numFmtId="170" fontId="13" fillId="3" borderId="1" xfId="0" applyFont="1" applyFill="1" applyBorder="1" applyAlignment="1" applyProtection="1">
      <alignment horizontal="center" vertical="center" wrapText="1"/>
      <protection/>
    </xf>
    <xf numFmtId="4" fontId="13" fillId="3" borderId="8" xfId="0" applyNumberFormat="1" applyFont="1" applyFill="1" applyBorder="1" applyAlignment="1">
      <alignment horizontal="center" vertical="center" wrapText="1"/>
    </xf>
    <xf numFmtId="169" fontId="13" fillId="3" borderId="8" xfId="20" applyNumberFormat="1" applyFont="1" applyFill="1" applyBorder="1" applyAlignment="1">
      <alignment horizontal="center" vertical="center" wrapText="1"/>
    </xf>
    <xf numFmtId="40" fontId="4" fillId="3" borderId="0" xfId="55" applyNumberFormat="1" applyFont="1" applyFill="1" applyBorder="1" applyAlignment="1">
      <alignment horizontal="center" vertical="center" wrapText="1"/>
      <protection/>
    </xf>
    <xf numFmtId="170" fontId="13" fillId="3" borderId="0" xfId="0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center" vertical="center"/>
    </xf>
    <xf numFmtId="170" fontId="4" fillId="0" borderId="0" xfId="0" applyFont="1" applyAlignment="1">
      <alignment/>
    </xf>
    <xf numFmtId="170" fontId="13" fillId="0" borderId="55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170" fontId="28" fillId="0" borderId="0" xfId="0" applyFont="1"/>
    <xf numFmtId="17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79" fontId="13" fillId="20" borderId="8" xfId="55" applyNumberFormat="1" applyFont="1" applyFill="1" applyBorder="1" applyAlignment="1">
      <alignment horizontal="center" vertical="center"/>
      <protection/>
    </xf>
    <xf numFmtId="49" fontId="13" fillId="0" borderId="55" xfId="0" applyNumberFormat="1" applyFont="1" applyFill="1" applyBorder="1" applyAlignment="1" applyProtection="1">
      <alignment horizontal="center" vertical="center" wrapText="1"/>
      <protection/>
    </xf>
    <xf numFmtId="170" fontId="23" fillId="0" borderId="1" xfId="0" applyFont="1" applyFill="1" applyBorder="1" applyAlignment="1">
      <alignment horizontal="left" vertical="center" wrapText="1"/>
    </xf>
    <xf numFmtId="169" fontId="13" fillId="0" borderId="1" xfId="0" applyNumberFormat="1" applyFont="1" applyFill="1" applyBorder="1" applyAlignment="1">
      <alignment horizontal="center" vertical="center" wrapText="1"/>
    </xf>
    <xf numFmtId="10" fontId="13" fillId="0" borderId="11" xfId="21" applyNumberFormat="1" applyFont="1" applyFill="1" applyBorder="1" applyAlignment="1">
      <alignment horizontal="center" vertical="center" wrapText="1"/>
    </xf>
    <xf numFmtId="170" fontId="13" fillId="0" borderId="1" xfId="0" applyFont="1" applyFill="1" applyBorder="1" applyAlignment="1">
      <alignment horizontal="center" vertical="center"/>
    </xf>
    <xf numFmtId="0" fontId="4" fillId="0" borderId="78" xfId="0" applyNumberFormat="1" applyFont="1" applyFill="1" applyBorder="1" applyAlignment="1">
      <alignment horizontal="right" vertical="center" wrapText="1"/>
    </xf>
    <xf numFmtId="49" fontId="4" fillId="0" borderId="78" xfId="24" applyNumberFormat="1" applyFont="1" applyFill="1" applyBorder="1" applyAlignment="1" applyProtection="1">
      <alignment horizontal="left" vertical="center" wrapText="1"/>
      <protection/>
    </xf>
    <xf numFmtId="170" fontId="4" fillId="0" borderId="78" xfId="0" applyFont="1" applyFill="1" applyBorder="1" applyAlignment="1">
      <alignment horizontal="right" vertical="center" wrapText="1"/>
    </xf>
    <xf numFmtId="0" fontId="4" fillId="0" borderId="78" xfId="0" applyNumberFormat="1" applyFont="1" applyFill="1" applyBorder="1" applyAlignment="1">
      <alignment horizontal="center" vertical="center" wrapText="1"/>
    </xf>
    <xf numFmtId="170" fontId="4" fillId="0" borderId="78" xfId="0" applyFont="1" applyFill="1" applyBorder="1" applyAlignment="1">
      <alignment horizontal="center" vertical="center" wrapText="1"/>
    </xf>
    <xf numFmtId="169" fontId="4" fillId="0" borderId="78" xfId="0" applyNumberFormat="1" applyFont="1" applyFill="1" applyBorder="1" applyAlignment="1">
      <alignment horizontal="center" vertical="center" wrapText="1"/>
    </xf>
    <xf numFmtId="169" fontId="4" fillId="0" borderId="78" xfId="20" applyNumberFormat="1" applyFont="1" applyFill="1" applyBorder="1" applyAlignment="1">
      <alignment horizontal="center" vertical="center" wrapText="1"/>
    </xf>
    <xf numFmtId="10" fontId="13" fillId="0" borderId="79" xfId="21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170" fontId="14" fillId="0" borderId="0" xfId="44" applyFont="1" applyAlignment="1">
      <alignment horizontal="center" vertical="center"/>
      <protection/>
    </xf>
    <xf numFmtId="170" fontId="14" fillId="0" borderId="0" xfId="44" applyFont="1" applyAlignment="1">
      <alignment horizontal="left" vertical="center" wrapText="1"/>
      <protection/>
    </xf>
    <xf numFmtId="44" fontId="0" fillId="0" borderId="1" xfId="33" applyFont="1" applyBorder="1" applyAlignment="1">
      <alignment vertical="center"/>
    </xf>
    <xf numFmtId="170" fontId="23" fillId="0" borderId="17" xfId="0" applyFont="1" applyFill="1" applyBorder="1" applyAlignment="1">
      <alignment horizontal="left" vertical="center" wrapText="1"/>
    </xf>
    <xf numFmtId="169" fontId="13" fillId="0" borderId="1" xfId="0" applyNumberFormat="1" applyFont="1" applyFill="1" applyBorder="1" applyAlignment="1">
      <alignment horizontal="center" vertical="center"/>
    </xf>
    <xf numFmtId="169" fontId="13" fillId="0" borderId="1" xfId="33" applyNumberFormat="1" applyFont="1" applyFill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/>
    </xf>
    <xf numFmtId="44" fontId="0" fillId="0" borderId="1" xfId="33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44" fontId="0" fillId="0" borderId="1" xfId="33" applyFont="1" applyFill="1" applyBorder="1" applyAlignment="1">
      <alignment vertical="center"/>
    </xf>
    <xf numFmtId="2" fontId="13" fillId="0" borderId="8" xfId="0" applyNumberFormat="1" applyFont="1" applyFill="1" applyBorder="1" applyAlignment="1">
      <alignment horizontal="center" vertical="center"/>
    </xf>
    <xf numFmtId="44" fontId="0" fillId="0" borderId="1" xfId="33" applyFont="1" applyFill="1" applyBorder="1" applyAlignment="1">
      <alignment horizontal="center" vertical="center"/>
    </xf>
    <xf numFmtId="40" fontId="13" fillId="2" borderId="0" xfId="0" applyNumberFormat="1" applyFont="1" applyFill="1" applyBorder="1" applyAlignment="1">
      <alignment horizontal="center"/>
    </xf>
    <xf numFmtId="40" fontId="4" fillId="2" borderId="0" xfId="0" applyNumberFormat="1" applyFont="1" applyFill="1" applyBorder="1" applyAlignment="1">
      <alignment horizontal="center"/>
    </xf>
    <xf numFmtId="44" fontId="25" fillId="11" borderId="1" xfId="0" applyNumberFormat="1" applyFont="1" applyFill="1" applyBorder="1" applyAlignment="1">
      <alignment horizontal="center" vertical="center" wrapText="1"/>
    </xf>
    <xf numFmtId="0" fontId="11" fillId="22" borderId="1" xfId="54" applyFont="1" applyFill="1" applyBorder="1" applyAlignment="1">
      <alignment horizontal="center" vertical="center" wrapText="1"/>
      <protection/>
    </xf>
    <xf numFmtId="0" fontId="11" fillId="22" borderId="17" xfId="54" applyFont="1" applyFill="1" applyBorder="1" applyAlignment="1">
      <alignment horizontal="center" vertical="center" wrapText="1"/>
      <protection/>
    </xf>
    <xf numFmtId="175" fontId="11" fillId="22" borderId="1" xfId="33" applyNumberFormat="1" applyFont="1" applyFill="1" applyBorder="1" applyAlignment="1">
      <alignment horizontal="center" vertical="center" wrapText="1"/>
    </xf>
    <xf numFmtId="170" fontId="10" fillId="11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13" fillId="3" borderId="0" xfId="55" applyNumberFormat="1" applyFont="1" applyFill="1" applyAlignment="1">
      <alignment horizontal="center" vertical="center"/>
      <protection/>
    </xf>
    <xf numFmtId="170" fontId="14" fillId="3" borderId="0" xfId="44" applyFont="1" applyFill="1" applyBorder="1" applyAlignment="1">
      <alignment horizontal="center" vertical="center"/>
      <protection/>
    </xf>
    <xf numFmtId="170" fontId="4" fillId="3" borderId="0" xfId="0" applyFont="1" applyFill="1" applyBorder="1"/>
    <xf numFmtId="170" fontId="9" fillId="3" borderId="0" xfId="44" applyFont="1" applyFill="1" applyBorder="1" applyAlignment="1">
      <alignment vertical="center"/>
      <protection/>
    </xf>
    <xf numFmtId="170" fontId="0" fillId="3" borderId="0" xfId="0" applyFill="1" applyBorder="1"/>
    <xf numFmtId="170" fontId="14" fillId="3" borderId="0" xfId="44" applyFont="1" applyFill="1" applyBorder="1" applyAlignment="1">
      <alignment vertical="center" wrapText="1"/>
      <protection/>
    </xf>
    <xf numFmtId="170" fontId="14" fillId="3" borderId="0" xfId="44" applyFont="1" applyFill="1" applyBorder="1" applyAlignment="1">
      <alignment vertical="center"/>
      <protection/>
    </xf>
    <xf numFmtId="170" fontId="9" fillId="3" borderId="0" xfId="44" applyFont="1" applyFill="1" applyBorder="1">
      <alignment/>
      <protection/>
    </xf>
    <xf numFmtId="170" fontId="9" fillId="3" borderId="0" xfId="44" applyFont="1" applyFill="1" applyBorder="1" applyAlignment="1">
      <alignment horizontal="left" vertical="center"/>
      <protection/>
    </xf>
    <xf numFmtId="0" fontId="9" fillId="3" borderId="0" xfId="44" applyNumberFormat="1" applyFont="1" applyFill="1" applyBorder="1" applyAlignment="1">
      <alignment horizontal="center" vertical="center"/>
      <protection/>
    </xf>
    <xf numFmtId="0" fontId="9" fillId="3" borderId="0" xfId="44" applyNumberFormat="1" applyFont="1" applyFill="1" applyBorder="1" applyAlignment="1">
      <alignment vertical="center"/>
      <protection/>
    </xf>
    <xf numFmtId="0" fontId="9" fillId="3" borderId="0" xfId="44" applyNumberFormat="1" applyFont="1" applyFill="1" applyBorder="1" applyAlignment="1">
      <alignment horizontal="left" vertical="center"/>
      <protection/>
    </xf>
    <xf numFmtId="0" fontId="14" fillId="3" borderId="0" xfId="44" applyNumberFormat="1" applyFont="1" applyFill="1" applyBorder="1" applyAlignment="1">
      <alignment horizontal="left" vertical="center" wrapText="1"/>
      <protection/>
    </xf>
    <xf numFmtId="2" fontId="9" fillId="3" borderId="0" xfId="44" applyNumberFormat="1" applyFont="1" applyFill="1" applyBorder="1" applyAlignment="1">
      <alignment vertical="center"/>
      <protection/>
    </xf>
    <xf numFmtId="0" fontId="14" fillId="3" borderId="0" xfId="44" applyNumberFormat="1" applyFont="1" applyFill="1" applyBorder="1" applyAlignment="1">
      <alignment vertical="center" wrapText="1"/>
      <protection/>
    </xf>
    <xf numFmtId="170" fontId="4" fillId="3" borderId="0" xfId="0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horizontal="center"/>
    </xf>
    <xf numFmtId="170" fontId="4" fillId="3" borderId="0" xfId="0" applyFont="1" applyFill="1" applyBorder="1" applyAlignment="1">
      <alignment horizontal="left" wrapText="1"/>
    </xf>
    <xf numFmtId="170" fontId="4" fillId="6" borderId="1" xfId="31" applyFont="1" applyFill="1" applyBorder="1" applyAlignment="1">
      <alignment horizontal="center" vertical="center"/>
      <protection/>
    </xf>
    <xf numFmtId="170" fontId="4" fillId="6" borderId="1" xfId="31" applyFont="1" applyFill="1" applyBorder="1" applyAlignment="1">
      <alignment vertical="center"/>
      <protection/>
    </xf>
    <xf numFmtId="17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3" borderId="0" xfId="55" applyNumberFormat="1" applyFont="1" applyFill="1" applyAlignment="1">
      <alignment horizontal="center" vertical="center"/>
      <protection/>
    </xf>
    <xf numFmtId="4" fontId="13" fillId="3" borderId="11" xfId="0" applyNumberFormat="1" applyFont="1" applyFill="1" applyBorder="1" applyAlignment="1">
      <alignment vertical="center" wrapText="1"/>
    </xf>
    <xf numFmtId="49" fontId="22" fillId="3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>
      <alignment horizontal="center" vertical="center"/>
    </xf>
    <xf numFmtId="0" fontId="26" fillId="0" borderId="17" xfId="0" applyNumberFormat="1" applyFont="1" applyBorder="1" applyAlignment="1">
      <alignment horizontal="left" vertical="center" wrapText="1"/>
    </xf>
    <xf numFmtId="0" fontId="22" fillId="0" borderId="1" xfId="0" applyNumberFormat="1" applyFont="1" applyBorder="1" applyAlignment="1">
      <alignment horizontal="center" vertical="center"/>
    </xf>
    <xf numFmtId="0" fontId="22" fillId="0" borderId="1" xfId="33" applyNumberFormat="1" applyFont="1" applyBorder="1"/>
    <xf numFmtId="169" fontId="22" fillId="3" borderId="1" xfId="20" applyNumberFormat="1" applyFont="1" applyFill="1" applyBorder="1" applyAlignment="1">
      <alignment horizontal="center" vertical="center" wrapText="1"/>
    </xf>
    <xf numFmtId="10" fontId="22" fillId="3" borderId="11" xfId="21" applyNumberFormat="1" applyFont="1" applyFill="1" applyBorder="1" applyAlignment="1">
      <alignment horizontal="center" vertical="center" wrapText="1"/>
    </xf>
    <xf numFmtId="0" fontId="22" fillId="3" borderId="17" xfId="0" applyNumberFormat="1" applyFont="1" applyFill="1" applyBorder="1" applyAlignment="1">
      <alignment horizontal="center" vertical="center"/>
    </xf>
    <xf numFmtId="0" fontId="22" fillId="3" borderId="17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NumberFormat="1" applyFont="1" applyBorder="1" applyAlignment="1">
      <alignment horizontal="left" vertical="center"/>
    </xf>
    <xf numFmtId="0" fontId="26" fillId="0" borderId="1" xfId="0" applyNumberFormat="1" applyFont="1" applyBorder="1" applyAlignment="1">
      <alignment horizontal="left" vertical="center" wrapText="1"/>
    </xf>
    <xf numFmtId="170" fontId="12" fillId="3" borderId="1" xfId="0" applyFont="1" applyFill="1" applyBorder="1" applyAlignment="1">
      <alignment horizontal="center" vertical="center" wrapText="1"/>
    </xf>
    <xf numFmtId="0" fontId="12" fillId="3" borderId="17" xfId="0" applyNumberFormat="1" applyFont="1" applyFill="1" applyBorder="1" applyAlignment="1">
      <alignment horizontal="center" vertical="center" wrapText="1"/>
    </xf>
    <xf numFmtId="170" fontId="12" fillId="3" borderId="1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44" fontId="12" fillId="3" borderId="1" xfId="33" applyFont="1" applyFill="1" applyBorder="1" applyAlignment="1">
      <alignment horizontal="center" vertical="center"/>
    </xf>
    <xf numFmtId="175" fontId="12" fillId="3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44" fontId="10" fillId="3" borderId="1" xfId="33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40" fontId="13" fillId="3" borderId="1" xfId="0" applyNumberFormat="1" applyFont="1" applyFill="1" applyBorder="1" applyAlignment="1">
      <alignment horizontal="center" vertical="center"/>
    </xf>
    <xf numFmtId="8" fontId="13" fillId="3" borderId="1" xfId="0" applyNumberFormat="1" applyFont="1" applyFill="1" applyBorder="1" applyAlignment="1">
      <alignment horizontal="center" vertical="center"/>
    </xf>
    <xf numFmtId="44" fontId="10" fillId="3" borderId="1" xfId="33" applyNumberFormat="1" applyFont="1" applyFill="1" applyBorder="1" applyAlignment="1">
      <alignment horizontal="center" vertical="center"/>
    </xf>
    <xf numFmtId="49" fontId="13" fillId="0" borderId="77" xfId="0" applyNumberFormat="1" applyFont="1" applyFill="1" applyBorder="1" applyAlignment="1" applyProtection="1">
      <alignment horizontal="center" vertical="center" wrapText="1"/>
      <protection/>
    </xf>
    <xf numFmtId="49" fontId="13" fillId="3" borderId="1" xfId="0" applyNumberFormat="1" applyFont="1" applyFill="1" applyBorder="1" applyAlignment="1" applyProtection="1">
      <alignment horizontal="center" vertical="center" wrapText="1"/>
      <protection/>
    </xf>
    <xf numFmtId="2" fontId="13" fillId="3" borderId="1" xfId="55" applyNumberFormat="1" applyFont="1" applyFill="1" applyBorder="1" applyAlignment="1">
      <alignment horizontal="center" vertical="center"/>
      <protection/>
    </xf>
    <xf numFmtId="2" fontId="9" fillId="0" borderId="1" xfId="44" applyNumberFormat="1" applyFont="1" applyBorder="1" applyAlignment="1">
      <alignment horizontal="center"/>
      <protection/>
    </xf>
    <xf numFmtId="2" fontId="0" fillId="0" borderId="7" xfId="0" applyNumberFormat="1" applyBorder="1"/>
    <xf numFmtId="2" fontId="9" fillId="0" borderId="0" xfId="44" applyNumberFormat="1" applyFont="1" applyBorder="1" applyAlignment="1">
      <alignment horizontal="center"/>
      <protection/>
    </xf>
    <xf numFmtId="2" fontId="4" fillId="3" borderId="0" xfId="55" applyNumberFormat="1" applyFont="1" applyFill="1" applyBorder="1" applyAlignment="1">
      <alignment horizontal="left" vertical="center"/>
      <protection/>
    </xf>
    <xf numFmtId="0" fontId="14" fillId="3" borderId="0" xfId="44" applyNumberFormat="1" applyFont="1" applyFill="1" applyBorder="1" applyAlignment="1">
      <alignment vertical="center"/>
      <protection/>
    </xf>
    <xf numFmtId="170" fontId="14" fillId="3" borderId="0" xfId="44" applyFont="1" applyFill="1" applyBorder="1">
      <alignment/>
      <protection/>
    </xf>
    <xf numFmtId="2" fontId="14" fillId="3" borderId="0" xfId="44" applyNumberFormat="1" applyFont="1" applyFill="1" applyBorder="1" applyAlignment="1">
      <alignment vertical="center"/>
      <protection/>
    </xf>
    <xf numFmtId="40" fontId="9" fillId="3" borderId="0" xfId="44" applyNumberFormat="1" applyFont="1" applyFill="1" applyBorder="1" applyAlignment="1">
      <alignment horizontal="center" vertical="center"/>
      <protection/>
    </xf>
    <xf numFmtId="40" fontId="9" fillId="3" borderId="0" xfId="44" applyNumberFormat="1" applyFont="1" applyFill="1" applyBorder="1" applyAlignment="1">
      <alignment horizontal="center" vertical="center" wrapText="1"/>
      <protection/>
    </xf>
    <xf numFmtId="0" fontId="9" fillId="3" borderId="0" xfId="44" applyNumberFormat="1" applyFont="1" applyFill="1" applyBorder="1" applyAlignment="1">
      <alignment horizontal="center" vertical="center" wrapText="1"/>
      <protection/>
    </xf>
    <xf numFmtId="0" fontId="9" fillId="3" borderId="0" xfId="44" applyNumberFormat="1" applyFont="1" applyFill="1" applyBorder="1" applyAlignment="1">
      <alignment vertical="center" wrapText="1"/>
      <protection/>
    </xf>
    <xf numFmtId="179" fontId="9" fillId="3" borderId="0" xfId="44" applyNumberFormat="1" applyFont="1" applyFill="1" applyBorder="1" applyAlignment="1">
      <alignment vertical="center" wrapText="1"/>
      <protection/>
    </xf>
    <xf numFmtId="40" fontId="13" fillId="3" borderId="11" xfId="20" applyNumberFormat="1" applyFont="1" applyFill="1" applyBorder="1" applyAlignment="1">
      <alignment horizontal="center" vertical="center" wrapText="1"/>
    </xf>
    <xf numFmtId="169" fontId="13" fillId="3" borderId="11" xfId="33" applyNumberFormat="1" applyFont="1" applyFill="1" applyBorder="1" applyAlignment="1">
      <alignment horizontal="center" vertical="center" wrapText="1"/>
    </xf>
    <xf numFmtId="10" fontId="13" fillId="3" borderId="55" xfId="21" applyNumberFormat="1" applyFont="1" applyFill="1" applyBorder="1" applyAlignment="1">
      <alignment horizontal="center" vertical="center" wrapText="1"/>
    </xf>
    <xf numFmtId="169" fontId="13" fillId="3" borderId="0" xfId="20" applyNumberFormat="1" applyFont="1" applyFill="1" applyBorder="1" applyAlignment="1">
      <alignment horizontal="center" vertical="center" wrapText="1"/>
    </xf>
    <xf numFmtId="0" fontId="31" fillId="0" borderId="0" xfId="64" applyFont="1" applyBorder="1" applyAlignment="1">
      <alignment horizontal="left" wrapText="1"/>
      <protection/>
    </xf>
    <xf numFmtId="0" fontId="31" fillId="0" borderId="0" xfId="64" applyFont="1" applyBorder="1" applyAlignment="1">
      <alignment horizontal="center"/>
      <protection/>
    </xf>
    <xf numFmtId="4" fontId="31" fillId="0" borderId="0" xfId="64" applyNumberFormat="1" applyFont="1" applyBorder="1" applyAlignment="1">
      <alignment horizontal="right"/>
      <protection/>
    </xf>
    <xf numFmtId="0" fontId="32" fillId="0" borderId="0" xfId="64" applyFont="1" applyBorder="1" applyAlignment="1">
      <alignment horizontal="right"/>
      <protection/>
    </xf>
    <xf numFmtId="10" fontId="33" fillId="0" borderId="0" xfId="64" applyNumberFormat="1" applyFont="1" applyBorder="1" applyAlignment="1">
      <alignment horizontal="center" vertical="center"/>
      <protection/>
    </xf>
    <xf numFmtId="0" fontId="31" fillId="23" borderId="0" xfId="64" applyFont="1" applyFill="1" applyBorder="1" applyAlignment="1">
      <alignment horizontal="left" wrapText="1"/>
      <protection/>
    </xf>
    <xf numFmtId="10" fontId="31" fillId="23" borderId="0" xfId="64" applyNumberFormat="1" applyFont="1" applyFill="1" applyBorder="1" applyAlignment="1">
      <alignment horizontal="center"/>
      <protection/>
    </xf>
    <xf numFmtId="4" fontId="31" fillId="23" borderId="0" xfId="64" applyNumberFormat="1" applyFont="1" applyFill="1" applyBorder="1" applyAlignment="1">
      <alignment horizontal="center" vertical="center"/>
      <protection/>
    </xf>
    <xf numFmtId="0" fontId="30" fillId="0" borderId="0" xfId="64" applyFont="1" applyBorder="1" applyAlignment="1">
      <alignment horizontal="center" vertical="center" wrapText="1"/>
      <protection/>
    </xf>
    <xf numFmtId="0" fontId="30" fillId="0" borderId="0" xfId="64" applyFont="1" applyBorder="1" applyAlignment="1">
      <alignment horizontal="left" wrapText="1"/>
      <protection/>
    </xf>
    <xf numFmtId="4" fontId="30" fillId="0" borderId="0" xfId="64" applyNumberFormat="1" applyFont="1" applyBorder="1" applyAlignment="1">
      <alignment horizontal="center"/>
      <protection/>
    </xf>
    <xf numFmtId="4" fontId="31" fillId="0" borderId="0" xfId="64" applyNumberFormat="1" applyFont="1" applyBorder="1" applyAlignment="1">
      <alignment horizontal="center" vertical="center"/>
      <protection/>
    </xf>
    <xf numFmtId="0" fontId="31" fillId="23" borderId="0" xfId="64" applyFont="1" applyFill="1" applyBorder="1" applyAlignment="1">
      <alignment horizontal="center" vertical="center" wrapText="1"/>
      <protection/>
    </xf>
    <xf numFmtId="180" fontId="31" fillId="23" borderId="0" xfId="27" applyNumberFormat="1" applyFont="1" applyFill="1" applyBorder="1" applyAlignment="1">
      <alignment horizontal="center"/>
    </xf>
    <xf numFmtId="180" fontId="30" fillId="0" borderId="0" xfId="27" applyNumberFormat="1" applyFont="1" applyBorder="1" applyAlignment="1">
      <alignment horizontal="center"/>
    </xf>
    <xf numFmtId="180" fontId="31" fillId="24" borderId="0" xfId="27" applyNumberFormat="1" applyFont="1" applyFill="1" applyBorder="1" applyAlignment="1">
      <alignment horizontal="center"/>
    </xf>
    <xf numFmtId="180" fontId="31" fillId="0" borderId="0" xfId="27" applyNumberFormat="1" applyFont="1" applyBorder="1" applyAlignment="1">
      <alignment horizontal="center"/>
    </xf>
    <xf numFmtId="0" fontId="30" fillId="23" borderId="0" xfId="64" applyFont="1" applyFill="1" applyBorder="1" applyAlignment="1">
      <alignment horizontal="center" wrapText="1"/>
      <protection/>
    </xf>
    <xf numFmtId="4" fontId="30" fillId="0" borderId="0" xfId="64" applyNumberFormat="1" applyFont="1" applyBorder="1" applyAlignment="1">
      <alignment horizontal="right"/>
      <protection/>
    </xf>
    <xf numFmtId="0" fontId="31" fillId="0" borderId="0" xfId="64" applyFont="1" applyBorder="1" applyAlignment="1">
      <alignment horizontal="left"/>
      <protection/>
    </xf>
    <xf numFmtId="0" fontId="33" fillId="0" borderId="0" xfId="64" applyFont="1" applyBorder="1" applyAlignment="1">
      <alignment/>
      <protection/>
    </xf>
    <xf numFmtId="0" fontId="0" fillId="0" borderId="0" xfId="65" applyFont="1" applyBorder="1" applyAlignment="1">
      <alignment horizontal="left" indent="1"/>
      <protection/>
    </xf>
    <xf numFmtId="0" fontId="0" fillId="0" borderId="0" xfId="65" applyFont="1" applyBorder="1" applyAlignment="1">
      <alignment horizontal="left" wrapText="1"/>
      <protection/>
    </xf>
    <xf numFmtId="0" fontId="0" fillId="0" borderId="0" xfId="65" applyFont="1" applyBorder="1" applyAlignment="1">
      <alignment horizontal="center"/>
      <protection/>
    </xf>
    <xf numFmtId="181" fontId="13" fillId="0" borderId="45" xfId="27" applyNumberFormat="1" applyFont="1" applyFill="1" applyBorder="1" applyAlignment="1" applyProtection="1">
      <alignment horizontal="center"/>
      <protection/>
    </xf>
    <xf numFmtId="170" fontId="13" fillId="13" borderId="80" xfId="0" applyFont="1" applyFill="1" applyBorder="1" applyAlignment="1">
      <alignment horizontal="center" vertical="center"/>
    </xf>
    <xf numFmtId="170" fontId="13" fillId="15" borderId="60" xfId="0" applyFont="1" applyFill="1" applyBorder="1" applyAlignment="1">
      <alignment vertical="center"/>
    </xf>
    <xf numFmtId="165" fontId="4" fillId="17" borderId="24" xfId="0" applyNumberFormat="1" applyFont="1" applyFill="1" applyBorder="1" applyAlignment="1">
      <alignment horizontal="center" vertical="center"/>
    </xf>
    <xf numFmtId="182" fontId="13" fillId="0" borderId="0" xfId="20" applyNumberFormat="1" applyFont="1" applyAlignment="1">
      <alignment horizontal="center" vertical="center" wrapText="1"/>
    </xf>
    <xf numFmtId="0" fontId="14" fillId="3" borderId="0" xfId="44" applyNumberFormat="1" applyFont="1" applyFill="1" applyBorder="1" applyAlignment="1">
      <alignment horizontal="center" vertical="center"/>
      <protection/>
    </xf>
    <xf numFmtId="0" fontId="13" fillId="3" borderId="0" xfId="55" applyNumberFormat="1" applyFont="1" applyFill="1" applyBorder="1" applyAlignment="1">
      <alignment horizontal="center" vertical="center"/>
      <protection/>
    </xf>
    <xf numFmtId="0" fontId="4" fillId="3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left" wrapText="1"/>
    </xf>
    <xf numFmtId="0" fontId="4" fillId="3" borderId="0" xfId="0" applyNumberFormat="1" applyFont="1" applyFill="1" applyBorder="1"/>
    <xf numFmtId="49" fontId="14" fillId="3" borderId="0" xfId="44" applyNumberFormat="1" applyFont="1" applyFill="1" applyBorder="1" applyAlignment="1">
      <alignment horizontal="center" vertical="center"/>
      <protection/>
    </xf>
    <xf numFmtId="49" fontId="4" fillId="3" borderId="0" xfId="0" applyNumberFormat="1" applyFont="1" applyFill="1" applyBorder="1" applyAlignment="1">
      <alignment vertical="center"/>
    </xf>
    <xf numFmtId="49" fontId="4" fillId="3" borderId="0" xfId="0" applyNumberFormat="1" applyFont="1" applyFill="1" applyBorder="1"/>
    <xf numFmtId="4" fontId="4" fillId="0" borderId="8" xfId="0" applyNumberFormat="1" applyFont="1" applyFill="1" applyBorder="1" applyAlignment="1">
      <alignment horizontal="center" vertical="center" wrapText="1"/>
    </xf>
    <xf numFmtId="170" fontId="4" fillId="0" borderId="8" xfId="0" applyFont="1" applyFill="1" applyBorder="1" applyAlignment="1">
      <alignment horizontal="center" vertical="center" wrapText="1"/>
    </xf>
    <xf numFmtId="40" fontId="13" fillId="2" borderId="0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70" fontId="13" fillId="0" borderId="17" xfId="0" applyFont="1" applyFill="1" applyBorder="1" applyAlignment="1">
      <alignment vertical="center" wrapText="1"/>
    </xf>
    <xf numFmtId="170" fontId="13" fillId="0" borderId="8" xfId="0" applyFont="1" applyFill="1" applyBorder="1" applyAlignment="1">
      <alignment vertical="center" wrapText="1"/>
    </xf>
    <xf numFmtId="170" fontId="13" fillId="0" borderId="9" xfId="0" applyFont="1" applyFill="1" applyBorder="1" applyAlignment="1">
      <alignment vertical="center" wrapText="1"/>
    </xf>
    <xf numFmtId="170" fontId="2" fillId="0" borderId="0" xfId="0" applyFont="1" applyAlignment="1">
      <alignment horizontal="center"/>
    </xf>
    <xf numFmtId="170" fontId="2" fillId="0" borderId="0" xfId="0" applyFont="1"/>
    <xf numFmtId="2" fontId="9" fillId="0" borderId="18" xfId="0" applyNumberFormat="1" applyFont="1" applyBorder="1"/>
    <xf numFmtId="0" fontId="0" fillId="0" borderId="10" xfId="2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82" xfId="0" applyNumberFormat="1" applyBorder="1" applyAlignment="1">
      <alignment horizontal="center"/>
    </xf>
    <xf numFmtId="170" fontId="4" fillId="3" borderId="16" xfId="0" applyFont="1" applyFill="1" applyBorder="1" applyAlignment="1">
      <alignment vertical="center" wrapText="1"/>
    </xf>
    <xf numFmtId="179" fontId="9" fillId="3" borderId="0" xfId="44" applyNumberFormat="1" applyFont="1" applyFill="1" applyBorder="1" applyAlignment="1">
      <alignment horizontal="center" vertical="center" wrapText="1"/>
      <protection/>
    </xf>
    <xf numFmtId="170" fontId="13" fillId="0" borderId="8" xfId="0" applyFont="1" applyFill="1" applyBorder="1" applyAlignment="1">
      <alignment horizontal="center" vertical="center" wrapText="1"/>
    </xf>
    <xf numFmtId="169" fontId="4" fillId="0" borderId="1" xfId="20" applyNumberFormat="1" applyFont="1" applyFill="1" applyBorder="1" applyAlignment="1">
      <alignment horizontal="center" vertical="center" wrapText="1"/>
    </xf>
    <xf numFmtId="164" fontId="0" fillId="0" borderId="1" xfId="20" applyFont="1" applyFill="1" applyBorder="1" applyAlignment="1">
      <alignment horizontal="center" vertical="center" wrapText="1"/>
    </xf>
    <xf numFmtId="170" fontId="24" fillId="3" borderId="8" xfId="34" applyFont="1" applyFill="1" applyBorder="1" applyAlignment="1">
      <alignment horizontal="center" vertical="center"/>
      <protection/>
    </xf>
    <xf numFmtId="169" fontId="22" fillId="3" borderId="1" xfId="0" applyNumberFormat="1" applyFont="1" applyFill="1" applyBorder="1" applyAlignment="1">
      <alignment horizontal="center" vertical="center" wrapText="1"/>
    </xf>
    <xf numFmtId="169" fontId="13" fillId="3" borderId="11" xfId="0" applyNumberFormat="1" applyFont="1" applyFill="1" applyBorder="1" applyAlignment="1">
      <alignment horizontal="center" vertical="center" wrapText="1"/>
    </xf>
    <xf numFmtId="170" fontId="4" fillId="3" borderId="16" xfId="0" applyFont="1" applyFill="1" applyBorder="1" applyAlignment="1">
      <alignment horizontal="center" vertical="center" wrapText="1"/>
    </xf>
    <xf numFmtId="170" fontId="28" fillId="0" borderId="8" xfId="0" applyFont="1" applyFill="1" applyBorder="1" applyAlignment="1">
      <alignment vertical="center" wrapText="1"/>
    </xf>
    <xf numFmtId="0" fontId="31" fillId="0" borderId="0" xfId="64" applyFont="1" applyBorder="1" applyAlignment="1">
      <alignment horizontal="left" vertical="center" wrapText="1"/>
      <protection/>
    </xf>
    <xf numFmtId="0" fontId="31" fillId="0" borderId="0" xfId="64" applyFont="1" applyBorder="1" applyAlignment="1">
      <alignment horizontal="left" vertical="center"/>
      <protection/>
    </xf>
    <xf numFmtId="170" fontId="4" fillId="0" borderId="20" xfId="0" applyFont="1" applyBorder="1" applyAlignment="1" applyProtection="1">
      <alignment horizontal="center" vertical="center" wrapText="1"/>
      <protection/>
    </xf>
    <xf numFmtId="170" fontId="4" fillId="0" borderId="19" xfId="0" applyFont="1" applyBorder="1" applyAlignment="1" applyProtection="1">
      <alignment horizontal="center" vertical="center" wrapText="1"/>
      <protection/>
    </xf>
    <xf numFmtId="170" fontId="4" fillId="0" borderId="22" xfId="0" applyFont="1" applyBorder="1" applyAlignment="1" applyProtection="1">
      <alignment horizontal="center" vertical="center" wrapText="1"/>
      <protection/>
    </xf>
    <xf numFmtId="170" fontId="13" fillId="0" borderId="40" xfId="0" applyFont="1" applyBorder="1" applyAlignment="1">
      <alignment horizontal="center"/>
    </xf>
    <xf numFmtId="170" fontId="4" fillId="0" borderId="43" xfId="0" applyFont="1" applyBorder="1" applyAlignment="1">
      <alignment horizontal="center"/>
    </xf>
    <xf numFmtId="170" fontId="4" fillId="0" borderId="83" xfId="0" applyFont="1" applyBorder="1" applyAlignment="1">
      <alignment horizontal="center"/>
    </xf>
    <xf numFmtId="170" fontId="4" fillId="0" borderId="45" xfId="0" applyFont="1" applyBorder="1" applyAlignment="1">
      <alignment horizontal="center"/>
    </xf>
    <xf numFmtId="170" fontId="13" fillId="0" borderId="84" xfId="0" applyFont="1" applyBorder="1" applyAlignment="1">
      <alignment horizontal="center"/>
    </xf>
    <xf numFmtId="170" fontId="13" fillId="0" borderId="85" xfId="0" applyFont="1" applyBorder="1" applyAlignment="1">
      <alignment horizontal="center"/>
    </xf>
    <xf numFmtId="170" fontId="13" fillId="0" borderId="86" xfId="0" applyFont="1" applyBorder="1" applyAlignment="1">
      <alignment horizontal="center"/>
    </xf>
    <xf numFmtId="170" fontId="13" fillId="0" borderId="2" xfId="0" applyFont="1" applyBorder="1" applyAlignment="1">
      <alignment vertical="center" wrapText="1"/>
    </xf>
    <xf numFmtId="170" fontId="13" fillId="0" borderId="0" xfId="0" applyFont="1" applyBorder="1" applyAlignment="1">
      <alignment vertical="center" wrapText="1"/>
    </xf>
    <xf numFmtId="170" fontId="13" fillId="0" borderId="14" xfId="0" applyFont="1" applyBorder="1" applyAlignment="1">
      <alignment vertical="center" wrapText="1"/>
    </xf>
    <xf numFmtId="170" fontId="13" fillId="0" borderId="43" xfId="0" applyFont="1" applyBorder="1" applyAlignment="1">
      <alignment vertical="center" wrapText="1"/>
    </xf>
    <xf numFmtId="170" fontId="13" fillId="0" borderId="83" xfId="0" applyFont="1" applyBorder="1" applyAlignment="1">
      <alignment vertical="center" wrapText="1"/>
    </xf>
    <xf numFmtId="170" fontId="13" fillId="0" borderId="45" xfId="0" applyFont="1" applyBorder="1" applyAlignment="1">
      <alignment vertical="center" wrapText="1"/>
    </xf>
    <xf numFmtId="0" fontId="32" fillId="0" borderId="0" xfId="64" applyFont="1" applyBorder="1" applyAlignment="1">
      <alignment horizontal="right"/>
      <protection/>
    </xf>
    <xf numFmtId="0" fontId="33" fillId="0" borderId="0" xfId="64" applyFont="1" applyBorder="1" applyAlignment="1">
      <alignment horizontal="right" vertical="center"/>
      <protection/>
    </xf>
    <xf numFmtId="10" fontId="33" fillId="0" borderId="0" xfId="64" applyNumberFormat="1" applyFont="1" applyBorder="1" applyAlignment="1">
      <alignment horizontal="center" vertical="center"/>
      <protection/>
    </xf>
    <xf numFmtId="170" fontId="4" fillId="0" borderId="1" xfId="0" applyFont="1" applyBorder="1" applyAlignment="1">
      <alignment horizontal="left" vertical="center" wrapText="1"/>
    </xf>
    <xf numFmtId="170" fontId="4" fillId="3" borderId="1" xfId="31" applyFont="1" applyFill="1" applyBorder="1" applyAlignment="1">
      <alignment horizontal="center" vertical="center"/>
      <protection/>
    </xf>
    <xf numFmtId="170" fontId="4" fillId="6" borderId="1" xfId="31" applyFont="1" applyFill="1" applyBorder="1" applyAlignment="1">
      <alignment horizontal="center" vertical="center" wrapText="1"/>
      <protection/>
    </xf>
    <xf numFmtId="174" fontId="4" fillId="6" borderId="1" xfId="0" applyNumberFormat="1" applyFont="1" applyFill="1" applyBorder="1" applyAlignment="1" applyProtection="1">
      <alignment horizontal="center" vertical="center" wrapText="1"/>
      <protection/>
    </xf>
    <xf numFmtId="177" fontId="4" fillId="3" borderId="1" xfId="31" applyNumberFormat="1" applyFont="1" applyFill="1" applyBorder="1" applyAlignment="1">
      <alignment horizontal="center" vertical="center" wrapText="1"/>
      <protection/>
    </xf>
    <xf numFmtId="174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" xfId="31" applyNumberFormat="1" applyFont="1" applyFill="1" applyBorder="1" applyAlignment="1">
      <alignment horizontal="left" vertical="center"/>
      <protection/>
    </xf>
    <xf numFmtId="10" fontId="4" fillId="3" borderId="1" xfId="31" applyNumberFormat="1" applyFont="1" applyFill="1" applyBorder="1" applyAlignment="1">
      <alignment horizontal="left" vertical="center"/>
      <protection/>
    </xf>
    <xf numFmtId="0" fontId="4" fillId="3" borderId="1" xfId="31" applyNumberFormat="1" applyFont="1" applyFill="1" applyBorder="1" applyAlignment="1">
      <alignment horizontal="left" vertical="center" wrapText="1"/>
      <protection/>
    </xf>
    <xf numFmtId="170" fontId="4" fillId="6" borderId="1" xfId="31" applyFont="1" applyFill="1" applyBorder="1" applyAlignment="1">
      <alignment horizontal="left" vertical="center"/>
      <protection/>
    </xf>
    <xf numFmtId="170" fontId="4" fillId="6" borderId="1" xfId="31" applyFont="1" applyFill="1" applyBorder="1" applyAlignment="1">
      <alignment horizontal="left" vertical="center" wrapText="1"/>
      <protection/>
    </xf>
    <xf numFmtId="170" fontId="17" fillId="4" borderId="17" xfId="31" applyFont="1" applyFill="1" applyBorder="1" applyAlignment="1">
      <alignment horizontal="center" vertical="center" wrapText="1"/>
      <protection/>
    </xf>
    <xf numFmtId="170" fontId="17" fillId="4" borderId="8" xfId="31" applyFont="1" applyFill="1" applyBorder="1" applyAlignment="1">
      <alignment horizontal="center" vertical="center" wrapText="1"/>
      <protection/>
    </xf>
    <xf numFmtId="170" fontId="17" fillId="4" borderId="9" xfId="31" applyFont="1" applyFill="1" applyBorder="1" applyAlignment="1">
      <alignment horizontal="center" vertical="center" wrapText="1"/>
      <protection/>
    </xf>
    <xf numFmtId="170" fontId="4" fillId="7" borderId="1" xfId="31" applyFont="1" applyFill="1" applyBorder="1" applyAlignment="1">
      <alignment horizontal="left" vertical="center"/>
      <protection/>
    </xf>
    <xf numFmtId="0" fontId="4" fillId="5" borderId="1" xfId="31" applyNumberFormat="1" applyFont="1" applyFill="1" applyBorder="1" applyAlignment="1">
      <alignment horizontal="left" vertical="center"/>
      <protection/>
    </xf>
    <xf numFmtId="170" fontId="4" fillId="6" borderId="1" xfId="31" applyFont="1" applyFill="1" applyBorder="1" applyAlignment="1">
      <alignment horizontal="center" vertical="center"/>
      <protection/>
    </xf>
    <xf numFmtId="170" fontId="13" fillId="0" borderId="87" xfId="0" applyFont="1" applyBorder="1" applyAlignment="1">
      <alignment horizontal="center" vertical="center"/>
    </xf>
    <xf numFmtId="170" fontId="13" fillId="0" borderId="16" xfId="0" applyFont="1" applyBorder="1" applyAlignment="1">
      <alignment horizontal="center" vertical="center"/>
    </xf>
    <xf numFmtId="170" fontId="13" fillId="0" borderId="88" xfId="0" applyFont="1" applyBorder="1" applyAlignment="1">
      <alignment horizontal="center" vertical="center"/>
    </xf>
    <xf numFmtId="170" fontId="20" fillId="0" borderId="89" xfId="32" applyFont="1" applyBorder="1" applyAlignment="1">
      <alignment horizontal="left" vertical="center"/>
      <protection/>
    </xf>
    <xf numFmtId="170" fontId="20" fillId="0" borderId="90" xfId="32" applyFont="1" applyBorder="1" applyAlignment="1">
      <alignment horizontal="left" vertical="center"/>
      <protection/>
    </xf>
    <xf numFmtId="170" fontId="20" fillId="0" borderId="91" xfId="32" applyFont="1" applyBorder="1" applyAlignment="1">
      <alignment horizontal="left" vertical="center"/>
      <protection/>
    </xf>
    <xf numFmtId="170" fontId="20" fillId="0" borderId="17" xfId="32" applyFont="1" applyBorder="1" applyAlignment="1">
      <alignment horizontal="left" vertical="center"/>
      <protection/>
    </xf>
    <xf numFmtId="170" fontId="20" fillId="0" borderId="8" xfId="32" applyFont="1" applyBorder="1" applyAlignment="1">
      <alignment horizontal="left" vertical="center"/>
      <protection/>
    </xf>
    <xf numFmtId="170" fontId="20" fillId="0" borderId="9" xfId="32" applyFont="1" applyBorder="1" applyAlignment="1">
      <alignment horizontal="left" vertical="center"/>
      <protection/>
    </xf>
    <xf numFmtId="170" fontId="17" fillId="4" borderId="64" xfId="31" applyFont="1" applyFill="1" applyBorder="1" applyAlignment="1">
      <alignment horizontal="center" vertical="center"/>
      <protection/>
    </xf>
    <xf numFmtId="170" fontId="17" fillId="4" borderId="0" xfId="31" applyFont="1" applyFill="1" applyBorder="1" applyAlignment="1">
      <alignment horizontal="center" vertical="center"/>
      <protection/>
    </xf>
    <xf numFmtId="0" fontId="4" fillId="5" borderId="17" xfId="31" applyNumberFormat="1" applyFont="1" applyFill="1" applyBorder="1" applyAlignment="1">
      <alignment horizontal="left" vertical="center"/>
      <protection/>
    </xf>
    <xf numFmtId="0" fontId="4" fillId="5" borderId="8" xfId="31" applyNumberFormat="1" applyFont="1" applyFill="1" applyBorder="1" applyAlignment="1">
      <alignment horizontal="left" vertical="center"/>
      <protection/>
    </xf>
    <xf numFmtId="0" fontId="4" fillId="5" borderId="9" xfId="31" applyNumberFormat="1" applyFont="1" applyFill="1" applyBorder="1" applyAlignment="1">
      <alignment horizontal="left" vertical="center"/>
      <protection/>
    </xf>
    <xf numFmtId="170" fontId="4" fillId="3" borderId="17" xfId="31" applyFont="1" applyFill="1" applyBorder="1" applyAlignment="1">
      <alignment horizontal="center" vertical="center"/>
      <protection/>
    </xf>
    <xf numFmtId="170" fontId="4" fillId="3" borderId="8" xfId="31" applyFont="1" applyFill="1" applyBorder="1" applyAlignment="1">
      <alignment horizontal="center" vertical="center"/>
      <protection/>
    </xf>
    <xf numFmtId="170" fontId="4" fillId="3" borderId="9" xfId="31" applyFont="1" applyFill="1" applyBorder="1" applyAlignment="1">
      <alignment horizontal="center" vertical="center"/>
      <protection/>
    </xf>
    <xf numFmtId="170" fontId="4" fillId="0" borderId="17" xfId="0" applyFont="1" applyBorder="1" applyAlignment="1">
      <alignment horizontal="left" vertical="center"/>
    </xf>
    <xf numFmtId="170" fontId="4" fillId="0" borderId="8" xfId="0" applyFont="1" applyBorder="1" applyAlignment="1">
      <alignment horizontal="left" vertical="center"/>
    </xf>
    <xf numFmtId="170" fontId="4" fillId="0" borderId="9" xfId="0" applyFont="1" applyBorder="1" applyAlignment="1">
      <alignment horizontal="left" vertical="center"/>
    </xf>
    <xf numFmtId="0" fontId="4" fillId="3" borderId="17" xfId="31" applyNumberFormat="1" applyFont="1" applyFill="1" applyBorder="1" applyAlignment="1">
      <alignment horizontal="left" vertical="center"/>
      <protection/>
    </xf>
    <xf numFmtId="0" fontId="4" fillId="3" borderId="8" xfId="31" applyNumberFormat="1" applyFont="1" applyFill="1" applyBorder="1" applyAlignment="1">
      <alignment horizontal="left" vertical="center"/>
      <protection/>
    </xf>
    <xf numFmtId="0" fontId="4" fillId="3" borderId="9" xfId="31" applyNumberFormat="1" applyFont="1" applyFill="1" applyBorder="1" applyAlignment="1">
      <alignment horizontal="left" vertical="center"/>
      <protection/>
    </xf>
    <xf numFmtId="170" fontId="4" fillId="6" borderId="11" xfId="31" applyFont="1" applyFill="1" applyBorder="1" applyAlignment="1">
      <alignment horizontal="center" vertical="center"/>
      <protection/>
    </xf>
    <xf numFmtId="177" fontId="4" fillId="3" borderId="15" xfId="31" applyNumberFormat="1" applyFont="1" applyFill="1" applyBorder="1" applyAlignment="1">
      <alignment horizontal="center" vertical="center" wrapText="1"/>
      <protection/>
    </xf>
    <xf numFmtId="177" fontId="4" fillId="3" borderId="16" xfId="31" applyNumberFormat="1" applyFont="1" applyFill="1" applyBorder="1" applyAlignment="1">
      <alignment horizontal="center" vertical="center" wrapText="1"/>
      <protection/>
    </xf>
    <xf numFmtId="177" fontId="4" fillId="3" borderId="63" xfId="31" applyNumberFormat="1" applyFont="1" applyFill="1" applyBorder="1" applyAlignment="1">
      <alignment horizontal="center" vertical="center" wrapText="1"/>
      <protection/>
    </xf>
    <xf numFmtId="177" fontId="4" fillId="3" borderId="55" xfId="31" applyNumberFormat="1" applyFont="1" applyFill="1" applyBorder="1" applyAlignment="1">
      <alignment horizontal="center" vertical="center" wrapText="1"/>
      <protection/>
    </xf>
    <xf numFmtId="177" fontId="4" fillId="3" borderId="58" xfId="31" applyNumberFormat="1" applyFont="1" applyFill="1" applyBorder="1" applyAlignment="1">
      <alignment horizontal="center" vertical="center" wrapText="1"/>
      <protection/>
    </xf>
    <xf numFmtId="177" fontId="4" fillId="3" borderId="59" xfId="31" applyNumberFormat="1" applyFont="1" applyFill="1" applyBorder="1" applyAlignment="1">
      <alignment horizontal="center" vertical="center" wrapText="1"/>
      <protection/>
    </xf>
    <xf numFmtId="174" fontId="4" fillId="3" borderId="17" xfId="0" applyNumberFormat="1" applyFont="1" applyFill="1" applyBorder="1" applyAlignment="1" applyProtection="1">
      <alignment horizontal="center" vertical="center" wrapText="1"/>
      <protection/>
    </xf>
    <xf numFmtId="174" fontId="4" fillId="3" borderId="8" xfId="0" applyNumberFormat="1" applyFont="1" applyFill="1" applyBorder="1" applyAlignment="1" applyProtection="1">
      <alignment horizontal="center" vertical="center" wrapText="1"/>
      <protection/>
    </xf>
    <xf numFmtId="174" fontId="4" fillId="3" borderId="9" xfId="0" applyNumberFormat="1" applyFont="1" applyFill="1" applyBorder="1" applyAlignment="1" applyProtection="1">
      <alignment horizontal="center" vertical="center" wrapText="1"/>
      <protection/>
    </xf>
    <xf numFmtId="170" fontId="4" fillId="13" borderId="92" xfId="0" applyFont="1" applyFill="1" applyBorder="1" applyAlignment="1">
      <alignment horizontal="center" vertical="center"/>
    </xf>
    <xf numFmtId="170" fontId="4" fillId="13" borderId="93" xfId="0" applyFont="1" applyFill="1" applyBorder="1" applyAlignment="1">
      <alignment horizontal="center" vertical="center"/>
    </xf>
    <xf numFmtId="170" fontId="4" fillId="13" borderId="94" xfId="0" applyFont="1" applyFill="1" applyBorder="1" applyAlignment="1">
      <alignment horizontal="center" vertical="center"/>
    </xf>
    <xf numFmtId="170" fontId="4" fillId="13" borderId="95" xfId="0" applyFont="1" applyFill="1" applyBorder="1" applyAlignment="1">
      <alignment horizontal="center" vertical="center"/>
    </xf>
    <xf numFmtId="170" fontId="4" fillId="13" borderId="96" xfId="0" applyFont="1" applyFill="1" applyBorder="1" applyAlignment="1">
      <alignment horizontal="center" vertical="center"/>
    </xf>
    <xf numFmtId="170" fontId="4" fillId="13" borderId="97" xfId="0" applyFont="1" applyFill="1" applyBorder="1" applyAlignment="1">
      <alignment horizontal="center" vertical="center"/>
    </xf>
    <xf numFmtId="170" fontId="4" fillId="13" borderId="98" xfId="0" applyFont="1" applyFill="1" applyBorder="1" applyAlignment="1">
      <alignment horizontal="center" vertical="center"/>
    </xf>
    <xf numFmtId="170" fontId="4" fillId="13" borderId="99" xfId="0" applyFont="1" applyFill="1" applyBorder="1" applyAlignment="1">
      <alignment horizontal="center" vertical="center"/>
    </xf>
    <xf numFmtId="10" fontId="4" fillId="3" borderId="17" xfId="31" applyNumberFormat="1" applyFont="1" applyFill="1" applyBorder="1" applyAlignment="1">
      <alignment horizontal="center" vertical="center"/>
      <protection/>
    </xf>
    <xf numFmtId="10" fontId="4" fillId="3" borderId="8" xfId="31" applyNumberFormat="1" applyFont="1" applyFill="1" applyBorder="1" applyAlignment="1">
      <alignment horizontal="center" vertical="center"/>
      <protection/>
    </xf>
    <xf numFmtId="10" fontId="4" fillId="3" borderId="9" xfId="31" applyNumberFormat="1" applyFont="1" applyFill="1" applyBorder="1" applyAlignment="1">
      <alignment horizontal="center" vertical="center"/>
      <protection/>
    </xf>
    <xf numFmtId="3" fontId="13" fillId="2" borderId="100" xfId="0" applyNumberFormat="1" applyFont="1" applyFill="1" applyBorder="1" applyAlignment="1">
      <alignment horizontal="center" vertical="center"/>
    </xf>
    <xf numFmtId="3" fontId="13" fillId="2" borderId="101" xfId="0" applyNumberFormat="1" applyFont="1" applyFill="1" applyBorder="1" applyAlignment="1">
      <alignment horizontal="center" vertical="center"/>
    </xf>
    <xf numFmtId="3" fontId="13" fillId="2" borderId="102" xfId="0" applyNumberFormat="1" applyFont="1" applyFill="1" applyBorder="1" applyAlignment="1">
      <alignment horizontal="center" vertical="center"/>
    </xf>
    <xf numFmtId="170" fontId="13" fillId="2" borderId="103" xfId="0" applyFont="1" applyFill="1" applyBorder="1" applyAlignment="1">
      <alignment horizontal="left" vertical="center"/>
    </xf>
    <xf numFmtId="170" fontId="13" fillId="2" borderId="104" xfId="0" applyFont="1" applyFill="1" applyBorder="1" applyAlignment="1">
      <alignment horizontal="left" vertical="center"/>
    </xf>
    <xf numFmtId="10" fontId="13" fillId="2" borderId="105" xfId="0" applyNumberFormat="1" applyFont="1" applyFill="1" applyBorder="1" applyAlignment="1">
      <alignment horizontal="center" vertical="center"/>
    </xf>
    <xf numFmtId="165" fontId="13" fillId="2" borderId="106" xfId="0" applyNumberFormat="1" applyFont="1" applyFill="1" applyBorder="1" applyAlignment="1">
      <alignment horizontal="center" vertical="center"/>
    </xf>
    <xf numFmtId="165" fontId="13" fillId="2" borderId="107" xfId="0" applyNumberFormat="1" applyFont="1" applyFill="1" applyBorder="1" applyAlignment="1">
      <alignment horizontal="center" vertical="center"/>
    </xf>
    <xf numFmtId="165" fontId="13" fillId="2" borderId="108" xfId="0" applyNumberFormat="1" applyFont="1" applyFill="1" applyBorder="1" applyAlignment="1">
      <alignment horizontal="center" vertical="center"/>
    </xf>
    <xf numFmtId="9" fontId="13" fillId="2" borderId="109" xfId="0" applyNumberFormat="1" applyFont="1" applyFill="1" applyBorder="1" applyAlignment="1">
      <alignment horizontal="center" vertical="center"/>
    </xf>
    <xf numFmtId="9" fontId="13" fillId="2" borderId="110" xfId="0" applyNumberFormat="1" applyFont="1" applyFill="1" applyBorder="1" applyAlignment="1">
      <alignment horizontal="center" vertical="center"/>
    </xf>
    <xf numFmtId="165" fontId="13" fillId="2" borderId="111" xfId="0" applyNumberFormat="1" applyFont="1" applyFill="1" applyBorder="1" applyAlignment="1">
      <alignment horizontal="center" vertical="center"/>
    </xf>
    <xf numFmtId="165" fontId="13" fillId="2" borderId="12" xfId="0" applyNumberFormat="1" applyFont="1" applyFill="1" applyBorder="1" applyAlignment="1">
      <alignment horizontal="center" vertical="center"/>
    </xf>
    <xf numFmtId="165" fontId="13" fillId="2" borderId="112" xfId="0" applyNumberFormat="1" applyFont="1" applyFill="1" applyBorder="1" applyAlignment="1">
      <alignment horizontal="center" vertical="center"/>
    </xf>
    <xf numFmtId="165" fontId="13" fillId="5" borderId="113" xfId="0" applyNumberFormat="1" applyFont="1" applyFill="1" applyBorder="1" applyAlignment="1">
      <alignment horizontal="center" vertical="center"/>
    </xf>
    <xf numFmtId="165" fontId="13" fillId="5" borderId="114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170" fontId="13" fillId="2" borderId="4" xfId="0" applyFont="1" applyFill="1" applyBorder="1" applyAlignment="1">
      <alignment horizontal="left" vertical="center"/>
    </xf>
    <xf numFmtId="9" fontId="13" fillId="5" borderId="115" xfId="0" applyNumberFormat="1" applyFont="1" applyFill="1" applyBorder="1" applyAlignment="1">
      <alignment horizontal="center" vertical="center"/>
    </xf>
    <xf numFmtId="9" fontId="13" fillId="5" borderId="116" xfId="0" applyNumberFormat="1" applyFont="1" applyFill="1" applyBorder="1" applyAlignment="1">
      <alignment horizontal="center" vertical="center"/>
    </xf>
    <xf numFmtId="9" fontId="13" fillId="2" borderId="17" xfId="0" applyNumberFormat="1" applyFont="1" applyFill="1" applyBorder="1" applyAlignment="1">
      <alignment horizontal="center" vertical="center"/>
    </xf>
    <xf numFmtId="9" fontId="13" fillId="2" borderId="9" xfId="0" applyNumberFormat="1" applyFont="1" applyFill="1" applyBorder="1" applyAlignment="1">
      <alignment horizontal="center" vertical="center"/>
    </xf>
    <xf numFmtId="9" fontId="13" fillId="2" borderId="117" xfId="0" applyNumberFormat="1" applyFont="1" applyFill="1" applyBorder="1" applyAlignment="1">
      <alignment horizontal="center" vertical="center"/>
    </xf>
    <xf numFmtId="9" fontId="13" fillId="2" borderId="118" xfId="0" applyNumberFormat="1" applyFont="1" applyFill="1" applyBorder="1" applyAlignment="1">
      <alignment horizontal="center" vertical="center"/>
    </xf>
    <xf numFmtId="9" fontId="13" fillId="5" borderId="119" xfId="0" applyNumberFormat="1" applyFont="1" applyFill="1" applyBorder="1" applyAlignment="1">
      <alignment horizontal="center" vertical="center"/>
    </xf>
    <xf numFmtId="9" fontId="13" fillId="5" borderId="120" xfId="0" applyNumberFormat="1" applyFont="1" applyFill="1" applyBorder="1" applyAlignment="1">
      <alignment horizontal="center" vertical="center"/>
    </xf>
    <xf numFmtId="9" fontId="13" fillId="5" borderId="121" xfId="0" applyNumberFormat="1" applyFont="1" applyFill="1" applyBorder="1" applyAlignment="1">
      <alignment horizontal="center" vertical="center"/>
    </xf>
    <xf numFmtId="170" fontId="13" fillId="2" borderId="122" xfId="0" applyFont="1" applyFill="1" applyBorder="1" applyAlignment="1">
      <alignment horizontal="left" vertical="center"/>
    </xf>
    <xf numFmtId="170" fontId="13" fillId="2" borderId="123" xfId="0" applyFont="1" applyFill="1" applyBorder="1" applyAlignment="1">
      <alignment horizontal="left" vertical="center"/>
    </xf>
    <xf numFmtId="170" fontId="13" fillId="2" borderId="124" xfId="0" applyFont="1" applyFill="1" applyBorder="1" applyAlignment="1">
      <alignment horizontal="left" vertical="center"/>
    </xf>
    <xf numFmtId="170" fontId="13" fillId="2" borderId="5" xfId="0" applyFont="1" applyFill="1" applyBorder="1" applyAlignment="1">
      <alignment vertical="center"/>
    </xf>
    <xf numFmtId="9" fontId="13" fillId="5" borderId="125" xfId="0" applyNumberFormat="1" applyFont="1" applyFill="1" applyBorder="1" applyAlignment="1">
      <alignment horizontal="center" vertical="center"/>
    </xf>
    <xf numFmtId="9" fontId="13" fillId="5" borderId="126" xfId="0" applyNumberFormat="1" applyFont="1" applyFill="1" applyBorder="1" applyAlignment="1">
      <alignment horizontal="center" vertical="center"/>
    </xf>
    <xf numFmtId="9" fontId="13" fillId="2" borderId="125" xfId="0" applyNumberFormat="1" applyFont="1" applyFill="1" applyBorder="1" applyAlignment="1">
      <alignment horizontal="center" vertical="center"/>
    </xf>
    <xf numFmtId="9" fontId="13" fillId="2" borderId="126" xfId="0" applyNumberFormat="1" applyFont="1" applyFill="1" applyBorder="1" applyAlignment="1">
      <alignment horizontal="center" vertical="center"/>
    </xf>
    <xf numFmtId="9" fontId="13" fillId="2" borderId="127" xfId="0" applyNumberFormat="1" applyFont="1" applyFill="1" applyBorder="1" applyAlignment="1">
      <alignment horizontal="center" vertical="center"/>
    </xf>
    <xf numFmtId="165" fontId="13" fillId="2" borderId="128" xfId="0" applyNumberFormat="1" applyFont="1" applyFill="1" applyBorder="1" applyAlignment="1">
      <alignment horizontal="center" vertical="center"/>
    </xf>
    <xf numFmtId="170" fontId="13" fillId="14" borderId="66" xfId="0" applyFont="1" applyFill="1" applyBorder="1" applyAlignment="1">
      <alignment horizontal="center" vertical="center"/>
    </xf>
    <xf numFmtId="170" fontId="13" fillId="14" borderId="67" xfId="0" applyFont="1" applyFill="1" applyBorder="1" applyAlignment="1">
      <alignment horizontal="center" vertical="center"/>
    </xf>
    <xf numFmtId="165" fontId="13" fillId="5" borderId="129" xfId="0" applyNumberFormat="1" applyFont="1" applyFill="1" applyBorder="1" applyAlignment="1">
      <alignment horizontal="center" vertical="center"/>
    </xf>
    <xf numFmtId="165" fontId="13" fillId="5" borderId="130" xfId="0" applyNumberFormat="1" applyFont="1" applyFill="1" applyBorder="1" applyAlignment="1">
      <alignment horizontal="center" vertical="center"/>
    </xf>
    <xf numFmtId="165" fontId="13" fillId="2" borderId="131" xfId="0" applyNumberFormat="1" applyFont="1" applyFill="1" applyBorder="1" applyAlignment="1">
      <alignment horizontal="center" vertical="center"/>
    </xf>
    <xf numFmtId="165" fontId="13" fillId="2" borderId="132" xfId="0" applyNumberFormat="1" applyFont="1" applyFill="1" applyBorder="1" applyAlignment="1">
      <alignment horizontal="center" vertical="center"/>
    </xf>
    <xf numFmtId="165" fontId="13" fillId="2" borderId="133" xfId="0" applyNumberFormat="1" applyFont="1" applyFill="1" applyBorder="1" applyAlignment="1">
      <alignment horizontal="center" vertical="center"/>
    </xf>
    <xf numFmtId="165" fontId="13" fillId="2" borderId="134" xfId="0" applyNumberFormat="1" applyFont="1" applyFill="1" applyBorder="1" applyAlignment="1">
      <alignment horizontal="center" vertical="center"/>
    </xf>
    <xf numFmtId="165" fontId="13" fillId="5" borderId="135" xfId="0" applyNumberFormat="1" applyFont="1" applyFill="1" applyBorder="1" applyAlignment="1">
      <alignment horizontal="center" vertical="center"/>
    </xf>
    <xf numFmtId="165" fontId="13" fillId="5" borderId="108" xfId="0" applyNumberFormat="1" applyFont="1" applyFill="1" applyBorder="1" applyAlignment="1">
      <alignment horizontal="center" vertical="center"/>
    </xf>
    <xf numFmtId="165" fontId="13" fillId="5" borderId="136" xfId="0" applyNumberFormat="1" applyFont="1" applyFill="1" applyBorder="1" applyAlignment="1">
      <alignment horizontal="center" vertical="center"/>
    </xf>
    <xf numFmtId="165" fontId="13" fillId="2" borderId="136" xfId="0" applyNumberFormat="1" applyFont="1" applyFill="1" applyBorder="1" applyAlignment="1">
      <alignment horizontal="center" vertical="center"/>
    </xf>
    <xf numFmtId="165" fontId="13" fillId="2" borderId="135" xfId="0" applyNumberFormat="1" applyFont="1" applyFill="1" applyBorder="1" applyAlignment="1">
      <alignment horizontal="center" vertical="center"/>
    </xf>
    <xf numFmtId="165" fontId="13" fillId="2" borderId="137" xfId="0" applyNumberFormat="1" applyFont="1" applyFill="1" applyBorder="1" applyAlignment="1">
      <alignment horizontal="center" vertical="center"/>
    </xf>
    <xf numFmtId="165" fontId="13" fillId="2" borderId="31" xfId="0" applyNumberFormat="1" applyFont="1" applyFill="1" applyBorder="1" applyAlignment="1">
      <alignment horizontal="center" vertical="center"/>
    </xf>
    <xf numFmtId="165" fontId="13" fillId="2" borderId="138" xfId="0" applyNumberFormat="1" applyFont="1" applyFill="1" applyBorder="1" applyAlignment="1">
      <alignment horizontal="center" vertical="center"/>
    </xf>
    <xf numFmtId="9" fontId="13" fillId="2" borderId="139" xfId="0" applyNumberFormat="1" applyFont="1" applyFill="1" applyBorder="1" applyAlignment="1">
      <alignment horizontal="center" vertical="center"/>
    </xf>
    <xf numFmtId="9" fontId="13" fillId="2" borderId="140" xfId="0" applyNumberFormat="1" applyFont="1" applyFill="1" applyBorder="1" applyAlignment="1">
      <alignment horizontal="center" vertical="center"/>
    </xf>
    <xf numFmtId="9" fontId="13" fillId="2" borderId="141" xfId="0" applyNumberFormat="1" applyFont="1" applyFill="1" applyBorder="1" applyAlignment="1">
      <alignment horizontal="center" vertical="center"/>
    </xf>
    <xf numFmtId="9" fontId="13" fillId="2" borderId="120" xfId="0" applyNumberFormat="1" applyFont="1" applyFill="1" applyBorder="1" applyAlignment="1">
      <alignment horizontal="center" vertical="center"/>
    </xf>
    <xf numFmtId="9" fontId="13" fillId="2" borderId="121" xfId="0" applyNumberFormat="1" applyFont="1" applyFill="1" applyBorder="1" applyAlignment="1">
      <alignment horizontal="center" vertical="center"/>
    </xf>
    <xf numFmtId="165" fontId="13" fillId="2" borderId="129" xfId="0" applyNumberFormat="1" applyFont="1" applyFill="1" applyBorder="1" applyAlignment="1">
      <alignment horizontal="center" vertical="center"/>
    </xf>
    <xf numFmtId="165" fontId="13" fillId="2" borderId="130" xfId="0" applyNumberFormat="1" applyFont="1" applyFill="1" applyBorder="1" applyAlignment="1">
      <alignment horizontal="center" vertical="center"/>
    </xf>
    <xf numFmtId="165" fontId="13" fillId="2" borderId="142" xfId="0" applyNumberFormat="1" applyFont="1" applyFill="1" applyBorder="1" applyAlignment="1">
      <alignment horizontal="center" vertical="center"/>
    </xf>
    <xf numFmtId="170" fontId="13" fillId="2" borderId="5" xfId="0" applyFont="1" applyFill="1" applyBorder="1" applyAlignment="1">
      <alignment horizontal="left" vertical="center"/>
    </xf>
    <xf numFmtId="170" fontId="13" fillId="2" borderId="143" xfId="0" applyFont="1" applyFill="1" applyBorder="1" applyAlignment="1">
      <alignment horizontal="center" vertical="center"/>
    </xf>
    <xf numFmtId="170" fontId="13" fillId="2" borderId="101" xfId="0" applyFont="1" applyFill="1" applyBorder="1" applyAlignment="1">
      <alignment horizontal="center" vertical="center"/>
    </xf>
    <xf numFmtId="165" fontId="13" fillId="2" borderId="113" xfId="0" applyNumberFormat="1" applyFont="1" applyFill="1" applyBorder="1" applyAlignment="1">
      <alignment horizontal="center" vertical="center"/>
    </xf>
    <xf numFmtId="165" fontId="13" fillId="18" borderId="96" xfId="0" applyNumberFormat="1" applyFont="1" applyFill="1" applyBorder="1" applyAlignment="1">
      <alignment horizontal="center" vertical="center"/>
    </xf>
    <xf numFmtId="10" fontId="13" fillId="2" borderId="144" xfId="21" applyNumberFormat="1" applyFont="1" applyFill="1" applyBorder="1" applyAlignment="1" applyProtection="1">
      <alignment horizontal="center" vertical="center"/>
      <protection/>
    </xf>
    <xf numFmtId="165" fontId="13" fillId="18" borderId="144" xfId="0" applyNumberFormat="1" applyFont="1" applyFill="1" applyBorder="1" applyAlignment="1">
      <alignment horizontal="center" vertical="center"/>
    </xf>
    <xf numFmtId="10" fontId="13" fillId="2" borderId="25" xfId="21" applyNumberFormat="1" applyFont="1" applyFill="1" applyBorder="1" applyAlignment="1" applyProtection="1">
      <alignment horizontal="center" vertical="center"/>
      <protection/>
    </xf>
    <xf numFmtId="170" fontId="11" fillId="0" borderId="0" xfId="0" applyFont="1" applyBorder="1" applyAlignment="1">
      <alignment horizontal="center"/>
    </xf>
    <xf numFmtId="170" fontId="17" fillId="4" borderId="64" xfId="31" applyFont="1" applyFill="1" applyBorder="1" applyAlignment="1">
      <alignment horizontal="center" vertical="center" wrapText="1"/>
      <protection/>
    </xf>
    <xf numFmtId="170" fontId="17" fillId="4" borderId="0" xfId="31" applyFont="1" applyFill="1" applyBorder="1" applyAlignment="1">
      <alignment horizontal="center" vertical="center" wrapText="1"/>
      <protection/>
    </xf>
    <xf numFmtId="170" fontId="4" fillId="3" borderId="1" xfId="31" applyFont="1" applyFill="1" applyBorder="1" applyAlignment="1">
      <alignment horizontal="left" vertical="center"/>
      <protection/>
    </xf>
    <xf numFmtId="170" fontId="13" fillId="3" borderId="17" xfId="0" applyFont="1" applyFill="1" applyBorder="1" applyAlignment="1">
      <alignment horizontal="left" vertical="center" wrapText="1"/>
    </xf>
    <xf numFmtId="170" fontId="13" fillId="3" borderId="8" xfId="0" applyFont="1" applyFill="1" applyBorder="1" applyAlignment="1">
      <alignment horizontal="left" vertical="center" wrapText="1"/>
    </xf>
    <xf numFmtId="170" fontId="13" fillId="3" borderId="9" xfId="0" applyFont="1" applyFill="1" applyBorder="1" applyAlignment="1">
      <alignment horizontal="left" vertical="center" wrapText="1"/>
    </xf>
    <xf numFmtId="170" fontId="12" fillId="3" borderId="1" xfId="0" applyFont="1" applyFill="1" applyBorder="1" applyAlignment="1">
      <alignment horizontal="left" vertical="center" wrapText="1"/>
    </xf>
    <xf numFmtId="177" fontId="4" fillId="3" borderId="1" xfId="31" applyNumberFormat="1" applyFont="1" applyFill="1" applyBorder="1" applyAlignment="1">
      <alignment horizontal="left" vertical="center" wrapText="1"/>
      <protection/>
    </xf>
    <xf numFmtId="174" fontId="4" fillId="3" borderId="1" xfId="0" applyNumberFormat="1" applyFont="1" applyFill="1" applyBorder="1" applyAlignment="1" applyProtection="1">
      <alignment horizontal="left" vertical="center" wrapText="1"/>
      <protection/>
    </xf>
    <xf numFmtId="170" fontId="25" fillId="11" borderId="17" xfId="0" applyFont="1" applyFill="1" applyBorder="1" applyAlignment="1">
      <alignment horizontal="center" vertical="center"/>
    </xf>
    <xf numFmtId="170" fontId="25" fillId="11" borderId="8" xfId="0" applyFont="1" applyFill="1" applyBorder="1" applyAlignment="1">
      <alignment horizontal="center" vertical="center"/>
    </xf>
    <xf numFmtId="170" fontId="25" fillId="11" borderId="9" xfId="0" applyFont="1" applyFill="1" applyBorder="1" applyAlignment="1">
      <alignment horizontal="center" vertical="center"/>
    </xf>
    <xf numFmtId="170" fontId="25" fillId="11" borderId="17" xfId="0" applyFont="1" applyFill="1" applyBorder="1" applyAlignment="1">
      <alignment horizontal="center" vertical="center" wrapText="1"/>
    </xf>
    <xf numFmtId="170" fontId="25" fillId="11" borderId="8" xfId="0" applyFont="1" applyFill="1" applyBorder="1" applyAlignment="1">
      <alignment horizontal="center" vertical="center" wrapText="1"/>
    </xf>
    <xf numFmtId="170" fontId="25" fillId="11" borderId="9" xfId="0" applyFont="1" applyFill="1" applyBorder="1" applyAlignment="1">
      <alignment horizontal="center" vertical="center" wrapText="1"/>
    </xf>
    <xf numFmtId="0" fontId="11" fillId="22" borderId="15" xfId="54" applyFont="1" applyFill="1" applyBorder="1" applyAlignment="1">
      <alignment horizontal="center" vertical="center" wrapText="1"/>
      <protection/>
    </xf>
    <xf numFmtId="0" fontId="11" fillId="22" borderId="16" xfId="54" applyFont="1" applyFill="1" applyBorder="1" applyAlignment="1">
      <alignment horizontal="center" vertical="center" wrapText="1"/>
      <protection/>
    </xf>
    <xf numFmtId="0" fontId="11" fillId="22" borderId="63" xfId="54" applyFont="1" applyFill="1" applyBorder="1" applyAlignment="1">
      <alignment horizontal="center" vertical="center" wrapText="1"/>
      <protection/>
    </xf>
    <xf numFmtId="2" fontId="13" fillId="3" borderId="8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 vertical="center"/>
    </xf>
    <xf numFmtId="2" fontId="13" fillId="3" borderId="9" xfId="0" applyNumberFormat="1" applyFont="1" applyFill="1" applyBorder="1" applyAlignment="1">
      <alignment horizontal="center" vertical="center"/>
    </xf>
    <xf numFmtId="49" fontId="13" fillId="3" borderId="17" xfId="59" applyNumberFormat="1" applyFont="1" applyFill="1" applyBorder="1" applyAlignment="1" applyProtection="1">
      <alignment horizontal="left" vertical="center" wrapText="1"/>
      <protection/>
    </xf>
    <xf numFmtId="49" fontId="13" fillId="3" borderId="8" xfId="59" applyNumberFormat="1" applyFont="1" applyFill="1" applyBorder="1" applyAlignment="1" applyProtection="1">
      <alignment horizontal="left" vertical="center" wrapText="1"/>
      <protection/>
    </xf>
    <xf numFmtId="49" fontId="13" fillId="3" borderId="9" xfId="59" applyNumberFormat="1" applyFont="1" applyFill="1" applyBorder="1" applyAlignment="1" applyProtection="1">
      <alignment horizontal="left" vertical="center" wrapText="1"/>
      <protection/>
    </xf>
    <xf numFmtId="170" fontId="10" fillId="3" borderId="1" xfId="0" applyFont="1" applyFill="1" applyBorder="1" applyAlignment="1">
      <alignment horizontal="right" vertical="center"/>
    </xf>
    <xf numFmtId="2" fontId="13" fillId="3" borderId="17" xfId="0" applyNumberFormat="1" applyFont="1" applyFill="1" applyBorder="1" applyAlignment="1">
      <alignment horizontal="left" vertical="center" wrapText="1"/>
    </xf>
    <xf numFmtId="2" fontId="13" fillId="3" borderId="8" xfId="0" applyNumberFormat="1" applyFont="1" applyFill="1" applyBorder="1" applyAlignment="1">
      <alignment horizontal="left" vertical="center" wrapText="1"/>
    </xf>
    <xf numFmtId="2" fontId="13" fillId="3" borderId="9" xfId="0" applyNumberFormat="1" applyFont="1" applyFill="1" applyBorder="1" applyAlignment="1">
      <alignment horizontal="left" vertical="center" wrapText="1"/>
    </xf>
    <xf numFmtId="2" fontId="13" fillId="3" borderId="17" xfId="0" applyNumberFormat="1" applyFont="1" applyFill="1" applyBorder="1" applyAlignment="1">
      <alignment horizontal="left" vertical="top" wrapText="1"/>
    </xf>
    <xf numFmtId="2" fontId="13" fillId="3" borderId="8" xfId="0" applyNumberFormat="1" applyFont="1" applyFill="1" applyBorder="1" applyAlignment="1">
      <alignment horizontal="left" vertical="top" wrapText="1"/>
    </xf>
    <xf numFmtId="2" fontId="13" fillId="3" borderId="9" xfId="0" applyNumberFormat="1" applyFont="1" applyFill="1" applyBorder="1" applyAlignment="1">
      <alignment horizontal="left" vertical="top" wrapText="1"/>
    </xf>
    <xf numFmtId="2" fontId="13" fillId="3" borderId="15" xfId="0" applyNumberFormat="1" applyFont="1" applyFill="1" applyBorder="1" applyAlignment="1">
      <alignment horizontal="left" vertical="center" wrapText="1"/>
    </xf>
    <xf numFmtId="2" fontId="13" fillId="3" borderId="16" xfId="0" applyNumberFormat="1" applyFont="1" applyFill="1" applyBorder="1" applyAlignment="1">
      <alignment horizontal="left" vertical="center" wrapText="1"/>
    </xf>
    <xf numFmtId="2" fontId="13" fillId="3" borderId="63" xfId="0" applyNumberFormat="1" applyFont="1" applyFill="1" applyBorder="1" applyAlignment="1">
      <alignment horizontal="left" vertical="center" wrapText="1"/>
    </xf>
    <xf numFmtId="170" fontId="13" fillId="3" borderId="1" xfId="0" applyFont="1" applyFill="1" applyBorder="1" applyAlignment="1">
      <alignment horizontal="left" vertical="center" wrapText="1"/>
    </xf>
    <xf numFmtId="170" fontId="4" fillId="4" borderId="145" xfId="31" applyFont="1" applyFill="1" applyBorder="1" applyAlignment="1">
      <alignment horizontal="center" vertical="center"/>
      <protection/>
    </xf>
    <xf numFmtId="170" fontId="4" fillId="4" borderId="90" xfId="31" applyFont="1" applyFill="1" applyBorder="1" applyAlignment="1">
      <alignment horizontal="center" vertical="center"/>
      <protection/>
    </xf>
    <xf numFmtId="10" fontId="4" fillId="3" borderId="17" xfId="31" applyNumberFormat="1" applyFont="1" applyFill="1" applyBorder="1" applyAlignment="1">
      <alignment horizontal="left" vertical="center"/>
      <protection/>
    </xf>
    <xf numFmtId="10" fontId="4" fillId="3" borderId="9" xfId="31" applyNumberFormat="1" applyFont="1" applyFill="1" applyBorder="1" applyAlignment="1">
      <alignment horizontal="left" vertical="center"/>
      <protection/>
    </xf>
    <xf numFmtId="10" fontId="4" fillId="3" borderId="8" xfId="31" applyNumberFormat="1" applyFont="1" applyFill="1" applyBorder="1" applyAlignment="1">
      <alignment horizontal="left" vertical="center"/>
      <protection/>
    </xf>
    <xf numFmtId="177" fontId="4" fillId="0" borderId="17" xfId="31" applyNumberFormat="1" applyFont="1" applyFill="1" applyBorder="1" applyAlignment="1">
      <alignment horizontal="center" vertical="center" wrapText="1"/>
      <protection/>
    </xf>
    <xf numFmtId="177" fontId="4" fillId="0" borderId="8" xfId="31" applyNumberFormat="1" applyFont="1" applyFill="1" applyBorder="1" applyAlignment="1">
      <alignment horizontal="center" vertical="center" wrapText="1"/>
      <protection/>
    </xf>
    <xf numFmtId="177" fontId="4" fillId="0" borderId="9" xfId="31" applyNumberFormat="1" applyFont="1" applyFill="1" applyBorder="1" applyAlignment="1">
      <alignment horizontal="center" vertical="center" wrapText="1"/>
      <protection/>
    </xf>
    <xf numFmtId="170" fontId="4" fillId="6" borderId="0" xfId="31" applyFont="1" applyFill="1" applyBorder="1" applyAlignment="1">
      <alignment horizontal="center" vertical="center"/>
      <protection/>
    </xf>
    <xf numFmtId="177" fontId="4" fillId="3" borderId="0" xfId="31" applyNumberFormat="1" applyFont="1" applyFill="1" applyBorder="1" applyAlignment="1">
      <alignment horizontal="left" vertical="center" wrapText="1"/>
      <protection/>
    </xf>
    <xf numFmtId="174" fontId="4" fillId="6" borderId="0" xfId="0" applyNumberFormat="1" applyFont="1" applyFill="1" applyBorder="1" applyAlignment="1" applyProtection="1">
      <alignment horizontal="center" vertical="center" wrapText="1"/>
      <protection/>
    </xf>
    <xf numFmtId="174" fontId="4" fillId="3" borderId="0" xfId="0" applyNumberFormat="1" applyFont="1" applyFill="1" applyBorder="1" applyAlignment="1" applyProtection="1">
      <alignment horizontal="left" vertical="center" wrapText="1"/>
      <protection/>
    </xf>
    <xf numFmtId="170" fontId="4" fillId="6" borderId="146" xfId="0" applyFont="1" applyFill="1" applyBorder="1" applyAlignment="1">
      <alignment horizontal="left" vertical="center" wrapText="1"/>
    </xf>
    <xf numFmtId="170" fontId="4" fillId="6" borderId="6" xfId="0" applyFont="1" applyFill="1" applyBorder="1" applyAlignment="1">
      <alignment horizontal="left" vertical="center" wrapText="1"/>
    </xf>
    <xf numFmtId="170" fontId="4" fillId="6" borderId="147" xfId="0" applyFont="1" applyFill="1" applyBorder="1" applyAlignment="1">
      <alignment horizontal="left" vertical="center" wrapText="1"/>
    </xf>
    <xf numFmtId="170" fontId="4" fillId="11" borderId="20" xfId="0" applyFont="1" applyFill="1" applyBorder="1" applyAlignment="1">
      <alignment horizontal="right" vertical="center" wrapText="1"/>
    </xf>
    <xf numFmtId="170" fontId="4" fillId="11" borderId="19" xfId="0" applyFont="1" applyFill="1" applyBorder="1" applyAlignment="1">
      <alignment horizontal="right" vertical="center" wrapText="1"/>
    </xf>
    <xf numFmtId="170" fontId="4" fillId="6" borderId="148" xfId="0" applyFont="1" applyFill="1" applyBorder="1" applyAlignment="1">
      <alignment horizontal="left" vertical="center" wrapText="1"/>
    </xf>
    <xf numFmtId="170" fontId="4" fillId="6" borderId="19" xfId="0" applyFont="1" applyFill="1" applyBorder="1" applyAlignment="1">
      <alignment horizontal="left" vertical="center" wrapText="1"/>
    </xf>
    <xf numFmtId="170" fontId="4" fillId="6" borderId="48" xfId="0" applyFont="1" applyFill="1" applyBorder="1" applyAlignment="1">
      <alignment horizontal="left" vertical="center" wrapText="1"/>
    </xf>
    <xf numFmtId="170" fontId="14" fillId="4" borderId="2" xfId="31" applyFont="1" applyFill="1" applyBorder="1" applyAlignment="1">
      <alignment horizontal="center" vertical="center"/>
      <protection/>
    </xf>
    <xf numFmtId="170" fontId="14" fillId="4" borderId="0" xfId="31" applyFont="1" applyFill="1" applyBorder="1" applyAlignment="1">
      <alignment horizontal="center" vertical="center"/>
      <protection/>
    </xf>
    <xf numFmtId="170" fontId="4" fillId="0" borderId="1" xfId="0" applyFont="1" applyFill="1" applyBorder="1" applyAlignment="1">
      <alignment horizontal="right" vertical="center" wrapText="1"/>
    </xf>
    <xf numFmtId="170" fontId="4" fillId="11" borderId="149" xfId="0" applyFont="1" applyFill="1" applyBorder="1" applyAlignment="1">
      <alignment horizontal="right" vertical="center" wrapText="1"/>
    </xf>
    <xf numFmtId="170" fontId="4" fillId="11" borderId="150" xfId="0" applyFont="1" applyFill="1" applyBorder="1" applyAlignment="1">
      <alignment horizontal="right" vertical="center" wrapText="1"/>
    </xf>
    <xf numFmtId="170" fontId="4" fillId="6" borderId="0" xfId="31" applyFont="1" applyFill="1" applyBorder="1" applyAlignment="1">
      <alignment horizontal="left" vertical="center" wrapText="1"/>
      <protection/>
    </xf>
    <xf numFmtId="0" fontId="4" fillId="3" borderId="0" xfId="31" applyNumberFormat="1" applyFont="1" applyFill="1" applyBorder="1" applyAlignment="1">
      <alignment horizontal="center" vertical="center" wrapText="1"/>
      <protection/>
    </xf>
    <xf numFmtId="170" fontId="4" fillId="3" borderId="16" xfId="0" applyFont="1" applyFill="1" applyBorder="1" applyAlignment="1">
      <alignment horizontal="left" vertical="center" wrapText="1"/>
    </xf>
    <xf numFmtId="11" fontId="4" fillId="6" borderId="20" xfId="0" applyNumberFormat="1" applyFont="1" applyFill="1" applyBorder="1" applyAlignment="1">
      <alignment horizontal="left" vertical="center" wrapText="1"/>
    </xf>
    <xf numFmtId="11" fontId="4" fillId="6" borderId="19" xfId="0" applyNumberFormat="1" applyFont="1" applyFill="1" applyBorder="1" applyAlignment="1">
      <alignment horizontal="left" vertical="center" wrapText="1"/>
    </xf>
    <xf numFmtId="11" fontId="4" fillId="6" borderId="22" xfId="0" applyNumberFormat="1" applyFont="1" applyFill="1" applyBorder="1" applyAlignment="1">
      <alignment horizontal="left" vertical="center" wrapText="1"/>
    </xf>
    <xf numFmtId="170" fontId="4" fillId="12" borderId="20" xfId="0" applyFont="1" applyFill="1" applyBorder="1" applyAlignment="1">
      <alignment horizontal="center" vertical="center" wrapText="1"/>
    </xf>
    <xf numFmtId="170" fontId="4" fillId="12" borderId="19" xfId="0" applyFont="1" applyFill="1" applyBorder="1" applyAlignment="1">
      <alignment horizontal="center" vertical="center" wrapText="1"/>
    </xf>
    <xf numFmtId="170" fontId="4" fillId="12" borderId="48" xfId="0" applyFont="1" applyFill="1" applyBorder="1" applyAlignment="1">
      <alignment horizontal="center" vertical="center" wrapText="1"/>
    </xf>
    <xf numFmtId="172" fontId="10" fillId="0" borderId="2" xfId="24" applyNumberFormat="1" applyFont="1" applyFill="1" applyBorder="1" applyAlignment="1">
      <alignment horizontal="center" vertical="center" wrapText="1"/>
      <protection/>
    </xf>
    <xf numFmtId="170" fontId="4" fillId="6" borderId="17" xfId="31" applyFont="1" applyFill="1" applyBorder="1" applyAlignment="1">
      <alignment horizontal="center" vertical="center" wrapText="1"/>
      <protection/>
    </xf>
    <xf numFmtId="170" fontId="4" fillId="6" borderId="8" xfId="31" applyFont="1" applyFill="1" applyBorder="1" applyAlignment="1">
      <alignment horizontal="center" vertical="center" wrapText="1"/>
      <protection/>
    </xf>
    <xf numFmtId="170" fontId="4" fillId="6" borderId="9" xfId="31" applyFont="1" applyFill="1" applyBorder="1" applyAlignment="1">
      <alignment horizontal="center" vertical="center" wrapText="1"/>
      <protection/>
    </xf>
    <xf numFmtId="174" fontId="4" fillId="6" borderId="1" xfId="0" applyNumberFormat="1" applyFont="1" applyFill="1" applyBorder="1" applyAlignment="1" applyProtection="1">
      <alignment horizontal="left" vertical="center" wrapText="1"/>
      <protection/>
    </xf>
    <xf numFmtId="170" fontId="17" fillId="4" borderId="1" xfId="31" applyFont="1" applyFill="1" applyBorder="1" applyAlignment="1">
      <alignment horizontal="center" vertical="center" wrapText="1"/>
      <protection/>
    </xf>
    <xf numFmtId="0" fontId="4" fillId="5" borderId="1" xfId="31" applyNumberFormat="1" applyFont="1" applyFill="1" applyBorder="1" applyAlignment="1">
      <alignment vertical="center"/>
      <protection/>
    </xf>
    <xf numFmtId="0" fontId="4" fillId="3" borderId="1" xfId="31" applyNumberFormat="1" applyFont="1" applyFill="1" applyBorder="1" applyAlignment="1">
      <alignment vertical="center"/>
      <protection/>
    </xf>
    <xf numFmtId="170" fontId="4" fillId="0" borderId="1" xfId="0" applyFont="1" applyBorder="1" applyAlignment="1">
      <alignment vertical="center" wrapText="1"/>
    </xf>
    <xf numFmtId="170" fontId="4" fillId="3" borderId="1" xfId="31" applyFont="1" applyFill="1" applyBorder="1" applyAlignment="1">
      <alignment vertical="center"/>
      <protection/>
    </xf>
    <xf numFmtId="40" fontId="13" fillId="2" borderId="0" xfId="0" applyNumberFormat="1" applyFont="1" applyFill="1" applyBorder="1" applyAlignment="1">
      <alignment horizontal="center"/>
    </xf>
    <xf numFmtId="40" fontId="4" fillId="2" borderId="0" xfId="0" applyNumberFormat="1" applyFont="1" applyFill="1" applyBorder="1" applyAlignment="1">
      <alignment horizontal="left" vertical="center" wrapText="1"/>
    </xf>
    <xf numFmtId="174" fontId="4" fillId="3" borderId="1" xfId="0" applyNumberFormat="1" applyFont="1" applyFill="1" applyBorder="1" applyAlignment="1" applyProtection="1">
      <alignment vertical="center" wrapText="1"/>
      <protection/>
    </xf>
    <xf numFmtId="177" fontId="4" fillId="3" borderId="1" xfId="31" applyNumberFormat="1" applyFont="1" applyFill="1" applyBorder="1" applyAlignment="1">
      <alignment vertical="center" wrapText="1"/>
      <protection/>
    </xf>
    <xf numFmtId="0" fontId="4" fillId="3" borderId="1" xfId="31" applyNumberFormat="1" applyFont="1" applyFill="1" applyBorder="1" applyAlignment="1">
      <alignment vertical="center" wrapText="1"/>
      <protection/>
    </xf>
    <xf numFmtId="170" fontId="4" fillId="6" borderId="1" xfId="31" applyFont="1" applyFill="1" applyBorder="1" applyAlignment="1">
      <alignment vertical="center" wrapText="1"/>
      <protection/>
    </xf>
    <xf numFmtId="174" fontId="4" fillId="6" borderId="1" xfId="0" applyNumberFormat="1" applyFont="1" applyFill="1" applyBorder="1" applyAlignment="1" applyProtection="1">
      <alignment vertical="center" wrapText="1"/>
      <protection/>
    </xf>
    <xf numFmtId="170" fontId="13" fillId="0" borderId="151" xfId="0" applyFont="1" applyBorder="1" applyAlignment="1">
      <alignment horizontal="center"/>
    </xf>
    <xf numFmtId="40" fontId="4" fillId="2" borderId="0" xfId="0" applyNumberFormat="1" applyFont="1" applyFill="1" applyBorder="1" applyAlignment="1">
      <alignment horizontal="left" wrapText="1"/>
    </xf>
    <xf numFmtId="170" fontId="2" fillId="0" borderId="0" xfId="0" applyFont="1" applyAlignment="1">
      <alignment horizontal="left" wrapText="1"/>
    </xf>
    <xf numFmtId="40" fontId="4" fillId="2" borderId="0" xfId="0" applyNumberFormat="1" applyFont="1" applyFill="1" applyBorder="1" applyAlignment="1">
      <alignment horizontal="center"/>
    </xf>
    <xf numFmtId="170" fontId="13" fillId="0" borderId="0" xfId="0" applyFont="1" applyBorder="1" applyAlignment="1">
      <alignment horizontal="center"/>
    </xf>
    <xf numFmtId="170" fontId="4" fillId="7" borderId="1" xfId="31" applyFont="1" applyFill="1" applyBorder="1" applyAlignment="1">
      <alignment vertical="center"/>
      <protection/>
    </xf>
    <xf numFmtId="170" fontId="4" fillId="6" borderId="1" xfId="31" applyFont="1" applyFill="1" applyBorder="1" applyAlignment="1">
      <alignment vertical="center"/>
      <protection/>
    </xf>
    <xf numFmtId="170" fontId="4" fillId="0" borderId="0" xfId="0" applyFont="1" applyAlignment="1">
      <alignment horizontal="left" vertical="top" wrapText="1"/>
    </xf>
    <xf numFmtId="0" fontId="13" fillId="0" borderId="0" xfId="0" applyNumberFormat="1" applyFont="1" applyBorder="1" applyAlignment="1">
      <alignment horizontal="left" wrapText="1"/>
    </xf>
    <xf numFmtId="170" fontId="4" fillId="0" borderId="0" xfId="0" applyFont="1" applyAlignment="1">
      <alignment horizontal="left" wrapText="1"/>
    </xf>
    <xf numFmtId="2" fontId="13" fillId="0" borderId="0" xfId="0" applyNumberFormat="1" applyFont="1" applyBorder="1" applyAlignment="1">
      <alignment horizontal="center"/>
    </xf>
    <xf numFmtId="40" fontId="13" fillId="3" borderId="0" xfId="58" applyNumberFormat="1" applyFont="1" applyFill="1" applyAlignment="1">
      <alignment horizontal="left" wrapText="1"/>
      <protection/>
    </xf>
    <xf numFmtId="40" fontId="13" fillId="3" borderId="0" xfId="58" applyNumberFormat="1" applyFont="1" applyFill="1" applyAlignment="1">
      <alignment horizontal="center" wrapText="1"/>
      <protection/>
    </xf>
    <xf numFmtId="170" fontId="4" fillId="0" borderId="0" xfId="0" applyFont="1" applyAlignment="1">
      <alignment horizontal="left" vertical="center" wrapText="1"/>
    </xf>
    <xf numFmtId="40" fontId="13" fillId="3" borderId="0" xfId="58" applyNumberFormat="1" applyFont="1" applyFill="1" applyAlignment="1">
      <alignment horizontal="center"/>
      <protection/>
    </xf>
    <xf numFmtId="170" fontId="14" fillId="4" borderId="1" xfId="31" applyFont="1" applyFill="1" applyBorder="1" applyAlignment="1">
      <alignment horizontal="center" vertical="center" wrapText="1"/>
      <protection/>
    </xf>
    <xf numFmtId="170" fontId="4" fillId="0" borderId="1" xfId="0" applyFont="1" applyBorder="1" applyAlignment="1">
      <alignment horizontal="left" vertical="center"/>
    </xf>
    <xf numFmtId="2" fontId="13" fillId="3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170" fontId="13" fillId="0" borderId="0" xfId="0" applyFont="1" applyAlignment="1">
      <alignment horizontal="center" wrapText="1"/>
    </xf>
    <xf numFmtId="0" fontId="14" fillId="3" borderId="0" xfId="44" applyNumberFormat="1" applyFont="1" applyFill="1" applyBorder="1" applyAlignment="1">
      <alignment horizontal="left" vertical="center" wrapText="1"/>
      <protection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left" wrapText="1"/>
    </xf>
    <xf numFmtId="170" fontId="4" fillId="3" borderId="0" xfId="0" applyFont="1" applyFill="1" applyAlignment="1">
      <alignment horizontal="left" wrapText="1"/>
    </xf>
    <xf numFmtId="170" fontId="4" fillId="0" borderId="0" xfId="0" applyFont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81" xfId="0" applyNumberFormat="1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40" fontId="4" fillId="3" borderId="0" xfId="55" applyNumberFormat="1" applyFont="1" applyFill="1" applyBorder="1" applyAlignment="1">
      <alignment horizontal="center" vertical="center" wrapText="1"/>
      <protection/>
    </xf>
    <xf numFmtId="2" fontId="0" fillId="0" borderId="47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2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52" xfId="0" applyNumberFormat="1" applyBorder="1" applyAlignment="1">
      <alignment horizontal="center"/>
    </xf>
    <xf numFmtId="2" fontId="0" fillId="0" borderId="153" xfId="0" applyNumberFormat="1" applyBorder="1" applyAlignment="1">
      <alignment horizontal="center"/>
    </xf>
    <xf numFmtId="2" fontId="0" fillId="0" borderId="154" xfId="0" applyNumberFormat="1" applyBorder="1" applyAlignment="1">
      <alignment horizontal="center"/>
    </xf>
    <xf numFmtId="2" fontId="0" fillId="0" borderId="149" xfId="0" applyNumberFormat="1" applyBorder="1" applyAlignment="1">
      <alignment horizontal="center"/>
    </xf>
    <xf numFmtId="2" fontId="0" fillId="0" borderId="150" xfId="0" applyNumberFormat="1" applyBorder="1" applyAlignment="1">
      <alignment horizontal="center"/>
    </xf>
    <xf numFmtId="2" fontId="0" fillId="0" borderId="155" xfId="0" applyNumberFormat="1" applyBorder="1" applyAlignment="1">
      <alignment horizontal="center"/>
    </xf>
    <xf numFmtId="2" fontId="0" fillId="0" borderId="7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74" xfId="0" applyNumberFormat="1" applyBorder="1" applyAlignment="1">
      <alignment horizontal="center"/>
    </xf>
    <xf numFmtId="40" fontId="4" fillId="3" borderId="0" xfId="55" applyNumberFormat="1" applyFont="1" applyFill="1" applyBorder="1" applyAlignment="1">
      <alignment horizontal="left" vertical="center" wrapText="1"/>
      <protection/>
    </xf>
    <xf numFmtId="2" fontId="13" fillId="3" borderId="0" xfId="55" applyNumberFormat="1" applyFont="1" applyFill="1" applyAlignment="1">
      <alignment horizontal="center" vertical="center"/>
      <protection/>
    </xf>
    <xf numFmtId="170" fontId="13" fillId="0" borderId="15" xfId="0" applyFont="1" applyBorder="1" applyAlignment="1">
      <alignment horizontal="center" vertical="top" wrapText="1"/>
    </xf>
    <xf numFmtId="170" fontId="13" fillId="0" borderId="16" xfId="0" applyFont="1" applyBorder="1" applyAlignment="1">
      <alignment horizontal="center" vertical="top" wrapText="1"/>
    </xf>
    <xf numFmtId="170" fontId="13" fillId="0" borderId="63" xfId="0" applyFont="1" applyBorder="1" applyAlignment="1">
      <alignment horizontal="center" vertical="top" wrapText="1"/>
    </xf>
    <xf numFmtId="170" fontId="13" fillId="0" borderId="64" xfId="0" applyFont="1" applyBorder="1" applyAlignment="1">
      <alignment horizontal="center" vertical="top" wrapText="1"/>
    </xf>
    <xf numFmtId="170" fontId="13" fillId="0" borderId="0" xfId="0" applyFont="1" applyBorder="1" applyAlignment="1">
      <alignment horizontal="center" vertical="top" wrapText="1"/>
    </xf>
    <xf numFmtId="170" fontId="13" fillId="0" borderId="65" xfId="0" applyFont="1" applyBorder="1" applyAlignment="1">
      <alignment horizontal="center" vertical="top" wrapText="1"/>
    </xf>
    <xf numFmtId="170" fontId="13" fillId="0" borderId="55" xfId="0" applyFont="1" applyBorder="1" applyAlignment="1">
      <alignment horizontal="center" vertical="top" wrapText="1"/>
    </xf>
    <xf numFmtId="170" fontId="13" fillId="0" borderId="58" xfId="0" applyFont="1" applyBorder="1" applyAlignment="1">
      <alignment horizontal="center" vertical="top" wrapText="1"/>
    </xf>
    <xf numFmtId="170" fontId="13" fillId="0" borderId="59" xfId="0" applyFont="1" applyBorder="1" applyAlignment="1">
      <alignment horizontal="center" vertical="top" wrapText="1"/>
    </xf>
    <xf numFmtId="2" fontId="13" fillId="3" borderId="15" xfId="42" applyNumberFormat="1" applyFont="1" applyFill="1" applyBorder="1" applyAlignment="1">
      <alignment horizontal="left" vertical="center" wrapText="1"/>
      <protection/>
    </xf>
    <xf numFmtId="2" fontId="13" fillId="3" borderId="16" xfId="42" applyNumberFormat="1" applyFont="1" applyFill="1" applyBorder="1" applyAlignment="1">
      <alignment horizontal="left" vertical="center" wrapText="1"/>
      <protection/>
    </xf>
    <xf numFmtId="2" fontId="13" fillId="3" borderId="63" xfId="42" applyNumberFormat="1" applyFont="1" applyFill="1" applyBorder="1" applyAlignment="1">
      <alignment horizontal="left" vertical="center" wrapText="1"/>
      <protection/>
    </xf>
    <xf numFmtId="2" fontId="13" fillId="3" borderId="55" xfId="42" applyNumberFormat="1" applyFont="1" applyFill="1" applyBorder="1" applyAlignment="1">
      <alignment horizontal="left" vertical="center" wrapText="1"/>
      <protection/>
    </xf>
    <xf numFmtId="2" fontId="13" fillId="3" borderId="58" xfId="42" applyNumberFormat="1" applyFont="1" applyFill="1" applyBorder="1" applyAlignment="1">
      <alignment horizontal="left" vertical="center" wrapText="1"/>
      <protection/>
    </xf>
    <xf numFmtId="2" fontId="13" fillId="3" borderId="59" xfId="42" applyNumberFormat="1" applyFont="1" applyFill="1" applyBorder="1" applyAlignment="1">
      <alignment horizontal="left" vertical="center" wrapText="1"/>
      <protection/>
    </xf>
    <xf numFmtId="2" fontId="0" fillId="0" borderId="149" xfId="0" applyNumberFormat="1" applyBorder="1" applyAlignment="1">
      <alignment horizontal="center" vertical="center"/>
    </xf>
    <xf numFmtId="2" fontId="0" fillId="0" borderId="150" xfId="0" applyNumberFormat="1" applyBorder="1" applyAlignment="1">
      <alignment horizontal="center" vertical="center"/>
    </xf>
    <xf numFmtId="2" fontId="0" fillId="0" borderId="155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45" xfId="0" applyNumberFormat="1" applyBorder="1" applyAlignment="1">
      <alignment horizontal="center" vertical="center"/>
    </xf>
    <xf numFmtId="2" fontId="0" fillId="0" borderId="90" xfId="0" applyNumberFormat="1" applyBorder="1" applyAlignment="1">
      <alignment horizontal="center" vertical="center"/>
    </xf>
    <xf numFmtId="2" fontId="0" fillId="0" borderId="156" xfId="0" applyNumberForma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170" fontId="14" fillId="4" borderId="20" xfId="31" applyFont="1" applyFill="1" applyBorder="1" applyAlignment="1">
      <alignment horizontal="center" vertical="center" wrapText="1"/>
      <protection/>
    </xf>
    <xf numFmtId="170" fontId="14" fillId="4" borderId="19" xfId="31" applyFont="1" applyFill="1" applyBorder="1" applyAlignment="1">
      <alignment horizontal="center" vertical="center" wrapText="1"/>
      <protection/>
    </xf>
    <xf numFmtId="170" fontId="14" fillId="4" borderId="22" xfId="31" applyFont="1" applyFill="1" applyBorder="1" applyAlignment="1">
      <alignment horizontal="center" vertical="center" wrapText="1"/>
      <protection/>
    </xf>
    <xf numFmtId="0" fontId="4" fillId="5" borderId="55" xfId="31" applyNumberFormat="1" applyFont="1" applyFill="1" applyBorder="1" applyAlignment="1">
      <alignment horizontal="left" vertical="center"/>
      <protection/>
    </xf>
    <xf numFmtId="0" fontId="4" fillId="5" borderId="58" xfId="31" applyNumberFormat="1" applyFont="1" applyFill="1" applyBorder="1" applyAlignment="1">
      <alignment horizontal="left" vertical="center"/>
      <protection/>
    </xf>
    <xf numFmtId="0" fontId="4" fillId="5" borderId="59" xfId="31" applyNumberFormat="1" applyFont="1" applyFill="1" applyBorder="1" applyAlignment="1">
      <alignment horizontal="left" vertical="center"/>
      <protection/>
    </xf>
    <xf numFmtId="170" fontId="4" fillId="3" borderId="17" xfId="31" applyFont="1" applyFill="1" applyBorder="1" applyAlignment="1">
      <alignment horizontal="left" vertical="center"/>
      <protection/>
    </xf>
    <xf numFmtId="170" fontId="4" fillId="3" borderId="8" xfId="31" applyFont="1" applyFill="1" applyBorder="1" applyAlignment="1">
      <alignment horizontal="left" vertical="center"/>
      <protection/>
    </xf>
    <xf numFmtId="170" fontId="4" fillId="3" borderId="9" xfId="31" applyFont="1" applyFill="1" applyBorder="1" applyAlignment="1">
      <alignment horizontal="left" vertical="center"/>
      <protection/>
    </xf>
    <xf numFmtId="170" fontId="4" fillId="0" borderId="17" xfId="0" applyFont="1" applyBorder="1" applyAlignment="1">
      <alignment horizontal="left" vertical="center" wrapText="1"/>
    </xf>
    <xf numFmtId="170" fontId="4" fillId="0" borderId="8" xfId="0" applyFont="1" applyBorder="1" applyAlignment="1">
      <alignment horizontal="left" vertical="center" wrapText="1"/>
    </xf>
    <xf numFmtId="170" fontId="4" fillId="0" borderId="9" xfId="0" applyFont="1" applyBorder="1" applyAlignment="1">
      <alignment horizontal="left" vertical="center" wrapText="1"/>
    </xf>
    <xf numFmtId="177" fontId="4" fillId="3" borderId="17" xfId="31" applyNumberFormat="1" applyFont="1" applyFill="1" applyBorder="1" applyAlignment="1">
      <alignment horizontal="left" vertical="center" wrapText="1"/>
      <protection/>
    </xf>
    <xf numFmtId="177" fontId="4" fillId="3" borderId="8" xfId="31" applyNumberFormat="1" applyFont="1" applyFill="1" applyBorder="1" applyAlignment="1">
      <alignment horizontal="left" vertical="center" wrapText="1"/>
      <protection/>
    </xf>
    <xf numFmtId="177" fontId="4" fillId="3" borderId="9" xfId="31" applyNumberFormat="1" applyFont="1" applyFill="1" applyBorder="1" applyAlignment="1">
      <alignment horizontal="left" vertical="center" wrapText="1"/>
      <protection/>
    </xf>
    <xf numFmtId="170" fontId="4" fillId="7" borderId="11" xfId="31" applyFont="1" applyFill="1" applyBorder="1" applyAlignment="1">
      <alignment vertical="center"/>
      <protection/>
    </xf>
    <xf numFmtId="0" fontId="4" fillId="3" borderId="7" xfId="31" applyNumberFormat="1" applyFont="1" applyFill="1" applyBorder="1" applyAlignment="1">
      <alignment vertical="center"/>
      <protection/>
    </xf>
    <xf numFmtId="170" fontId="14" fillId="0" borderId="0" xfId="0" applyFont="1" applyFill="1" applyAlignment="1">
      <alignment horizontal="center" vertical="center" wrapText="1"/>
    </xf>
    <xf numFmtId="170" fontId="4" fillId="6" borderId="7" xfId="31" applyFont="1" applyFill="1" applyBorder="1" applyAlignment="1">
      <alignment vertical="center" wrapText="1"/>
      <protection/>
    </xf>
    <xf numFmtId="0" fontId="4" fillId="3" borderId="7" xfId="31" applyNumberFormat="1" applyFont="1" applyFill="1" applyBorder="1" applyAlignment="1">
      <alignment vertical="center" wrapText="1"/>
      <protection/>
    </xf>
    <xf numFmtId="174" fontId="4" fillId="6" borderId="7" xfId="0" applyNumberFormat="1" applyFont="1" applyFill="1" applyBorder="1" applyAlignment="1" applyProtection="1">
      <alignment vertical="center" wrapText="1"/>
      <protection/>
    </xf>
    <xf numFmtId="174" fontId="4" fillId="3" borderId="15" xfId="0" applyNumberFormat="1" applyFont="1" applyFill="1" applyBorder="1" applyAlignment="1" applyProtection="1">
      <alignment horizontal="left" vertical="center" wrapText="1"/>
      <protection/>
    </xf>
    <xf numFmtId="174" fontId="4" fillId="3" borderId="16" xfId="0" applyNumberFormat="1" applyFont="1" applyFill="1" applyBorder="1" applyAlignment="1" applyProtection="1">
      <alignment horizontal="left" vertical="center" wrapText="1"/>
      <protection/>
    </xf>
    <xf numFmtId="174" fontId="4" fillId="3" borderId="64" xfId="0" applyNumberFormat="1" applyFont="1" applyFill="1" applyBorder="1" applyAlignment="1" applyProtection="1">
      <alignment horizontal="left" vertical="center" wrapText="1"/>
      <protection/>
    </xf>
    <xf numFmtId="40" fontId="2" fillId="3" borderId="0" xfId="58" applyNumberFormat="1" applyFont="1" applyFill="1" applyAlignment="1">
      <alignment horizontal="left"/>
      <protection/>
    </xf>
    <xf numFmtId="40" fontId="4" fillId="3" borderId="0" xfId="55" applyNumberFormat="1" applyFont="1" applyFill="1" applyAlignment="1">
      <alignment horizontal="center" vertical="center" wrapText="1"/>
      <protection/>
    </xf>
    <xf numFmtId="40" fontId="0" fillId="5" borderId="0" xfId="0" applyNumberFormat="1" applyFont="1" applyFill="1" applyAlignment="1">
      <alignment horizontal="left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5" xfId="22"/>
    <cellStyle name="Moeda 2" xfId="23"/>
    <cellStyle name="Normal 2" xfId="24"/>
    <cellStyle name="Normal 3" xfId="25"/>
    <cellStyle name="Normal 4" xfId="26"/>
    <cellStyle name="Porcentagem 2" xfId="27"/>
    <cellStyle name="Porcentagem 3" xfId="28"/>
    <cellStyle name="Separador de milhares 3" xfId="29"/>
    <cellStyle name="Vírgula 2" xfId="30"/>
    <cellStyle name="Normal 17" xfId="31"/>
    <cellStyle name="Normal 2 22" xfId="32"/>
    <cellStyle name="Moeda" xfId="33"/>
    <cellStyle name="Normal 9" xfId="34"/>
    <cellStyle name="Moeda 3" xfId="35"/>
    <cellStyle name="Normal 17 2" xfId="36"/>
    <cellStyle name="Normal 2 3" xfId="37"/>
    <cellStyle name="Normal 2 2" xfId="38"/>
    <cellStyle name="Normal 2_Projeto Padrão - Outubro 2011" xfId="39"/>
    <cellStyle name="Normal 3 2" xfId="40"/>
    <cellStyle name="Normal 4 2" xfId="41"/>
    <cellStyle name="Normal 5 2" xfId="42"/>
    <cellStyle name="Normal 6" xfId="43"/>
    <cellStyle name="Normal 7" xfId="44"/>
    <cellStyle name="Normal 8" xfId="45"/>
    <cellStyle name="Porcentagem 3 2" xfId="46"/>
    <cellStyle name="Porcentagem 4" xfId="47"/>
    <cellStyle name="Porcentagem 5" xfId="48"/>
    <cellStyle name="Separador de milhares 2" xfId="49"/>
    <cellStyle name="Vírgula 5" xfId="50"/>
    <cellStyle name="Vírgula 2 2" xfId="51"/>
    <cellStyle name="Vírgula 3" xfId="52"/>
    <cellStyle name="Vírgula 4" xfId="53"/>
    <cellStyle name="Normal_Pesquisa no referencial 10 de maio de 2013" xfId="54"/>
    <cellStyle name="Normal 17 3" xfId="55"/>
    <cellStyle name="Normal 12" xfId="56"/>
    <cellStyle name="Normal 13" xfId="57"/>
    <cellStyle name="Normal 5 3" xfId="58"/>
    <cellStyle name="Normal 2 2 2" xfId="59"/>
    <cellStyle name="Normal 10" xfId="60"/>
    <cellStyle name="Moeda 4" xfId="61"/>
    <cellStyle name="Normal 2 4" xfId="62"/>
    <cellStyle name="Normal 11" xfId="63"/>
    <cellStyle name="Normal 2 2 3" xfId="64"/>
    <cellStyle name="Normal 10 4" xfId="65"/>
  </cellStyles>
  <dxfs count="69"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indexed="9"/>
        <condense val="0"/>
        <extend val="0"/>
      </font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indexed="9"/>
        <condense val="0"/>
        <extend val="0"/>
      </font>
      <border/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26</xdr:row>
      <xdr:rowOff>47625</xdr:rowOff>
    </xdr:from>
    <xdr:to>
      <xdr:col>6</xdr:col>
      <xdr:colOff>47625</xdr:colOff>
      <xdr:row>27</xdr:row>
      <xdr:rowOff>19050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2075" y="6410325"/>
          <a:ext cx="38481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476250</xdr:colOff>
      <xdr:row>35</xdr:row>
      <xdr:rowOff>0</xdr:rowOff>
    </xdr:from>
    <xdr:to>
      <xdr:col>17</xdr:col>
      <xdr:colOff>171450</xdr:colOff>
      <xdr:row>63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895"/>
        <a:stretch>
          <a:fillRect/>
        </a:stretch>
      </xdr:blipFill>
      <xdr:spPr bwMode="auto">
        <a:xfrm>
          <a:off x="8077200" y="8839200"/>
          <a:ext cx="3962400" cy="520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409575</xdr:colOff>
      <xdr:row>41</xdr:row>
      <xdr:rowOff>28575</xdr:rowOff>
    </xdr:from>
    <xdr:to>
      <xdr:col>24</xdr:col>
      <xdr:colOff>590550</xdr:colOff>
      <xdr:row>61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9" t="60137" r="-579" b="-1095"/>
        <a:stretch>
          <a:fillRect/>
        </a:stretch>
      </xdr:blipFill>
      <xdr:spPr bwMode="auto">
        <a:xfrm>
          <a:off x="12277725" y="9944100"/>
          <a:ext cx="4448175" cy="371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5</xdr:row>
      <xdr:rowOff>295275</xdr:rowOff>
    </xdr:from>
    <xdr:to>
      <xdr:col>19</xdr:col>
      <xdr:colOff>561975</xdr:colOff>
      <xdr:row>33</xdr:row>
      <xdr:rowOff>123825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2305050"/>
          <a:ext cx="6029325" cy="6296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447675</xdr:colOff>
      <xdr:row>72</xdr:row>
      <xdr:rowOff>85725</xdr:rowOff>
    </xdr:from>
    <xdr:to>
      <xdr:col>1</xdr:col>
      <xdr:colOff>666750</xdr:colOff>
      <xdr:row>75</xdr:row>
      <xdr:rowOff>104775</xdr:rowOff>
    </xdr:to>
    <xdr:sp macro="" textlink="">
      <xdr:nvSpPr>
        <xdr:cNvPr id="8" name="Caixa de Texto 2"/>
        <xdr:cNvSpPr txBox="1">
          <a:spLocks noChangeArrowheads="1"/>
        </xdr:cNvSpPr>
      </xdr:nvSpPr>
      <xdr:spPr bwMode="auto">
        <a:xfrm>
          <a:off x="447675" y="15497175"/>
          <a:ext cx="82867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BDI = </a:t>
          </a:r>
          <a:r>
            <a:rPr lang="pt-BR" sz="10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(1+AC+S+R+G)(1+DF)(1+L</a:t>
          </a:r>
          <a:r>
            <a:rPr lang="pt-B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 - 1</a:t>
          </a:r>
        </a:p>
        <a:p>
          <a:pPr algn="l" rtl="0">
            <a:lnSpc>
              <a:spcPts val="12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(1-I)</a:t>
          </a: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790575</xdr:colOff>
      <xdr:row>52</xdr:row>
      <xdr:rowOff>9525</xdr:rowOff>
    </xdr:from>
    <xdr:to>
      <xdr:col>5</xdr:col>
      <xdr:colOff>190500</xdr:colOff>
      <xdr:row>54</xdr:row>
      <xdr:rowOff>85725</xdr:rowOff>
    </xdr:to>
    <xdr:pic>
      <xdr:nvPicPr>
        <xdr:cNvPr id="9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66925" y="11991975"/>
          <a:ext cx="2676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3</xdr:col>
      <xdr:colOff>142875</xdr:colOff>
      <xdr:row>0</xdr:row>
      <xdr:rowOff>1047750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676525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1752600</xdr:colOff>
      <xdr:row>0</xdr:row>
      <xdr:rowOff>971550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670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171450</xdr:rowOff>
    </xdr:from>
    <xdr:to>
      <xdr:col>1</xdr:col>
      <xdr:colOff>1114425</xdr:colOff>
      <xdr:row>0</xdr:row>
      <xdr:rowOff>933450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2085975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533400</xdr:rowOff>
    </xdr:from>
    <xdr:to>
      <xdr:col>2</xdr:col>
      <xdr:colOff>314325</xdr:colOff>
      <xdr:row>0</xdr:row>
      <xdr:rowOff>1514475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33400"/>
          <a:ext cx="2667000" cy="981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2</xdr:col>
      <xdr:colOff>447675</xdr:colOff>
      <xdr:row>0</xdr:row>
      <xdr:rowOff>1000125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6670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276225</xdr:colOff>
      <xdr:row>0</xdr:row>
      <xdr:rowOff>1038225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6670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790575</xdr:colOff>
      <xdr:row>0</xdr:row>
      <xdr:rowOff>1019175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6670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67</xdr:row>
      <xdr:rowOff>123825</xdr:rowOff>
    </xdr:from>
    <xdr:to>
      <xdr:col>2</xdr:col>
      <xdr:colOff>209550</xdr:colOff>
      <xdr:row>69</xdr:row>
      <xdr:rowOff>57150</xdr:rowOff>
    </xdr:to>
    <xdr:pic>
      <xdr:nvPicPr>
        <xdr:cNvPr id="3" name="Imagem 2" descr="http://escolakids.uol.com.br/public/upload/image/Untitled-3_(23)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6875" y="13182600"/>
          <a:ext cx="790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600075</xdr:colOff>
      <xdr:row>67</xdr:row>
      <xdr:rowOff>66675</xdr:rowOff>
    </xdr:from>
    <xdr:to>
      <xdr:col>3</xdr:col>
      <xdr:colOff>38100</xdr:colOff>
      <xdr:row>69</xdr:row>
      <xdr:rowOff>133350</xdr:rowOff>
    </xdr:to>
    <xdr:pic>
      <xdr:nvPicPr>
        <xdr:cNvPr id="4" name="Imagem 3" descr="Resultado de imagem para area do trapezio retangul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47975" y="13125450"/>
          <a:ext cx="685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81</xdr:row>
      <xdr:rowOff>123825</xdr:rowOff>
    </xdr:from>
    <xdr:to>
      <xdr:col>2</xdr:col>
      <xdr:colOff>209550</xdr:colOff>
      <xdr:row>83</xdr:row>
      <xdr:rowOff>57150</xdr:rowOff>
    </xdr:to>
    <xdr:pic>
      <xdr:nvPicPr>
        <xdr:cNvPr id="5" name="Imagem 4" descr="http://escolakids.uol.com.br/public/upload/image/Untitled-3_(23)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6875" y="15763875"/>
          <a:ext cx="790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600075</xdr:colOff>
      <xdr:row>81</xdr:row>
      <xdr:rowOff>66675</xdr:rowOff>
    </xdr:from>
    <xdr:to>
      <xdr:col>3</xdr:col>
      <xdr:colOff>38100</xdr:colOff>
      <xdr:row>83</xdr:row>
      <xdr:rowOff>133350</xdr:rowOff>
    </xdr:to>
    <xdr:pic>
      <xdr:nvPicPr>
        <xdr:cNvPr id="6" name="Imagem 5" descr="Resultado de imagem para area do trapezio retangul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47975" y="15706725"/>
          <a:ext cx="685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2</xdr:col>
      <xdr:colOff>419100</xdr:colOff>
      <xdr:row>0</xdr:row>
      <xdr:rowOff>1019175</xdr:rowOff>
    </xdr:to>
    <xdr:pic>
      <xdr:nvPicPr>
        <xdr:cNvPr id="8" name="Image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26670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3</xdr:col>
      <xdr:colOff>476250</xdr:colOff>
      <xdr:row>0</xdr:row>
      <xdr:rowOff>1095375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2667000" cy="9715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VENIOS\PM_OUR&#201;M\2018\8_CONSTRU&#199;&#195;O%20DO%20TERMINAL%20RODOVI&#193;RIO%201%20ETAPA\REV%2002\levantamento%20de%20eletric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Eletrico"/>
      <sheetName val="Plan1"/>
    </sheetNames>
    <sheetDataSet>
      <sheetData sheetId="0"/>
      <sheetData sheetId="1">
        <row r="130">
          <cell r="I130">
            <v>0</v>
          </cell>
        </row>
        <row r="151">
          <cell r="I151">
            <v>2</v>
          </cell>
        </row>
        <row r="176">
          <cell r="I176">
            <v>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view="pageBreakPreview" zoomScale="98" zoomScaleSheetLayoutView="98" zoomScalePageLayoutView="40" workbookViewId="0" topLeftCell="A4">
      <selection activeCell="H15" sqref="H15"/>
    </sheetView>
  </sheetViews>
  <sheetFormatPr defaultColWidth="9.140625" defaultRowHeight="12.75"/>
  <cols>
    <col min="2" max="2" width="10.00390625" style="0" customWidth="1"/>
    <col min="3" max="3" width="29.7109375" style="0" bestFit="1" customWidth="1"/>
    <col min="4" max="4" width="10.28125" style="0" customWidth="1"/>
  </cols>
  <sheetData>
    <row r="1" spans="1:10" s="5" customFormat="1" ht="66" customHeight="1">
      <c r="A1" s="929"/>
      <c r="B1" s="930"/>
      <c r="C1" s="930" t="s">
        <v>173</v>
      </c>
      <c r="D1" s="930"/>
      <c r="E1" s="930"/>
      <c r="F1" s="930"/>
      <c r="G1" s="930"/>
      <c r="H1" s="930"/>
      <c r="I1" s="931"/>
      <c r="J1" s="13"/>
    </row>
    <row r="2" spans="1:10" s="54" customFormat="1" ht="15">
      <c r="A2" s="932" t="s">
        <v>171</v>
      </c>
      <c r="B2" s="932"/>
      <c r="C2" s="933" t="str">
        <f>'ORÇAMENTO NÃO DESONERADO'!B2</f>
        <v>863064/2017</v>
      </c>
      <c r="D2" s="933"/>
      <c r="E2" s="933"/>
      <c r="F2" s="933"/>
      <c r="G2" s="933"/>
      <c r="H2" s="933"/>
      <c r="I2" s="933"/>
      <c r="J2" s="14"/>
    </row>
    <row r="3" spans="1:10" s="54" customFormat="1" ht="15">
      <c r="A3" s="927" t="s">
        <v>60</v>
      </c>
      <c r="B3" s="927"/>
      <c r="C3" s="19" t="str">
        <f>'ORÇAMENTO NÃO DESONERADO'!B3</f>
        <v>PREFEITURA MUNICIPAL DE OURÉM</v>
      </c>
      <c r="D3" s="19"/>
      <c r="E3" s="934" t="s">
        <v>116</v>
      </c>
      <c r="F3" s="934"/>
      <c r="G3" s="919" t="s">
        <v>300</v>
      </c>
      <c r="H3" s="919"/>
      <c r="I3" s="919"/>
      <c r="J3" s="15"/>
    </row>
    <row r="4" spans="1:10" s="54" customFormat="1" ht="30" customHeight="1">
      <c r="A4" s="927" t="s">
        <v>61</v>
      </c>
      <c r="B4" s="927"/>
      <c r="C4" s="918" t="str">
        <f>'ORÇAMENTO NÃO DESONERADO'!B4</f>
        <v>CONSTRUÇÃO DE TERMINAL RODOVIÁRIO ETAPA-01</v>
      </c>
      <c r="D4" s="918"/>
      <c r="E4" s="918"/>
      <c r="F4" s="918"/>
      <c r="G4" s="918"/>
      <c r="H4" s="918"/>
      <c r="I4" s="918"/>
      <c r="J4" s="16"/>
    </row>
    <row r="5" spans="1:10" s="54" customFormat="1" ht="32.25" customHeight="1">
      <c r="A5" s="928" t="s">
        <v>62</v>
      </c>
      <c r="B5" s="928"/>
      <c r="C5" s="924" t="str">
        <f>'ORÇAMENTO NÃO DESONERADO'!B5</f>
        <v>RUA JOAQUIM DIONISIO COM RUA PERSEVERANDO S/N. PRAÇA DO TERMINAL OURÉM/PA</v>
      </c>
      <c r="D5" s="924"/>
      <c r="E5" s="924"/>
      <c r="F5" s="924"/>
      <c r="G5" s="924"/>
      <c r="H5" s="924"/>
      <c r="I5" s="924"/>
      <c r="J5" s="16"/>
    </row>
    <row r="6" spans="1:10" s="54" customFormat="1" ht="30.75" customHeight="1">
      <c r="A6" s="927" t="s">
        <v>67</v>
      </c>
      <c r="B6" s="927"/>
      <c r="C6" s="925">
        <f>I27</f>
        <v>0.2212455334054051</v>
      </c>
      <c r="D6" s="925"/>
      <c r="E6" s="920" t="s">
        <v>39</v>
      </c>
      <c r="F6" s="920"/>
      <c r="G6" s="922" t="str">
        <f>'ORÇAMENTO NÃO DESONERADO'!F7</f>
        <v>SINAPI ABRIL 2018 - NÃO DESONERADA</v>
      </c>
      <c r="H6" s="922"/>
      <c r="I6" s="922"/>
      <c r="J6" s="12"/>
    </row>
    <row r="7" spans="1:10" s="54" customFormat="1" ht="15" customHeight="1">
      <c r="A7" s="928" t="s">
        <v>117</v>
      </c>
      <c r="B7" s="928"/>
      <c r="C7" s="926" t="str">
        <f>'ORÇAMENTO NÃO DESONERADO'!B7</f>
        <v xml:space="preserve"> MARUZA BAPTISTA </v>
      </c>
      <c r="D7" s="926"/>
      <c r="E7" s="920"/>
      <c r="F7" s="920"/>
      <c r="G7" s="922"/>
      <c r="H7" s="922"/>
      <c r="I7" s="922"/>
      <c r="J7" s="12"/>
    </row>
    <row r="8" spans="1:10" s="54" customFormat="1" ht="15" customHeight="1">
      <c r="A8" s="928"/>
      <c r="B8" s="928"/>
      <c r="C8" s="926"/>
      <c r="D8" s="926"/>
      <c r="E8" s="921" t="s">
        <v>119</v>
      </c>
      <c r="F8" s="921"/>
      <c r="G8" s="923" t="s">
        <v>120</v>
      </c>
      <c r="H8" s="923"/>
      <c r="I8" s="923"/>
      <c r="J8" s="17"/>
    </row>
    <row r="9" spans="1:10" s="54" customFormat="1" ht="15">
      <c r="A9" s="928"/>
      <c r="B9" s="928"/>
      <c r="C9" s="926"/>
      <c r="D9" s="926"/>
      <c r="E9" s="921"/>
      <c r="F9" s="921"/>
      <c r="G9" s="923"/>
      <c r="H9" s="923"/>
      <c r="I9" s="923"/>
      <c r="J9" s="17"/>
    </row>
    <row r="10" spans="1:9" s="41" customFormat="1" ht="15" thickBot="1">
      <c r="A10" s="263"/>
      <c r="B10" s="32"/>
      <c r="C10" s="32"/>
      <c r="D10" s="32"/>
      <c r="E10" s="32"/>
      <c r="F10" s="32"/>
      <c r="G10" s="32"/>
      <c r="H10" s="32"/>
      <c r="I10" s="264"/>
    </row>
    <row r="11" spans="1:9" s="41" customFormat="1" ht="15.75" thickBot="1">
      <c r="A11" s="899" t="s">
        <v>515</v>
      </c>
      <c r="B11" s="900"/>
      <c r="C11" s="900"/>
      <c r="D11" s="900"/>
      <c r="E11" s="900"/>
      <c r="F11" s="900"/>
      <c r="G11" s="900"/>
      <c r="H11" s="900"/>
      <c r="I11" s="901"/>
    </row>
    <row r="12" spans="1:9" s="41" customFormat="1" ht="15.75" thickBot="1">
      <c r="A12" s="218" t="s">
        <v>7</v>
      </c>
      <c r="B12" s="219" t="s">
        <v>40</v>
      </c>
      <c r="C12" s="24"/>
      <c r="D12" s="24"/>
      <c r="E12" s="24"/>
      <c r="F12" s="24"/>
      <c r="G12" s="24"/>
      <c r="H12" s="24"/>
      <c r="I12" s="265"/>
    </row>
    <row r="13" spans="1:9" s="41" customFormat="1" ht="14.25">
      <c r="A13" s="266">
        <v>1</v>
      </c>
      <c r="B13" s="267" t="s">
        <v>41</v>
      </c>
      <c r="C13" s="268"/>
      <c r="D13" s="268"/>
      <c r="E13" s="268"/>
      <c r="F13" s="268"/>
      <c r="G13" s="268"/>
      <c r="H13" s="269"/>
      <c r="I13" s="270">
        <v>0.04</v>
      </c>
    </row>
    <row r="14" spans="1:19" s="41" customFormat="1" ht="14.25">
      <c r="A14" s="271">
        <v>2</v>
      </c>
      <c r="B14" s="272" t="s">
        <v>42</v>
      </c>
      <c r="C14" s="24"/>
      <c r="D14" s="24"/>
      <c r="E14" s="24"/>
      <c r="F14" s="24"/>
      <c r="G14" s="24"/>
      <c r="H14" s="24"/>
      <c r="I14" s="273">
        <v>0.0081</v>
      </c>
      <c r="S14" s="274"/>
    </row>
    <row r="15" spans="1:9" s="41" customFormat="1" ht="15" thickBot="1">
      <c r="A15" s="271">
        <v>3</v>
      </c>
      <c r="B15" s="272" t="s">
        <v>43</v>
      </c>
      <c r="C15" s="24"/>
      <c r="D15" s="24"/>
      <c r="E15" s="24"/>
      <c r="F15" s="24"/>
      <c r="G15" s="24"/>
      <c r="H15" s="275"/>
      <c r="I15" s="276">
        <v>0.0127</v>
      </c>
    </row>
    <row r="16" spans="1:18" s="41" customFormat="1" ht="15" thickBot="1">
      <c r="A16" s="271">
        <v>4</v>
      </c>
      <c r="B16" s="272" t="s">
        <v>44</v>
      </c>
      <c r="C16" s="24"/>
      <c r="D16" s="24"/>
      <c r="E16" s="24"/>
      <c r="F16" s="24"/>
      <c r="G16" s="24"/>
      <c r="H16" s="275"/>
      <c r="I16" s="273">
        <v>0.0124</v>
      </c>
      <c r="J16" s="277"/>
      <c r="K16" s="278" t="s">
        <v>63</v>
      </c>
      <c r="L16" s="279"/>
      <c r="M16" s="279"/>
      <c r="N16" s="279"/>
      <c r="O16" s="279"/>
      <c r="P16" s="280" t="s">
        <v>64</v>
      </c>
      <c r="Q16" s="280" t="s">
        <v>65</v>
      </c>
      <c r="R16" s="281" t="s">
        <v>66</v>
      </c>
    </row>
    <row r="17" spans="1:18" s="41" customFormat="1" ht="15" thickBot="1">
      <c r="A17" s="271">
        <v>5</v>
      </c>
      <c r="B17" s="272" t="s">
        <v>45</v>
      </c>
      <c r="C17" s="24"/>
      <c r="D17" s="24"/>
      <c r="E17" s="24"/>
      <c r="F17" s="24"/>
      <c r="G17" s="24"/>
      <c r="H17" s="275"/>
      <c r="I17" s="273">
        <v>0.0729</v>
      </c>
      <c r="K17" s="282" t="s">
        <v>68</v>
      </c>
      <c r="L17" s="283"/>
      <c r="M17" s="283"/>
      <c r="N17" s="283"/>
      <c r="O17" s="284"/>
      <c r="P17" s="285">
        <v>0.2882</v>
      </c>
      <c r="Q17" s="285">
        <v>0.3278</v>
      </c>
      <c r="R17" s="285">
        <v>0.3709</v>
      </c>
    </row>
    <row r="18" spans="1:18" s="41" customFormat="1" ht="17.25" thickBot="1">
      <c r="A18" s="286">
        <v>6</v>
      </c>
      <c r="B18" s="287" t="s">
        <v>46</v>
      </c>
      <c r="C18" s="288"/>
      <c r="D18" s="288"/>
      <c r="E18" s="288"/>
      <c r="F18" s="288"/>
      <c r="G18" s="288"/>
      <c r="H18" s="289"/>
      <c r="I18" s="290">
        <f>I25</f>
        <v>0.056499999999999995</v>
      </c>
      <c r="K18" s="938" t="s">
        <v>41</v>
      </c>
      <c r="L18" s="939"/>
      <c r="M18" s="939"/>
      <c r="N18" s="939"/>
      <c r="O18" s="940"/>
      <c r="P18" s="291">
        <v>3</v>
      </c>
      <c r="Q18" s="292">
        <v>4</v>
      </c>
      <c r="R18" s="293">
        <v>5.5</v>
      </c>
    </row>
    <row r="19" spans="1:18" s="41" customFormat="1" ht="16.5">
      <c r="A19" s="217"/>
      <c r="B19" s="24"/>
      <c r="C19" s="24"/>
      <c r="D19" s="24"/>
      <c r="E19" s="24"/>
      <c r="F19" s="24"/>
      <c r="G19" s="24"/>
      <c r="H19" s="24"/>
      <c r="I19" s="294"/>
      <c r="K19" s="941" t="s">
        <v>42</v>
      </c>
      <c r="L19" s="942"/>
      <c r="M19" s="942"/>
      <c r="N19" s="942"/>
      <c r="O19" s="943"/>
      <c r="P19" s="295">
        <v>0.8</v>
      </c>
      <c r="Q19" s="296">
        <v>0.8</v>
      </c>
      <c r="R19" s="297">
        <v>1</v>
      </c>
    </row>
    <row r="20" spans="1:18" s="41" customFormat="1" ht="17.25" thickBot="1">
      <c r="A20" s="218" t="s">
        <v>7</v>
      </c>
      <c r="B20" s="219" t="s">
        <v>47</v>
      </c>
      <c r="C20" s="24"/>
      <c r="D20" s="24"/>
      <c r="E20" s="24"/>
      <c r="F20" s="24"/>
      <c r="G20" s="24"/>
      <c r="H20" s="24"/>
      <c r="I20" s="294"/>
      <c r="K20" s="941" t="s">
        <v>43</v>
      </c>
      <c r="L20" s="942"/>
      <c r="M20" s="942"/>
      <c r="N20" s="942"/>
      <c r="O20" s="943"/>
      <c r="P20" s="295">
        <v>0.97</v>
      </c>
      <c r="Q20" s="296">
        <v>1.27</v>
      </c>
      <c r="R20" s="298">
        <v>1.27</v>
      </c>
    </row>
    <row r="21" spans="1:18" s="41" customFormat="1" ht="16.5">
      <c r="A21" s="299" t="s">
        <v>4</v>
      </c>
      <c r="B21" s="267" t="s">
        <v>48</v>
      </c>
      <c r="C21" s="268"/>
      <c r="D21" s="268"/>
      <c r="E21" s="268"/>
      <c r="F21" s="268"/>
      <c r="G21" s="268"/>
      <c r="H21" s="268"/>
      <c r="I21" s="270">
        <v>0.02</v>
      </c>
      <c r="K21" s="941" t="s">
        <v>44</v>
      </c>
      <c r="L21" s="942"/>
      <c r="M21" s="942"/>
      <c r="N21" s="942"/>
      <c r="O21" s="943"/>
      <c r="P21" s="295">
        <v>0.59</v>
      </c>
      <c r="Q21" s="296">
        <v>1.23</v>
      </c>
      <c r="R21" s="297">
        <v>1.39</v>
      </c>
    </row>
    <row r="22" spans="1:18" s="41" customFormat="1" ht="16.5">
      <c r="A22" s="300" t="s">
        <v>5</v>
      </c>
      <c r="B22" s="272" t="s">
        <v>49</v>
      </c>
      <c r="C22" s="24"/>
      <c r="D22" s="24"/>
      <c r="E22" s="24"/>
      <c r="F22" s="24"/>
      <c r="G22" s="24"/>
      <c r="H22" s="24"/>
      <c r="I22" s="273">
        <v>0.0065</v>
      </c>
      <c r="K22" s="941" t="s">
        <v>45</v>
      </c>
      <c r="L22" s="942"/>
      <c r="M22" s="942"/>
      <c r="N22" s="942"/>
      <c r="O22" s="943"/>
      <c r="P22" s="295">
        <v>6.16</v>
      </c>
      <c r="Q22" s="296">
        <v>7.4</v>
      </c>
      <c r="R22" s="297">
        <v>8.96</v>
      </c>
    </row>
    <row r="23" spans="1:18" s="41" customFormat="1" ht="16.5">
      <c r="A23" s="300" t="s">
        <v>6</v>
      </c>
      <c r="B23" s="272" t="s">
        <v>50</v>
      </c>
      <c r="C23" s="24"/>
      <c r="D23" s="24"/>
      <c r="E23" s="24"/>
      <c r="F23" s="24"/>
      <c r="G23" s="24"/>
      <c r="H23" s="24"/>
      <c r="I23" s="273">
        <v>0.03</v>
      </c>
      <c r="K23" s="941" t="s">
        <v>46</v>
      </c>
      <c r="L23" s="942"/>
      <c r="M23" s="942"/>
      <c r="N23" s="942"/>
      <c r="O23" s="943"/>
      <c r="P23" s="301">
        <v>13.15</v>
      </c>
      <c r="Q23" s="302">
        <v>13.15</v>
      </c>
      <c r="R23" s="301">
        <v>13.15</v>
      </c>
    </row>
    <row r="24" spans="1:9" s="41" customFormat="1" ht="15" thickBot="1">
      <c r="A24" s="303" t="s">
        <v>51</v>
      </c>
      <c r="B24" s="287" t="s">
        <v>52</v>
      </c>
      <c r="C24" s="288"/>
      <c r="D24" s="288"/>
      <c r="E24" s="288"/>
      <c r="F24" s="288"/>
      <c r="G24" s="288"/>
      <c r="H24" s="288"/>
      <c r="I24" s="304">
        <v>0</v>
      </c>
    </row>
    <row r="25" spans="1:9" s="41" customFormat="1" ht="15.75" thickBot="1">
      <c r="A25" s="128"/>
      <c r="B25" s="24"/>
      <c r="C25" s="24"/>
      <c r="D25" s="24"/>
      <c r="E25" s="24"/>
      <c r="F25" s="24"/>
      <c r="G25" s="902" t="s">
        <v>53</v>
      </c>
      <c r="H25" s="902"/>
      <c r="I25" s="305">
        <f>SUM(I21:I24)</f>
        <v>0.056499999999999995</v>
      </c>
    </row>
    <row r="26" spans="1:9" s="41" customFormat="1" ht="15.75" thickBot="1">
      <c r="A26" s="903" t="s">
        <v>54</v>
      </c>
      <c r="B26" s="904"/>
      <c r="C26" s="904"/>
      <c r="D26" s="904"/>
      <c r="E26" s="904"/>
      <c r="F26" s="904"/>
      <c r="G26" s="904"/>
      <c r="H26" s="904"/>
      <c r="I26" s="905"/>
    </row>
    <row r="27" spans="1:9" s="41" customFormat="1" ht="37.5" customHeight="1" thickBot="1">
      <c r="A27" s="906"/>
      <c r="B27" s="907"/>
      <c r="C27" s="907"/>
      <c r="D27" s="907"/>
      <c r="E27" s="907"/>
      <c r="F27" s="907"/>
      <c r="G27" s="907"/>
      <c r="H27" s="908"/>
      <c r="I27" s="306">
        <f>(((1+I13+I14+I15)*(1+I16)*(1+I17))/(1-I18))-1</f>
        <v>0.2212455334054051</v>
      </c>
    </row>
    <row r="28" spans="1:9" s="41" customFormat="1" ht="15">
      <c r="A28" s="128"/>
      <c r="B28" s="24"/>
      <c r="C28" s="24"/>
      <c r="D28" s="24"/>
      <c r="E28" s="24"/>
      <c r="F28" s="24"/>
      <c r="G28" s="24"/>
      <c r="H28" s="24"/>
      <c r="I28" s="307"/>
    </row>
    <row r="29" spans="1:9" s="41" customFormat="1" ht="15">
      <c r="A29" s="308" t="s">
        <v>55</v>
      </c>
      <c r="B29" s="24"/>
      <c r="C29" s="24"/>
      <c r="D29" s="24"/>
      <c r="E29" s="24"/>
      <c r="F29" s="24"/>
      <c r="G29" s="24"/>
      <c r="H29" s="24"/>
      <c r="I29" s="309"/>
    </row>
    <row r="30" spans="1:9" s="41" customFormat="1" ht="27.75" customHeight="1">
      <c r="A30" s="909" t="s">
        <v>56</v>
      </c>
      <c r="B30" s="910"/>
      <c r="C30" s="910"/>
      <c r="D30" s="910"/>
      <c r="E30" s="910"/>
      <c r="F30" s="910"/>
      <c r="G30" s="910"/>
      <c r="H30" s="910"/>
      <c r="I30" s="911"/>
    </row>
    <row r="31" spans="1:9" s="41" customFormat="1" ht="27.75" customHeight="1">
      <c r="A31" s="909" t="s">
        <v>57</v>
      </c>
      <c r="B31" s="910"/>
      <c r="C31" s="910"/>
      <c r="D31" s="910"/>
      <c r="E31" s="910"/>
      <c r="F31" s="910"/>
      <c r="G31" s="910"/>
      <c r="H31" s="910"/>
      <c r="I31" s="911"/>
    </row>
    <row r="32" spans="1:9" s="41" customFormat="1" ht="15.75" customHeight="1">
      <c r="A32" s="912" t="s">
        <v>58</v>
      </c>
      <c r="B32" s="913"/>
      <c r="C32" s="913"/>
      <c r="D32" s="913"/>
      <c r="E32" s="913"/>
      <c r="F32" s="913"/>
      <c r="G32" s="913"/>
      <c r="H32" s="913"/>
      <c r="I32" s="914"/>
    </row>
    <row r="33" spans="1:9" s="41" customFormat="1" ht="27.75" customHeight="1">
      <c r="A33" s="909" t="s">
        <v>59</v>
      </c>
      <c r="B33" s="910"/>
      <c r="C33" s="910"/>
      <c r="D33" s="910"/>
      <c r="E33" s="910"/>
      <c r="F33" s="910"/>
      <c r="G33" s="910"/>
      <c r="H33" s="910"/>
      <c r="I33" s="911"/>
    </row>
    <row r="34" spans="1:9" s="41" customFormat="1" ht="14.25">
      <c r="A34" s="128"/>
      <c r="B34" s="24"/>
      <c r="C34" s="24"/>
      <c r="D34" s="24"/>
      <c r="E34" s="24"/>
      <c r="F34" s="24"/>
      <c r="G34" s="24"/>
      <c r="H34" s="24"/>
      <c r="I34" s="309"/>
    </row>
    <row r="35" spans="1:9" s="41" customFormat="1" ht="14.25">
      <c r="A35" s="935"/>
      <c r="B35" s="936"/>
      <c r="C35" s="936"/>
      <c r="D35" s="936"/>
      <c r="E35" s="936"/>
      <c r="F35" s="936"/>
      <c r="G35" s="936"/>
      <c r="H35" s="936"/>
      <c r="I35" s="937"/>
    </row>
    <row r="36" ht="13.5" thickBot="1"/>
    <row r="37" spans="1:9" ht="15.75" thickBot="1">
      <c r="A37" s="899" t="s">
        <v>516</v>
      </c>
      <c r="B37" s="900"/>
      <c r="C37" s="900"/>
      <c r="D37" s="900"/>
      <c r="E37" s="900"/>
      <c r="F37" s="900"/>
      <c r="G37" s="900"/>
      <c r="H37" s="900"/>
      <c r="I37" s="901"/>
    </row>
    <row r="38" spans="1:9" ht="15.75" thickBot="1">
      <c r="A38" s="218" t="s">
        <v>7</v>
      </c>
      <c r="B38" s="219" t="s">
        <v>40</v>
      </c>
      <c r="C38" s="24"/>
      <c r="D38" s="24"/>
      <c r="E38" s="24"/>
      <c r="F38" s="24"/>
      <c r="G38" s="24"/>
      <c r="H38" s="24"/>
      <c r="I38" s="265"/>
    </row>
    <row r="39" spans="1:9" ht="14.25">
      <c r="A39" s="266">
        <v>1</v>
      </c>
      <c r="B39" s="267" t="s">
        <v>41</v>
      </c>
      <c r="C39" s="268"/>
      <c r="D39" s="268"/>
      <c r="E39" s="268"/>
      <c r="F39" s="268"/>
      <c r="G39" s="268"/>
      <c r="H39" s="269"/>
      <c r="I39" s="270">
        <v>0.0336</v>
      </c>
    </row>
    <row r="40" spans="1:9" ht="12.75" customHeight="1">
      <c r="A40" s="271">
        <v>2</v>
      </c>
      <c r="B40" s="272" t="s">
        <v>42</v>
      </c>
      <c r="C40" s="24"/>
      <c r="D40" s="24"/>
      <c r="E40" s="24"/>
      <c r="F40" s="24"/>
      <c r="G40" s="24"/>
      <c r="H40" s="24"/>
      <c r="I40" s="273">
        <v>0.0048</v>
      </c>
    </row>
    <row r="41" spans="1:9" ht="12.75" customHeight="1">
      <c r="A41" s="271">
        <v>3</v>
      </c>
      <c r="B41" s="272" t="s">
        <v>43</v>
      </c>
      <c r="C41" s="24"/>
      <c r="D41" s="24"/>
      <c r="E41" s="24"/>
      <c r="F41" s="24"/>
      <c r="G41" s="24"/>
      <c r="H41" s="275"/>
      <c r="I41" s="276">
        <v>0.0085</v>
      </c>
    </row>
    <row r="42" spans="1:9" ht="14.25">
      <c r="A42" s="271">
        <v>4</v>
      </c>
      <c r="B42" s="272" t="s">
        <v>44</v>
      </c>
      <c r="C42" s="24"/>
      <c r="D42" s="24"/>
      <c r="E42" s="24"/>
      <c r="F42" s="24"/>
      <c r="G42" s="24"/>
      <c r="H42" s="275"/>
      <c r="I42" s="273">
        <v>0.0085</v>
      </c>
    </row>
    <row r="43" spans="1:9" ht="14.25">
      <c r="A43" s="271">
        <v>5</v>
      </c>
      <c r="B43" s="272" t="s">
        <v>45</v>
      </c>
      <c r="C43" s="24"/>
      <c r="D43" s="24"/>
      <c r="E43" s="24"/>
      <c r="F43" s="24"/>
      <c r="G43" s="24"/>
      <c r="H43" s="275"/>
      <c r="I43" s="859">
        <v>0.0405</v>
      </c>
    </row>
    <row r="44" spans="1:9" ht="15" thickBot="1">
      <c r="A44" s="286">
        <v>6</v>
      </c>
      <c r="B44" s="287" t="s">
        <v>46</v>
      </c>
      <c r="C44" s="288"/>
      <c r="D44" s="288"/>
      <c r="E44" s="288"/>
      <c r="F44" s="288"/>
      <c r="G44" s="288"/>
      <c r="H44" s="289"/>
      <c r="I44" s="290">
        <f>I51</f>
        <v>0.0365</v>
      </c>
    </row>
    <row r="45" spans="1:9" ht="14.25">
      <c r="A45" s="217"/>
      <c r="B45" s="24"/>
      <c r="C45" s="24"/>
      <c r="D45" s="24"/>
      <c r="E45" s="24"/>
      <c r="F45" s="24"/>
      <c r="G45" s="24"/>
      <c r="H45" s="24"/>
      <c r="I45" s="294"/>
    </row>
    <row r="46" spans="1:9" ht="15.75" thickBot="1">
      <c r="A46" s="218" t="s">
        <v>7</v>
      </c>
      <c r="B46" s="219" t="s">
        <v>47</v>
      </c>
      <c r="C46" s="24"/>
      <c r="D46" s="24"/>
      <c r="E46" s="24"/>
      <c r="F46" s="24"/>
      <c r="G46" s="24"/>
      <c r="H46" s="24"/>
      <c r="I46" s="294"/>
    </row>
    <row r="47" spans="1:9" ht="14.25">
      <c r="A47" s="299" t="s">
        <v>4</v>
      </c>
      <c r="B47" s="267" t="s">
        <v>48</v>
      </c>
      <c r="C47" s="268"/>
      <c r="D47" s="268"/>
      <c r="E47" s="268"/>
      <c r="F47" s="268"/>
      <c r="G47" s="268"/>
      <c r="H47" s="268"/>
      <c r="I47" s="270">
        <v>0</v>
      </c>
    </row>
    <row r="48" spans="1:9" ht="14.25">
      <c r="A48" s="300" t="s">
        <v>5</v>
      </c>
      <c r="B48" s="272" t="s">
        <v>49</v>
      </c>
      <c r="C48" s="24"/>
      <c r="D48" s="24"/>
      <c r="E48" s="24"/>
      <c r="F48" s="24"/>
      <c r="G48" s="24"/>
      <c r="H48" s="24"/>
      <c r="I48" s="273">
        <v>0.0065</v>
      </c>
    </row>
    <row r="49" spans="1:9" ht="14.25">
      <c r="A49" s="300" t="s">
        <v>6</v>
      </c>
      <c r="B49" s="272" t="s">
        <v>50</v>
      </c>
      <c r="C49" s="24"/>
      <c r="D49" s="24"/>
      <c r="E49" s="24"/>
      <c r="F49" s="24"/>
      <c r="G49" s="24"/>
      <c r="H49" s="24"/>
      <c r="I49" s="273">
        <v>0.03</v>
      </c>
    </row>
    <row r="50" spans="1:9" ht="15" thickBot="1">
      <c r="A50" s="303" t="s">
        <v>51</v>
      </c>
      <c r="B50" s="287" t="s">
        <v>52</v>
      </c>
      <c r="C50" s="288"/>
      <c r="D50" s="288"/>
      <c r="E50" s="288"/>
      <c r="F50" s="288"/>
      <c r="G50" s="288"/>
      <c r="H50" s="288"/>
      <c r="I50" s="304">
        <v>0</v>
      </c>
    </row>
    <row r="51" spans="1:9" ht="15.75" thickBot="1">
      <c r="A51" s="128"/>
      <c r="B51" s="24"/>
      <c r="C51" s="24"/>
      <c r="D51" s="24"/>
      <c r="E51" s="24"/>
      <c r="F51" s="24"/>
      <c r="G51" s="902" t="s">
        <v>53</v>
      </c>
      <c r="H51" s="902"/>
      <c r="I51" s="305">
        <f>SUM(I47:I50)</f>
        <v>0.0365</v>
      </c>
    </row>
    <row r="52" spans="1:9" ht="15.75" thickBot="1">
      <c r="A52" s="903" t="s">
        <v>54</v>
      </c>
      <c r="B52" s="904"/>
      <c r="C52" s="904"/>
      <c r="D52" s="904"/>
      <c r="E52" s="904"/>
      <c r="F52" s="904"/>
      <c r="G52" s="904"/>
      <c r="H52" s="904"/>
      <c r="I52" s="905"/>
    </row>
    <row r="53" spans="1:9" ht="15.75" thickBot="1">
      <c r="A53" s="906"/>
      <c r="B53" s="907"/>
      <c r="C53" s="907"/>
      <c r="D53" s="907"/>
      <c r="E53" s="907"/>
      <c r="F53" s="907"/>
      <c r="G53" s="907"/>
      <c r="H53" s="908"/>
      <c r="I53" s="306">
        <f>(((1+I39+I40+I41)*(1+I42)*(1+I43))/(1-I44))-1</f>
        <v>0.1401748783860921</v>
      </c>
    </row>
    <row r="54" spans="1:9" ht="15">
      <c r="A54" s="128"/>
      <c r="B54" s="24"/>
      <c r="C54" s="24"/>
      <c r="D54" s="24"/>
      <c r="E54" s="24"/>
      <c r="F54" s="24"/>
      <c r="G54" s="24"/>
      <c r="H54" s="24"/>
      <c r="I54" s="307"/>
    </row>
    <row r="55" spans="1:9" ht="15">
      <c r="A55" s="308" t="s">
        <v>55</v>
      </c>
      <c r="B55" s="24"/>
      <c r="C55" s="24"/>
      <c r="D55" s="24"/>
      <c r="E55" s="24"/>
      <c r="F55" s="24"/>
      <c r="G55" s="24"/>
      <c r="H55" s="24"/>
      <c r="I55" s="309"/>
    </row>
    <row r="56" spans="1:9" ht="14.25">
      <c r="A56" s="909" t="s">
        <v>56</v>
      </c>
      <c r="B56" s="910"/>
      <c r="C56" s="910"/>
      <c r="D56" s="910"/>
      <c r="E56" s="910"/>
      <c r="F56" s="910"/>
      <c r="G56" s="910"/>
      <c r="H56" s="910"/>
      <c r="I56" s="911"/>
    </row>
    <row r="57" spans="1:9" ht="14.25">
      <c r="A57" s="909" t="s">
        <v>57</v>
      </c>
      <c r="B57" s="910"/>
      <c r="C57" s="910"/>
      <c r="D57" s="910"/>
      <c r="E57" s="910"/>
      <c r="F57" s="910"/>
      <c r="G57" s="910"/>
      <c r="H57" s="910"/>
      <c r="I57" s="911"/>
    </row>
    <row r="58" spans="1:9" ht="14.25">
      <c r="A58" s="912" t="s">
        <v>58</v>
      </c>
      <c r="B58" s="913"/>
      <c r="C58" s="913"/>
      <c r="D58" s="913"/>
      <c r="E58" s="913"/>
      <c r="F58" s="913"/>
      <c r="G58" s="913"/>
      <c r="H58" s="913"/>
      <c r="I58" s="914"/>
    </row>
    <row r="59" spans="1:9" ht="14.25">
      <c r="A59" s="909" t="s">
        <v>59</v>
      </c>
      <c r="B59" s="910"/>
      <c r="C59" s="910"/>
      <c r="D59" s="910"/>
      <c r="E59" s="910"/>
      <c r="F59" s="910"/>
      <c r="G59" s="910"/>
      <c r="H59" s="910"/>
      <c r="I59" s="911"/>
    </row>
    <row r="60" spans="1:9" ht="14.25">
      <c r="A60" s="128"/>
      <c r="B60" s="24"/>
      <c r="C60" s="24"/>
      <c r="D60" s="24"/>
      <c r="E60" s="24"/>
      <c r="F60" s="24"/>
      <c r="G60" s="24"/>
      <c r="H60" s="24"/>
      <c r="I60" s="309"/>
    </row>
    <row r="61" spans="1:7" ht="12.75">
      <c r="A61" s="847"/>
      <c r="B61" s="840"/>
      <c r="C61" s="848"/>
      <c r="D61" s="842"/>
      <c r="E61" s="842"/>
      <c r="F61" s="6"/>
      <c r="G61" s="6"/>
    </row>
    <row r="62" spans="1:7" ht="12.75">
      <c r="A62" s="843"/>
      <c r="B62" s="844"/>
      <c r="C62" s="849"/>
      <c r="D62" s="846"/>
      <c r="E62" s="846"/>
      <c r="F62" s="6"/>
      <c r="G62" s="6"/>
    </row>
    <row r="63" spans="1:7" ht="12.75">
      <c r="A63" s="847"/>
      <c r="B63" s="840"/>
      <c r="C63" s="850"/>
      <c r="D63" s="842"/>
      <c r="E63" s="842"/>
      <c r="F63" s="6"/>
      <c r="G63" s="6"/>
    </row>
    <row r="64" spans="1:7" ht="12.75">
      <c r="A64" s="835"/>
      <c r="B64" s="835"/>
      <c r="C64" s="851"/>
      <c r="D64" s="846"/>
      <c r="E64" s="846"/>
      <c r="F64" s="6"/>
      <c r="G64" s="6"/>
    </row>
    <row r="65" spans="1:7" ht="12.75">
      <c r="A65" s="840"/>
      <c r="B65" s="840"/>
      <c r="C65" s="848"/>
      <c r="D65" s="842"/>
      <c r="E65" s="842"/>
      <c r="F65" s="6"/>
      <c r="G65" s="6"/>
    </row>
    <row r="66" spans="1:7" ht="12.75">
      <c r="A66" s="844"/>
      <c r="B66" s="844"/>
      <c r="C66" s="845"/>
      <c r="D66" s="846"/>
      <c r="E66" s="846"/>
      <c r="F66" s="6"/>
      <c r="G66" s="6"/>
    </row>
    <row r="67" spans="1:7" ht="12.75">
      <c r="A67" s="852"/>
      <c r="B67" s="840"/>
      <c r="C67" s="841"/>
      <c r="D67" s="842"/>
      <c r="E67" s="842"/>
      <c r="F67" s="6"/>
      <c r="G67" s="6"/>
    </row>
    <row r="68" spans="1:7" ht="12.75">
      <c r="A68" s="844"/>
      <c r="B68" s="844"/>
      <c r="C68" s="845"/>
      <c r="D68" s="846"/>
      <c r="E68" s="846"/>
      <c r="F68" s="6"/>
      <c r="G68" s="6"/>
    </row>
    <row r="69" spans="1:7" ht="12.75">
      <c r="A69" s="840"/>
      <c r="B69" s="840"/>
      <c r="C69" s="841"/>
      <c r="D69" s="842"/>
      <c r="E69" s="842"/>
      <c r="F69" s="6"/>
      <c r="G69" s="6"/>
    </row>
    <row r="70" spans="1:7" ht="12.75">
      <c r="A70" s="835"/>
      <c r="B70" s="835"/>
      <c r="C70" s="836"/>
      <c r="D70" s="853"/>
      <c r="E70" s="853"/>
      <c r="F70" s="6"/>
      <c r="G70" s="6"/>
    </row>
    <row r="71" spans="1:7" ht="12.75">
      <c r="A71" s="835"/>
      <c r="B71" s="835"/>
      <c r="C71" s="836"/>
      <c r="D71" s="837"/>
      <c r="E71" s="837"/>
      <c r="F71" s="6"/>
      <c r="G71" s="6"/>
    </row>
    <row r="72" spans="1:7" ht="12.75">
      <c r="A72" s="835"/>
      <c r="B72" s="835"/>
      <c r="C72" s="836"/>
      <c r="D72" s="837"/>
      <c r="E72" s="837"/>
      <c r="F72" s="6"/>
      <c r="G72" s="6"/>
    </row>
    <row r="73" spans="1:7" ht="12.75">
      <c r="A73" s="854"/>
      <c r="B73" s="915"/>
      <c r="C73" s="915"/>
      <c r="D73" s="915"/>
      <c r="E73" s="855"/>
      <c r="F73" s="6"/>
      <c r="G73" s="6"/>
    </row>
    <row r="74" spans="1:7" ht="12.75">
      <c r="A74" s="854"/>
      <c r="B74" s="838"/>
      <c r="C74" s="838"/>
      <c r="D74" s="838"/>
      <c r="E74" s="855"/>
      <c r="F74" s="6"/>
      <c r="G74" s="6"/>
    </row>
    <row r="75" spans="1:7" ht="12.75">
      <c r="A75" s="916"/>
      <c r="B75" s="916"/>
      <c r="C75" s="917"/>
      <c r="D75" s="917"/>
      <c r="E75" s="855"/>
      <c r="F75" s="6"/>
      <c r="G75" s="6"/>
    </row>
    <row r="76" spans="1:7" ht="12.75">
      <c r="A76" s="856"/>
      <c r="B76" s="857"/>
      <c r="C76" s="857"/>
      <c r="D76" s="858"/>
      <c r="E76" s="839"/>
      <c r="F76" s="6"/>
      <c r="G76" s="6"/>
    </row>
    <row r="77" spans="1:7" ht="12.75">
      <c r="A77" s="897"/>
      <c r="B77" s="898"/>
      <c r="C77" s="898"/>
      <c r="D77" s="898"/>
      <c r="E77" s="898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</sheetData>
  <mergeCells count="46">
    <mergeCell ref="A11:I11"/>
    <mergeCell ref="K20:O20"/>
    <mergeCell ref="K21:O21"/>
    <mergeCell ref="K22:O22"/>
    <mergeCell ref="K23:O23"/>
    <mergeCell ref="A32:I32"/>
    <mergeCell ref="A33:I33"/>
    <mergeCell ref="A35:I35"/>
    <mergeCell ref="A31:I31"/>
    <mergeCell ref="K18:O18"/>
    <mergeCell ref="K19:O19"/>
    <mergeCell ref="G25:H25"/>
    <mergeCell ref="A26:I26"/>
    <mergeCell ref="A27:H27"/>
    <mergeCell ref="A30:I30"/>
    <mergeCell ref="C1:I1"/>
    <mergeCell ref="A2:B2"/>
    <mergeCell ref="C2:I2"/>
    <mergeCell ref="A3:B3"/>
    <mergeCell ref="E3:F3"/>
    <mergeCell ref="A4:B4"/>
    <mergeCell ref="A5:B5"/>
    <mergeCell ref="A6:B6"/>
    <mergeCell ref="A7:B9"/>
    <mergeCell ref="A1:B1"/>
    <mergeCell ref="C4:I4"/>
    <mergeCell ref="G3:I3"/>
    <mergeCell ref="E6:F7"/>
    <mergeCell ref="E8:F9"/>
    <mergeCell ref="G6:I7"/>
    <mergeCell ref="G8:I9"/>
    <mergeCell ref="C5:I5"/>
    <mergeCell ref="C6:D6"/>
    <mergeCell ref="C7:D9"/>
    <mergeCell ref="A77:E77"/>
    <mergeCell ref="A37:I37"/>
    <mergeCell ref="G51:H51"/>
    <mergeCell ref="A52:I52"/>
    <mergeCell ref="A53:H53"/>
    <mergeCell ref="A56:I56"/>
    <mergeCell ref="A57:I57"/>
    <mergeCell ref="A58:I58"/>
    <mergeCell ref="A59:I59"/>
    <mergeCell ref="B73:D73"/>
    <mergeCell ref="A75:B75"/>
    <mergeCell ref="C75:D75"/>
  </mergeCells>
  <printOptions/>
  <pageMargins left="0.7" right="0.7" top="0.75" bottom="0.75" header="0.3" footer="0.3"/>
  <pageSetup fitToHeight="0" fitToWidth="1" horizontalDpi="1200" verticalDpi="1200" orientation="portrait" paperSize="9" scale="84" r:id="rId2"/>
  <rowBreaks count="1" manualBreakCount="1">
    <brk id="35" max="16383" man="1"/>
  </rowBreaks>
  <colBreaks count="2" manualBreakCount="2">
    <brk id="9" max="16383" man="1"/>
    <brk id="23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view="pageBreakPreview" zoomScale="90" zoomScaleSheetLayoutView="90" workbookViewId="0" topLeftCell="A1">
      <selection activeCell="K17" sqref="K17"/>
    </sheetView>
  </sheetViews>
  <sheetFormatPr defaultColWidth="9.140625" defaultRowHeight="12.75"/>
  <cols>
    <col min="1" max="1" width="9.140625" style="8" customWidth="1"/>
    <col min="2" max="2" width="16.8515625" style="8" customWidth="1"/>
    <col min="3" max="3" width="12.421875" style="8" customWidth="1"/>
    <col min="4" max="4" width="11.00390625" style="8" customWidth="1"/>
    <col min="5" max="11" width="9.140625" style="8" customWidth="1"/>
  </cols>
  <sheetData>
    <row r="1" spans="1:14" s="5" customFormat="1" ht="87" customHeight="1">
      <c r="A1" s="1124" t="s">
        <v>176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</row>
    <row r="2" spans="1:14" s="54" customFormat="1" ht="15">
      <c r="A2" s="932" t="s">
        <v>171</v>
      </c>
      <c r="B2" s="932"/>
      <c r="C2" s="933" t="str">
        <f>'ORÇAMENTO NÃO DESONERADO'!B2</f>
        <v>863064/2017</v>
      </c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</row>
    <row r="3" spans="1:14" s="54" customFormat="1" ht="15">
      <c r="A3" s="927" t="s">
        <v>60</v>
      </c>
      <c r="B3" s="927"/>
      <c r="C3" s="955" t="str">
        <f>'ORÇAMENTO NÃO DESONERADO'!B3</f>
        <v>PREFEITURA MUNICIPAL DE OURÉM</v>
      </c>
      <c r="D3" s="956"/>
      <c r="E3" s="956"/>
      <c r="F3" s="956"/>
      <c r="G3" s="957"/>
      <c r="H3" s="18" t="s">
        <v>116</v>
      </c>
      <c r="I3" s="18"/>
      <c r="J3" s="1214" t="s">
        <v>300</v>
      </c>
      <c r="K3" s="1215"/>
      <c r="L3" s="1215"/>
      <c r="M3" s="1215"/>
      <c r="N3" s="1216"/>
    </row>
    <row r="4" spans="1:14" s="54" customFormat="1" ht="31.5" customHeight="1">
      <c r="A4" s="927" t="s">
        <v>61</v>
      </c>
      <c r="B4" s="927"/>
      <c r="C4" s="918" t="str">
        <f>'ORÇAMENTO NÃO DESONERADO'!B4</f>
        <v>CONSTRUÇÃO DE TERMINAL RODOVIÁRIO ETAPA-01</v>
      </c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</row>
    <row r="5" spans="1:14" s="54" customFormat="1" ht="15" customHeight="1">
      <c r="A5" s="928" t="s">
        <v>62</v>
      </c>
      <c r="B5" s="928"/>
      <c r="C5" s="924" t="str">
        <f>'ORÇAMENTO NÃO DESONERADO'!B5</f>
        <v>RUA JOAQUIM DIONISIO COM RUA PERSEVERANDO S/N. PRAÇA DO TERMINAL OURÉM/PA</v>
      </c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</row>
    <row r="6" spans="1:14" s="54" customFormat="1" ht="30.75" customHeight="1">
      <c r="A6" s="927" t="s">
        <v>67</v>
      </c>
      <c r="B6" s="927"/>
      <c r="C6" s="925">
        <f>'BDI NÃO DESONERADO'!I27</f>
        <v>0.2212455334054051</v>
      </c>
      <c r="D6" s="925"/>
      <c r="E6" s="925"/>
      <c r="F6" s="925"/>
      <c r="G6" s="925"/>
      <c r="H6" s="928" t="s">
        <v>39</v>
      </c>
      <c r="I6" s="928"/>
      <c r="J6" s="1056" t="str">
        <f>'ORÇAMENTO NÃO DESONERADO'!F7</f>
        <v>SINAPI ABRIL 2018 - NÃO DESONERADA</v>
      </c>
      <c r="K6" s="1056"/>
      <c r="L6" s="1056"/>
      <c r="M6" s="1056"/>
      <c r="N6" s="1056"/>
    </row>
    <row r="7" spans="1:14" s="54" customFormat="1" ht="15" customHeight="1">
      <c r="A7" s="928" t="s">
        <v>117</v>
      </c>
      <c r="B7" s="928"/>
      <c r="C7" s="926" t="str">
        <f>'ORÇAMENTO NÃO DESONERADO'!B7</f>
        <v xml:space="preserve"> MARUZA BAPTISTA </v>
      </c>
      <c r="D7" s="926"/>
      <c r="E7" s="926"/>
      <c r="F7" s="926"/>
      <c r="G7" s="926"/>
      <c r="H7" s="1123" t="s">
        <v>119</v>
      </c>
      <c r="I7" s="1123"/>
      <c r="J7" s="1057" t="s">
        <v>120</v>
      </c>
      <c r="K7" s="1057"/>
      <c r="L7" s="1057"/>
      <c r="M7" s="1057"/>
      <c r="N7" s="1057"/>
    </row>
    <row r="8" spans="1:14" s="54" customFormat="1" ht="15" customHeight="1">
      <c r="A8" s="928"/>
      <c r="B8" s="928"/>
      <c r="C8" s="926"/>
      <c r="D8" s="926"/>
      <c r="E8" s="926"/>
      <c r="F8" s="926"/>
      <c r="G8" s="926"/>
      <c r="H8" s="1123"/>
      <c r="I8" s="1123"/>
      <c r="J8" s="1057"/>
      <c r="K8" s="1057"/>
      <c r="L8" s="1057"/>
      <c r="M8" s="1057"/>
      <c r="N8" s="1057"/>
    </row>
    <row r="9" spans="1:11" s="133" customFormat="1" ht="15" customHeight="1">
      <c r="A9" s="122"/>
      <c r="B9" s="122"/>
      <c r="C9" s="123"/>
      <c r="D9" s="123"/>
      <c r="E9" s="123"/>
      <c r="F9" s="123"/>
      <c r="G9" s="123"/>
      <c r="H9" s="125"/>
      <c r="I9" s="125"/>
      <c r="J9" s="125"/>
      <c r="K9" s="125"/>
    </row>
    <row r="10" spans="1:14" s="41" customFormat="1" ht="15" customHeight="1">
      <c r="A10" s="920" t="str">
        <f>'ORÇAMENTO NÃO DESONERADO'!C215</f>
        <v>SERVIÇOS DIVERSOS</v>
      </c>
      <c r="B10" s="920"/>
      <c r="C10" s="920"/>
      <c r="D10" s="920"/>
      <c r="E10" s="920"/>
      <c r="F10" s="920"/>
      <c r="G10" s="920"/>
      <c r="H10" s="920"/>
      <c r="I10" s="920"/>
      <c r="J10" s="920"/>
      <c r="K10" s="920"/>
      <c r="L10" s="920"/>
      <c r="M10" s="920"/>
      <c r="N10" s="920"/>
    </row>
    <row r="11" spans="1:14" s="41" customFormat="1" ht="15">
      <c r="A11" s="51"/>
      <c r="B11" s="52"/>
      <c r="C11" s="50"/>
      <c r="D11" s="50"/>
      <c r="E11" s="50"/>
      <c r="F11" s="50"/>
      <c r="G11" s="50"/>
      <c r="H11" s="50"/>
      <c r="I11" s="50"/>
      <c r="J11" s="50"/>
      <c r="K11" s="50"/>
      <c r="L11" s="42"/>
      <c r="M11" s="42"/>
      <c r="N11" s="42"/>
    </row>
    <row r="12" spans="1:14" s="41" customFormat="1" ht="15">
      <c r="A12" s="190">
        <f>'ORÇAMENTO NÃO DESONERADO'!A215</f>
        <v>6</v>
      </c>
      <c r="B12" s="191" t="str">
        <f>'ORÇAMENTO NÃO DESONERADO'!C215</f>
        <v>SERVIÇOS DIVERSOS</v>
      </c>
      <c r="C12" s="30"/>
      <c r="D12" s="30"/>
      <c r="E12" s="48"/>
      <c r="F12" s="48"/>
      <c r="G12" s="50"/>
      <c r="H12" s="50"/>
      <c r="I12" s="50"/>
      <c r="J12" s="50"/>
      <c r="K12" s="50"/>
      <c r="L12" s="42"/>
      <c r="M12" s="42"/>
      <c r="N12" s="42"/>
    </row>
    <row r="13" spans="1:14" s="41" customFormat="1" ht="15">
      <c r="A13" s="51" t="str">
        <f>'ORÇAMENTO NÃO DESONERADO'!A216</f>
        <v>6.1</v>
      </c>
      <c r="B13" s="52" t="str">
        <f>'ORÇAMENTO NÃO DESONERADO'!C216</f>
        <v>LIMPEZA GERAL E ENTREGA DA OBRA</v>
      </c>
      <c r="C13" s="48"/>
      <c r="D13" s="29"/>
      <c r="E13" s="48"/>
      <c r="F13" s="48"/>
      <c r="G13" s="29"/>
      <c r="H13" s="29"/>
      <c r="I13" s="29"/>
      <c r="J13" s="29"/>
      <c r="K13" s="50"/>
      <c r="L13" s="42"/>
      <c r="M13" s="42"/>
      <c r="N13" s="42"/>
    </row>
    <row r="14" spans="1:14" s="41" customFormat="1" ht="15">
      <c r="A14" s="51"/>
      <c r="B14" s="52"/>
      <c r="C14" s="757"/>
      <c r="D14" s="29"/>
      <c r="E14" s="757"/>
      <c r="F14" s="757"/>
      <c r="G14" s="29"/>
      <c r="H14" s="29"/>
      <c r="I14" s="29"/>
      <c r="J14" s="29"/>
      <c r="K14" s="758"/>
      <c r="L14" s="42"/>
      <c r="M14" s="42"/>
      <c r="N14" s="42"/>
    </row>
    <row r="15" spans="1:14" s="41" customFormat="1" ht="15">
      <c r="A15" s="51"/>
      <c r="B15" s="578" t="s">
        <v>202</v>
      </c>
      <c r="C15" s="41" t="s">
        <v>32</v>
      </c>
      <c r="D15" s="393"/>
      <c r="E15" s="757" t="s">
        <v>36</v>
      </c>
      <c r="F15" s="757"/>
      <c r="G15" s="28"/>
      <c r="H15" s="28"/>
      <c r="I15" s="29"/>
      <c r="J15" s="29"/>
      <c r="K15" s="758"/>
      <c r="L15" s="42"/>
      <c r="M15" s="42"/>
      <c r="N15" s="42"/>
    </row>
    <row r="16" spans="1:14" s="41" customFormat="1" ht="15">
      <c r="A16" s="51"/>
      <c r="B16" s="49" t="s">
        <v>304</v>
      </c>
      <c r="C16" s="602">
        <v>19</v>
      </c>
      <c r="D16" s="757" t="s">
        <v>29</v>
      </c>
      <c r="E16" s="757">
        <v>14.3</v>
      </c>
      <c r="F16" s="757" t="s">
        <v>30</v>
      </c>
      <c r="G16" s="28">
        <f>C16*E16</f>
        <v>271.7</v>
      </c>
      <c r="H16" s="28" t="s">
        <v>3</v>
      </c>
      <c r="I16" s="29"/>
      <c r="J16" s="29"/>
      <c r="K16" s="758"/>
      <c r="L16" s="42"/>
      <c r="M16" s="42"/>
      <c r="N16" s="42"/>
    </row>
    <row r="17" spans="1:14" s="41" customFormat="1" ht="15">
      <c r="A17" s="51"/>
      <c r="B17" s="52"/>
      <c r="C17" s="48"/>
      <c r="D17" s="29"/>
      <c r="E17" s="48"/>
      <c r="F17" s="48"/>
      <c r="G17" s="29"/>
      <c r="H17" s="29"/>
      <c r="I17" s="29"/>
      <c r="J17" s="29"/>
      <c r="K17" s="50"/>
      <c r="L17" s="42"/>
      <c r="M17" s="42"/>
      <c r="N17" s="42"/>
    </row>
    <row r="18" spans="1:14" s="41" customFormat="1" ht="15">
      <c r="A18" s="51"/>
      <c r="B18" s="25" t="s">
        <v>28</v>
      </c>
      <c r="C18" s="26">
        <f>G16</f>
        <v>271.7</v>
      </c>
      <c r="D18" s="27" t="s">
        <v>3</v>
      </c>
      <c r="E18" s="48"/>
      <c r="F18" s="48"/>
      <c r="G18" s="29"/>
      <c r="H18" s="29"/>
      <c r="I18" s="29"/>
      <c r="J18" s="29"/>
      <c r="K18" s="50"/>
      <c r="L18" s="42"/>
      <c r="M18" s="42"/>
      <c r="N18" s="42"/>
    </row>
    <row r="19" spans="1:14" s="41" customFormat="1" ht="15">
      <c r="A19" s="51"/>
      <c r="B19" s="49"/>
      <c r="C19" s="48"/>
      <c r="D19" s="29"/>
      <c r="E19" s="48"/>
      <c r="F19" s="48"/>
      <c r="G19" s="29"/>
      <c r="H19" s="29"/>
      <c r="I19" s="29"/>
      <c r="J19" s="29"/>
      <c r="K19" s="50"/>
      <c r="L19" s="42"/>
      <c r="M19" s="42"/>
      <c r="N19" s="42"/>
    </row>
    <row r="20" spans="1:14" s="41" customFormat="1" ht="15.75" thickBot="1">
      <c r="A20" s="192"/>
      <c r="B20" s="193"/>
      <c r="C20" s="194"/>
      <c r="D20" s="31"/>
      <c r="E20" s="194"/>
      <c r="F20" s="194"/>
      <c r="G20" s="31"/>
      <c r="H20" s="31"/>
      <c r="I20" s="31"/>
      <c r="J20" s="31"/>
      <c r="K20" s="195"/>
      <c r="L20" s="42"/>
      <c r="M20" s="42"/>
      <c r="N20" s="42"/>
    </row>
    <row r="21" spans="1:11" s="41" customFormat="1" ht="15">
      <c r="A21" s="196"/>
      <c r="B21" s="196"/>
      <c r="C21" s="197"/>
      <c r="D21" s="198"/>
      <c r="E21" s="197"/>
      <c r="F21" s="197"/>
      <c r="G21" s="198"/>
      <c r="H21" s="198"/>
      <c r="I21" s="29"/>
      <c r="J21" s="29"/>
      <c r="K21" s="199"/>
    </row>
    <row r="22" spans="1:11" ht="12.75">
      <c r="A22" s="4"/>
      <c r="B22" s="4"/>
      <c r="C22" s="2"/>
      <c r="D22" s="10"/>
      <c r="E22" s="2"/>
      <c r="F22" s="2"/>
      <c r="G22" s="10"/>
      <c r="H22" s="10"/>
      <c r="I22" s="7"/>
      <c r="J22" s="7"/>
      <c r="K22" s="3"/>
    </row>
    <row r="23" spans="1:11" ht="12.75">
      <c r="A23" s="4"/>
      <c r="B23" s="4"/>
      <c r="C23" s="2"/>
      <c r="D23" s="10"/>
      <c r="E23" s="2"/>
      <c r="F23" s="2"/>
      <c r="G23" s="10"/>
      <c r="H23" s="10"/>
      <c r="I23" s="7"/>
      <c r="J23" s="7"/>
      <c r="K23" s="3"/>
    </row>
    <row r="24" spans="1:11" ht="12.75">
      <c r="A24" s="4"/>
      <c r="B24" s="4"/>
      <c r="C24" s="2"/>
      <c r="D24" s="10"/>
      <c r="E24" s="2"/>
      <c r="F24" s="2"/>
      <c r="G24" s="10"/>
      <c r="H24" s="10"/>
      <c r="I24" s="7"/>
      <c r="J24" s="7"/>
      <c r="K24" s="3"/>
    </row>
    <row r="25" spans="1:11" ht="12.75">
      <c r="A25" s="4"/>
      <c r="B25" s="4"/>
      <c r="C25" s="2"/>
      <c r="D25" s="10"/>
      <c r="E25" s="2"/>
      <c r="F25" s="2"/>
      <c r="G25" s="10"/>
      <c r="H25" s="10"/>
      <c r="I25" s="7"/>
      <c r="J25" s="7"/>
      <c r="K25" s="3"/>
    </row>
    <row r="26" spans="1:11" ht="12.75">
      <c r="A26" s="4"/>
      <c r="B26" s="4"/>
      <c r="C26" s="2"/>
      <c r="D26" s="10"/>
      <c r="E26" s="2"/>
      <c r="F26" s="2"/>
      <c r="G26" s="10"/>
      <c r="H26" s="10"/>
      <c r="I26" s="7"/>
      <c r="J26" s="7"/>
      <c r="K26" s="3"/>
    </row>
    <row r="27" spans="1:11" ht="12.75">
      <c r="A27" s="4"/>
      <c r="B27" s="4"/>
      <c r="C27" s="2"/>
      <c r="D27" s="10"/>
      <c r="E27" s="2"/>
      <c r="F27" s="2"/>
      <c r="G27" s="10"/>
      <c r="H27" s="10"/>
      <c r="I27" s="7"/>
      <c r="J27" s="7"/>
      <c r="K27" s="3"/>
    </row>
    <row r="28" spans="1:11" ht="12.75">
      <c r="A28" s="4"/>
      <c r="B28" s="4"/>
      <c r="C28" s="2"/>
      <c r="D28" s="10"/>
      <c r="E28" s="2"/>
      <c r="F28" s="2"/>
      <c r="G28" s="10"/>
      <c r="H28" s="10"/>
      <c r="I28" s="7"/>
      <c r="J28" s="7"/>
      <c r="K28" s="3"/>
    </row>
    <row r="29" spans="1:11" ht="12.75">
      <c r="A29" s="4"/>
      <c r="B29" s="4"/>
      <c r="C29" s="2"/>
      <c r="D29" s="10"/>
      <c r="E29" s="2"/>
      <c r="F29" s="2"/>
      <c r="G29" s="10"/>
      <c r="H29" s="10"/>
      <c r="I29" s="7"/>
      <c r="J29" s="7"/>
      <c r="K29" s="3"/>
    </row>
    <row r="30" spans="1:11" ht="12.75">
      <c r="A30" s="4"/>
      <c r="B30" s="4"/>
      <c r="C30" s="2"/>
      <c r="D30" s="10"/>
      <c r="E30" s="2"/>
      <c r="F30" s="2"/>
      <c r="G30" s="10"/>
      <c r="H30" s="10"/>
      <c r="I30" s="7"/>
      <c r="J30" s="7"/>
      <c r="K30" s="3"/>
    </row>
    <row r="31" spans="1:11" ht="12.75">
      <c r="A31" s="4"/>
      <c r="B31" s="4"/>
      <c r="C31" s="2"/>
      <c r="D31" s="10"/>
      <c r="E31" s="2"/>
      <c r="F31" s="2"/>
      <c r="G31" s="10"/>
      <c r="H31" s="10"/>
      <c r="I31" s="7"/>
      <c r="J31" s="7"/>
      <c r="K31" s="3"/>
    </row>
    <row r="32" spans="1:11" ht="12.75">
      <c r="A32" s="4"/>
      <c r="B32" s="4"/>
      <c r="C32" s="2"/>
      <c r="D32" s="10"/>
      <c r="E32" s="2"/>
      <c r="F32" s="2"/>
      <c r="G32" s="10"/>
      <c r="H32" s="10"/>
      <c r="I32" s="7"/>
      <c r="J32" s="7"/>
      <c r="K32" s="3"/>
    </row>
    <row r="33" spans="1:11" ht="12.75">
      <c r="A33" s="4"/>
      <c r="B33" s="1234"/>
      <c r="C33" s="1234"/>
      <c r="D33" s="1234"/>
      <c r="E33" s="1234"/>
      <c r="F33" s="2"/>
      <c r="G33" s="10"/>
      <c r="H33" s="10"/>
      <c r="I33" s="10"/>
      <c r="J33" s="10"/>
      <c r="K33" s="3"/>
    </row>
    <row r="34" spans="1:11" ht="12.75">
      <c r="A34" s="4"/>
      <c r="B34" s="2"/>
      <c r="C34" s="2"/>
      <c r="D34" s="10"/>
      <c r="E34" s="2"/>
      <c r="F34" s="2"/>
      <c r="G34" s="10"/>
      <c r="H34" s="10"/>
      <c r="I34" s="10"/>
      <c r="J34" s="10"/>
      <c r="K34" s="3"/>
    </row>
    <row r="35" ht="12.75">
      <c r="K35" s="3"/>
    </row>
    <row r="36" ht="12.75">
      <c r="K36" s="7"/>
    </row>
    <row r="37" ht="12.75">
      <c r="K37" s="7"/>
    </row>
    <row r="38" ht="12.75">
      <c r="K38" s="10"/>
    </row>
    <row r="39" ht="12.75">
      <c r="K39" s="10"/>
    </row>
  </sheetData>
  <mergeCells count="20">
    <mergeCell ref="A4:B4"/>
    <mergeCell ref="C4:N4"/>
    <mergeCell ref="A5:B5"/>
    <mergeCell ref="C5:N5"/>
    <mergeCell ref="A6:B6"/>
    <mergeCell ref="C6:G6"/>
    <mergeCell ref="H6:I6"/>
    <mergeCell ref="J6:N6"/>
    <mergeCell ref="A1:N1"/>
    <mergeCell ref="A2:B2"/>
    <mergeCell ref="C2:N2"/>
    <mergeCell ref="A3:B3"/>
    <mergeCell ref="C3:G3"/>
    <mergeCell ref="J3:N3"/>
    <mergeCell ref="C7:G8"/>
    <mergeCell ref="H7:I8"/>
    <mergeCell ref="J7:N8"/>
    <mergeCell ref="A10:N10"/>
    <mergeCell ref="B33:E33"/>
    <mergeCell ref="A7:B8"/>
  </mergeCells>
  <printOptions/>
  <pageMargins left="0.7" right="0.7" top="0.75" bottom="0.75" header="0.3" footer="0.3"/>
  <pageSetup fitToHeight="0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view="pageBreakPreview" zoomScale="77" zoomScaleSheetLayoutView="77" workbookViewId="0" topLeftCell="A1">
      <selection activeCell="U21" sqref="U21"/>
    </sheetView>
  </sheetViews>
  <sheetFormatPr defaultColWidth="9.140625" defaultRowHeight="12.75"/>
  <cols>
    <col min="1" max="1" width="14.57421875" style="0" customWidth="1"/>
    <col min="2" max="2" width="28.57421875" style="0" customWidth="1"/>
    <col min="3" max="3" width="11.7109375" style="0" customWidth="1"/>
    <col min="4" max="4" width="2.28125" style="0" customWidth="1"/>
    <col min="5" max="5" width="12.421875" style="0" bestFit="1" customWidth="1"/>
    <col min="6" max="6" width="3.140625" style="0" customWidth="1"/>
    <col min="7" max="7" width="8.421875" style="0" customWidth="1"/>
    <col min="8" max="8" width="7.421875" style="0" customWidth="1"/>
    <col min="9" max="9" width="8.140625" style="0" customWidth="1"/>
    <col min="10" max="10" width="7.8515625" style="0" customWidth="1"/>
    <col min="11" max="11" width="11.7109375" style="0" customWidth="1"/>
    <col min="12" max="12" width="4.421875" style="0" customWidth="1"/>
    <col min="13" max="13" width="5.28125" style="0" customWidth="1"/>
    <col min="14" max="14" width="9.28125" style="0" customWidth="1"/>
    <col min="15" max="15" width="11.7109375" style="0" customWidth="1"/>
    <col min="16" max="16" width="5.421875" style="0" customWidth="1"/>
    <col min="17" max="17" width="20.421875" style="0" bestFit="1" customWidth="1"/>
    <col min="19" max="19" width="21.7109375" style="0" customWidth="1"/>
    <col min="21" max="21" width="11.7109375" style="0" bestFit="1" customWidth="1"/>
  </cols>
  <sheetData>
    <row r="1" spans="1:17" s="5" customFormat="1" ht="87" customHeight="1">
      <c r="A1" s="944" t="s">
        <v>174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</row>
    <row r="2" spans="1:17" s="54" customFormat="1" ht="18.75" customHeight="1">
      <c r="A2" s="932" t="s">
        <v>171</v>
      </c>
      <c r="B2" s="932"/>
      <c r="C2" s="946" t="str">
        <f>'ORÇAMENTO NÃO DESONERADO'!B2</f>
        <v>863064/2017</v>
      </c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8"/>
    </row>
    <row r="3" spans="1:17" s="54" customFormat="1" ht="20.25" customHeight="1">
      <c r="A3" s="927" t="s">
        <v>60</v>
      </c>
      <c r="B3" s="927"/>
      <c r="C3" s="924" t="str">
        <f>'ORÇAMENTO NÃO DESONERADO'!B3</f>
        <v>PREFEITURA MUNICIPAL DE OURÉM</v>
      </c>
      <c r="D3" s="924"/>
      <c r="E3" s="924"/>
      <c r="F3" s="924"/>
      <c r="G3" s="924"/>
      <c r="H3" s="924"/>
      <c r="I3" s="924"/>
      <c r="J3" s="924"/>
      <c r="K3" s="120" t="s">
        <v>116</v>
      </c>
      <c r="L3" s="120"/>
      <c r="M3" s="949" t="str">
        <f>'ORÇAMENTO NÃO DESONERADO'!F3</f>
        <v>OURÉM/PA</v>
      </c>
      <c r="N3" s="950"/>
      <c r="O3" s="950"/>
      <c r="P3" s="950"/>
      <c r="Q3" s="951"/>
    </row>
    <row r="4" spans="1:17" s="54" customFormat="1" ht="19.5" customHeight="1">
      <c r="A4" s="927" t="s">
        <v>61</v>
      </c>
      <c r="B4" s="927"/>
      <c r="C4" s="952" t="str">
        <f>'ORÇAMENTO NÃO DESONERADO'!B4</f>
        <v>CONSTRUÇÃO DE TERMINAL RODOVIÁRIO ETAPA-01</v>
      </c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  <c r="Q4" s="954"/>
    </row>
    <row r="5" spans="1:17" s="54" customFormat="1" ht="22.5" customHeight="1">
      <c r="A5" s="927" t="s">
        <v>62</v>
      </c>
      <c r="B5" s="927"/>
      <c r="C5" s="955" t="str">
        <f>'ORÇAMENTO NÃO DESONERADO'!B5</f>
        <v>RUA JOAQUIM DIONISIO COM RUA PERSEVERANDO S/N. PRAÇA DO TERMINAL OURÉM/PA</v>
      </c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7"/>
    </row>
    <row r="6" spans="1:17" s="54" customFormat="1" ht="15" customHeight="1">
      <c r="A6" s="927" t="s">
        <v>67</v>
      </c>
      <c r="B6" s="927"/>
      <c r="C6" s="976">
        <f>'ORÇAMENTO NÃO DESONERADO'!B6</f>
        <v>0.2212455334054051</v>
      </c>
      <c r="D6" s="977"/>
      <c r="E6" s="977"/>
      <c r="F6" s="977"/>
      <c r="G6" s="978"/>
      <c r="H6" s="976" t="e">
        <f>#REF!</f>
        <v>#REF!</v>
      </c>
      <c r="I6" s="977"/>
      <c r="J6" s="978"/>
      <c r="K6" s="958" t="s">
        <v>39</v>
      </c>
      <c r="L6" s="958"/>
      <c r="M6" s="959" t="str">
        <f>'ORÇAMENTO NÃO DESONERADO'!F7</f>
        <v>SINAPI ABRIL 2018 - NÃO DESONERADA</v>
      </c>
      <c r="N6" s="960"/>
      <c r="O6" s="960"/>
      <c r="P6" s="960"/>
      <c r="Q6" s="961"/>
    </row>
    <row r="7" spans="1:17" s="54" customFormat="1" ht="15" customHeight="1">
      <c r="A7" s="928" t="s">
        <v>117</v>
      </c>
      <c r="B7" s="928"/>
      <c r="C7" s="926" t="str">
        <f>'ORÇAMENTO NÃO DESONERADO'!B7</f>
        <v xml:space="preserve"> MARUZA BAPTISTA </v>
      </c>
      <c r="D7" s="926"/>
      <c r="E7" s="926"/>
      <c r="F7" s="926"/>
      <c r="G7" s="926"/>
      <c r="H7" s="926"/>
      <c r="I7" s="926"/>
      <c r="J7" s="926"/>
      <c r="K7" s="934"/>
      <c r="L7" s="934"/>
      <c r="M7" s="962"/>
      <c r="N7" s="963"/>
      <c r="O7" s="963"/>
      <c r="P7" s="963"/>
      <c r="Q7" s="964"/>
    </row>
    <row r="8" spans="1:17" s="54" customFormat="1" ht="33" customHeight="1">
      <c r="A8" s="928"/>
      <c r="B8" s="928"/>
      <c r="C8" s="926"/>
      <c r="D8" s="926"/>
      <c r="E8" s="926"/>
      <c r="F8" s="926"/>
      <c r="G8" s="926"/>
      <c r="H8" s="926"/>
      <c r="I8" s="926"/>
      <c r="J8" s="926"/>
      <c r="K8" s="921" t="s">
        <v>119</v>
      </c>
      <c r="L8" s="921"/>
      <c r="M8" s="965" t="str">
        <f>'ORÇAMENTO NÃO DESONERADO'!F8</f>
        <v>CAU:A 28510-2/PA</v>
      </c>
      <c r="N8" s="966"/>
      <c r="O8" s="966"/>
      <c r="P8" s="966"/>
      <c r="Q8" s="967"/>
    </row>
    <row r="9" spans="1:11" s="71" customFormat="1" ht="15.75" thickBot="1">
      <c r="A9" s="122"/>
      <c r="B9" s="123"/>
      <c r="C9" s="123"/>
      <c r="D9" s="124"/>
      <c r="E9" s="124"/>
      <c r="F9" s="125"/>
      <c r="G9" s="125"/>
      <c r="H9" s="125"/>
      <c r="I9" s="125"/>
      <c r="J9" s="126"/>
      <c r="K9" s="126"/>
    </row>
    <row r="10" spans="1:17" s="41" customFormat="1" ht="15.75" thickBot="1">
      <c r="A10" s="968" t="s">
        <v>13</v>
      </c>
      <c r="B10" s="970" t="s">
        <v>14</v>
      </c>
      <c r="C10" s="972" t="s">
        <v>15</v>
      </c>
      <c r="D10" s="972"/>
      <c r="E10" s="972" t="s">
        <v>16</v>
      </c>
      <c r="F10" s="972"/>
      <c r="G10" s="972" t="s">
        <v>17</v>
      </c>
      <c r="H10" s="972"/>
      <c r="I10" s="972" t="s">
        <v>18</v>
      </c>
      <c r="J10" s="972"/>
      <c r="K10" s="972" t="s">
        <v>168</v>
      </c>
      <c r="L10" s="972"/>
      <c r="M10" s="972" t="s">
        <v>169</v>
      </c>
      <c r="N10" s="972"/>
      <c r="O10" s="972" t="s">
        <v>170</v>
      </c>
      <c r="P10" s="973"/>
      <c r="Q10" s="974" t="s">
        <v>19</v>
      </c>
    </row>
    <row r="11" spans="1:17" s="41" customFormat="1" ht="15" thickBot="1">
      <c r="A11" s="969"/>
      <c r="B11" s="971"/>
      <c r="C11" s="241" t="s">
        <v>20</v>
      </c>
      <c r="D11" s="241" t="s">
        <v>20</v>
      </c>
      <c r="E11" s="241" t="s">
        <v>20</v>
      </c>
      <c r="F11" s="241" t="s">
        <v>20</v>
      </c>
      <c r="G11" s="241" t="s">
        <v>20</v>
      </c>
      <c r="H11" s="241" t="s">
        <v>20</v>
      </c>
      <c r="I11" s="241" t="s">
        <v>20</v>
      </c>
      <c r="J11" s="241" t="s">
        <v>20</v>
      </c>
      <c r="K11" s="241" t="s">
        <v>20</v>
      </c>
      <c r="L11" s="241" t="s">
        <v>20</v>
      </c>
      <c r="M11" s="241" t="s">
        <v>20</v>
      </c>
      <c r="N11" s="241" t="s">
        <v>20</v>
      </c>
      <c r="O11" s="241" t="s">
        <v>20</v>
      </c>
      <c r="P11" s="860" t="s">
        <v>20</v>
      </c>
      <c r="Q11" s="975"/>
    </row>
    <row r="12" spans="1:19" s="41" customFormat="1" ht="14.25">
      <c r="A12" s="979">
        <f>'ORÇAMENTO NÃO DESONERADO'!A11</f>
        <v>1</v>
      </c>
      <c r="B12" s="982" t="str">
        <f>'ORÇAMENTO NÃO DESONERADO'!C11</f>
        <v>ADMINISTRAÇÃO LOCAL</v>
      </c>
      <c r="C12" s="984">
        <f>1/7</f>
        <v>0.14285714285714285</v>
      </c>
      <c r="D12" s="984"/>
      <c r="E12" s="984">
        <f aca="true" t="shared" si="0" ref="E12">1/7</f>
        <v>0.14285714285714285</v>
      </c>
      <c r="F12" s="984"/>
      <c r="G12" s="984">
        <f aca="true" t="shared" si="1" ref="G12">1/7</f>
        <v>0.14285714285714285</v>
      </c>
      <c r="H12" s="984"/>
      <c r="I12" s="984">
        <f aca="true" t="shared" si="2" ref="I12">1/7</f>
        <v>0.14285714285714285</v>
      </c>
      <c r="J12" s="984"/>
      <c r="K12" s="984">
        <f aca="true" t="shared" si="3" ref="K12">1/7</f>
        <v>0.14285714285714285</v>
      </c>
      <c r="L12" s="984"/>
      <c r="M12" s="984">
        <f aca="true" t="shared" si="4" ref="M12">1/7</f>
        <v>0.14285714285714285</v>
      </c>
      <c r="N12" s="984"/>
      <c r="O12" s="984">
        <f aca="true" t="shared" si="5" ref="O12">1/7</f>
        <v>0.14285714285714285</v>
      </c>
      <c r="P12" s="984"/>
      <c r="Q12" s="985">
        <f>'ORÇAMENTO NÃO DESONERADO'!H14</f>
        <v>21374.5</v>
      </c>
      <c r="S12" s="556">
        <f>SUM(C12:P12)</f>
        <v>0.9999999999999998</v>
      </c>
    </row>
    <row r="13" spans="1:21" s="41" customFormat="1" ht="14.25">
      <c r="A13" s="980"/>
      <c r="B13" s="983"/>
      <c r="C13" s="242"/>
      <c r="D13" s="243"/>
      <c r="E13" s="242"/>
      <c r="F13" s="243"/>
      <c r="G13" s="244"/>
      <c r="H13" s="245"/>
      <c r="I13" s="244"/>
      <c r="J13" s="246"/>
      <c r="K13" s="244"/>
      <c r="L13" s="246"/>
      <c r="M13" s="244"/>
      <c r="N13" s="246"/>
      <c r="O13" s="244"/>
      <c r="P13" s="861"/>
      <c r="Q13" s="986"/>
      <c r="S13" s="556">
        <f aca="true" t="shared" si="6" ref="S13:S30">SUM(C13:P13)</f>
        <v>0</v>
      </c>
      <c r="U13" s="41">
        <f>Q12/7</f>
        <v>3053.5</v>
      </c>
    </row>
    <row r="14" spans="1:19" s="41" customFormat="1" ht="14.25">
      <c r="A14" s="981"/>
      <c r="B14" s="983"/>
      <c r="C14" s="987">
        <f>$Q$12*C12</f>
        <v>3053.5</v>
      </c>
      <c r="D14" s="987"/>
      <c r="E14" s="987">
        <f aca="true" t="shared" si="7" ref="E14">$Q$12*E12</f>
        <v>3053.5</v>
      </c>
      <c r="F14" s="987"/>
      <c r="G14" s="987">
        <f aca="true" t="shared" si="8" ref="G14">$Q$12*G12</f>
        <v>3053.5</v>
      </c>
      <c r="H14" s="987"/>
      <c r="I14" s="987">
        <f aca="true" t="shared" si="9" ref="I14">$Q$12*I12</f>
        <v>3053.5</v>
      </c>
      <c r="J14" s="987"/>
      <c r="K14" s="987">
        <f aca="true" t="shared" si="10" ref="K14">$Q$12*K12</f>
        <v>3053.5</v>
      </c>
      <c r="L14" s="987"/>
      <c r="M14" s="987">
        <f aca="true" t="shared" si="11" ref="M14">$Q$12*M12</f>
        <v>3053.5</v>
      </c>
      <c r="N14" s="987"/>
      <c r="O14" s="987">
        <f aca="true" t="shared" si="12" ref="O14">$Q$12*O12</f>
        <v>3053.5</v>
      </c>
      <c r="P14" s="987"/>
      <c r="Q14" s="986"/>
      <c r="S14" s="556">
        <f t="shared" si="6"/>
        <v>21374.5</v>
      </c>
    </row>
    <row r="15" spans="1:19" s="41" customFormat="1" ht="14.25">
      <c r="A15" s="995">
        <f>'ORÇAMENTO NÃO DESONERADO'!A16</f>
        <v>2</v>
      </c>
      <c r="B15" s="1006" t="str">
        <f>'ORÇAMENTO NÃO DESONERADO'!C16</f>
        <v xml:space="preserve">SERVIÇOS PRELIMINARES </v>
      </c>
      <c r="C15" s="988">
        <v>1</v>
      </c>
      <c r="D15" s="988"/>
      <c r="E15" s="988"/>
      <c r="F15" s="988"/>
      <c r="G15" s="988"/>
      <c r="H15" s="988"/>
      <c r="I15" s="988"/>
      <c r="J15" s="988"/>
      <c r="K15" s="988"/>
      <c r="L15" s="988"/>
      <c r="M15" s="988"/>
      <c r="N15" s="988"/>
      <c r="O15" s="988"/>
      <c r="P15" s="989"/>
      <c r="Q15" s="990">
        <f>'ORÇAMENTO NÃO DESONERADO'!H20</f>
        <v>12892.369999999999</v>
      </c>
      <c r="S15" s="556">
        <f t="shared" si="6"/>
        <v>1</v>
      </c>
    </row>
    <row r="16" spans="1:21" s="41" customFormat="1" ht="14.25">
      <c r="A16" s="995"/>
      <c r="B16" s="1007"/>
      <c r="C16" s="242"/>
      <c r="D16" s="243"/>
      <c r="E16" s="247"/>
      <c r="F16" s="248"/>
      <c r="G16" s="247"/>
      <c r="H16" s="248"/>
      <c r="I16" s="247"/>
      <c r="J16" s="248"/>
      <c r="K16" s="247"/>
      <c r="L16" s="248"/>
      <c r="M16" s="247"/>
      <c r="N16" s="248"/>
      <c r="O16" s="247"/>
      <c r="P16" s="525"/>
      <c r="Q16" s="991"/>
      <c r="S16" s="556">
        <f t="shared" si="6"/>
        <v>0</v>
      </c>
      <c r="U16" s="41">
        <v>14.285714285714286</v>
      </c>
    </row>
    <row r="17" spans="1:19" s="41" customFormat="1" ht="14.25">
      <c r="A17" s="995"/>
      <c r="B17" s="1008"/>
      <c r="C17" s="992">
        <f>Q15*C15</f>
        <v>12892.369999999999</v>
      </c>
      <c r="D17" s="992"/>
      <c r="E17" s="993"/>
      <c r="F17" s="993"/>
      <c r="G17" s="993"/>
      <c r="H17" s="993"/>
      <c r="I17" s="993"/>
      <c r="J17" s="993"/>
      <c r="K17" s="993"/>
      <c r="L17" s="993"/>
      <c r="M17" s="993"/>
      <c r="N17" s="993"/>
      <c r="O17" s="993"/>
      <c r="P17" s="994"/>
      <c r="Q17" s="986"/>
      <c r="S17" s="556">
        <f t="shared" si="6"/>
        <v>12892.369999999999</v>
      </c>
    </row>
    <row r="18" spans="1:19" s="41" customFormat="1" ht="14.25">
      <c r="A18" s="995">
        <f>'ORÇAMENTO NÃO DESONERADO'!A22</f>
        <v>3</v>
      </c>
      <c r="B18" s="996" t="str">
        <f>'ORÇAMENTO NÃO DESONERADO'!C22</f>
        <v xml:space="preserve">PAVIMENTAÇÃO EXTERNA </v>
      </c>
      <c r="C18" s="997"/>
      <c r="D18" s="998"/>
      <c r="E18" s="999">
        <v>0.2</v>
      </c>
      <c r="F18" s="1000"/>
      <c r="G18" s="1001">
        <v>0.5</v>
      </c>
      <c r="H18" s="1002"/>
      <c r="I18" s="1001">
        <v>0.3</v>
      </c>
      <c r="J18" s="1002"/>
      <c r="K18" s="1003"/>
      <c r="L18" s="1004"/>
      <c r="M18" s="1004"/>
      <c r="N18" s="1004"/>
      <c r="O18" s="1004"/>
      <c r="P18" s="1005"/>
      <c r="Q18" s="1015">
        <f>'ORÇAMENTO NÃO DESONERADO'!H26</f>
        <v>8979.35</v>
      </c>
      <c r="S18" s="556">
        <f t="shared" si="6"/>
        <v>1</v>
      </c>
    </row>
    <row r="19" spans="1:19" s="41" customFormat="1" ht="14.25">
      <c r="A19" s="995"/>
      <c r="B19" s="996"/>
      <c r="C19" s="558"/>
      <c r="D19" s="559"/>
      <c r="E19" s="1016"/>
      <c r="F19" s="1017"/>
      <c r="G19" s="526"/>
      <c r="H19" s="527"/>
      <c r="I19" s="526"/>
      <c r="J19" s="527"/>
      <c r="K19" s="525"/>
      <c r="L19" s="248"/>
      <c r="M19" s="247"/>
      <c r="N19" s="248"/>
      <c r="O19" s="247"/>
      <c r="P19" s="525"/>
      <c r="Q19" s="1015"/>
      <c r="S19" s="556">
        <f t="shared" si="6"/>
        <v>0</v>
      </c>
    </row>
    <row r="20" spans="1:19" s="41" customFormat="1" ht="14.25">
      <c r="A20" s="995"/>
      <c r="B20" s="996"/>
      <c r="C20" s="1018"/>
      <c r="D20" s="1019"/>
      <c r="E20" s="1020">
        <f>E18*Q18</f>
        <v>1795.8700000000001</v>
      </c>
      <c r="F20" s="1021"/>
      <c r="G20" s="1022">
        <f>G18*Q18</f>
        <v>4489.675</v>
      </c>
      <c r="H20" s="1023"/>
      <c r="I20" s="1022">
        <f>I18*Q18</f>
        <v>2693.805</v>
      </c>
      <c r="J20" s="1023"/>
      <c r="K20" s="1024"/>
      <c r="L20" s="1025"/>
      <c r="M20" s="993"/>
      <c r="N20" s="993"/>
      <c r="O20" s="993"/>
      <c r="P20" s="994"/>
      <c r="Q20" s="1015"/>
      <c r="S20" s="556">
        <f t="shared" si="6"/>
        <v>8979.35</v>
      </c>
    </row>
    <row r="21" spans="1:19" s="41" customFormat="1" ht="14.25">
      <c r="A21" s="995">
        <f>'ORÇAMENTO NÃO DESONERADO'!A28</f>
        <v>4</v>
      </c>
      <c r="B21" s="1009" t="str">
        <f>'ORÇAMENTO NÃO DESONERADO'!C28</f>
        <v xml:space="preserve">URBANIZAÇÃO </v>
      </c>
      <c r="C21" s="1004"/>
      <c r="D21" s="1004"/>
      <c r="E21" s="1010"/>
      <c r="F21" s="1011"/>
      <c r="G21" s="1012">
        <v>0.5</v>
      </c>
      <c r="H21" s="1013"/>
      <c r="I21" s="1012">
        <v>0.5</v>
      </c>
      <c r="J21" s="1014"/>
      <c r="K21" s="528"/>
      <c r="L21" s="529"/>
      <c r="M21" s="1014"/>
      <c r="N21" s="1013"/>
      <c r="O21" s="1004"/>
      <c r="P21" s="1005"/>
      <c r="Q21" s="1015">
        <f>'ORÇAMENTO NÃO DESONERADO'!H70</f>
        <v>22165.34</v>
      </c>
      <c r="S21" s="556">
        <f t="shared" si="6"/>
        <v>1</v>
      </c>
    </row>
    <row r="22" spans="1:19" s="41" customFormat="1" ht="14.25">
      <c r="A22" s="995"/>
      <c r="B22" s="1009"/>
      <c r="C22" s="247"/>
      <c r="D22" s="248"/>
      <c r="E22" s="247"/>
      <c r="F22" s="248"/>
      <c r="G22" s="242"/>
      <c r="H22" s="243"/>
      <c r="I22" s="242"/>
      <c r="J22" s="524"/>
      <c r="K22" s="530"/>
      <c r="L22" s="531"/>
      <c r="M22" s="525"/>
      <c r="N22" s="248"/>
      <c r="O22" s="247"/>
      <c r="P22" s="525"/>
      <c r="Q22" s="1015"/>
      <c r="S22" s="556">
        <f t="shared" si="6"/>
        <v>0</v>
      </c>
    </row>
    <row r="23" spans="1:19" s="41" customFormat="1" ht="14.25">
      <c r="A23" s="995"/>
      <c r="B23" s="1009"/>
      <c r="C23" s="993"/>
      <c r="D23" s="993"/>
      <c r="E23" s="1026"/>
      <c r="F23" s="1024"/>
      <c r="G23" s="1027">
        <f>G21*Q21</f>
        <v>11082.67</v>
      </c>
      <c r="H23" s="1028"/>
      <c r="I23" s="1027">
        <f>I21*Q21</f>
        <v>11082.67</v>
      </c>
      <c r="J23" s="1029"/>
      <c r="K23" s="532"/>
      <c r="L23" s="533"/>
      <c r="M23" s="1030"/>
      <c r="N23" s="1031"/>
      <c r="O23" s="993"/>
      <c r="P23" s="994"/>
      <c r="Q23" s="1015"/>
      <c r="S23" s="556">
        <f t="shared" si="6"/>
        <v>22165.34</v>
      </c>
    </row>
    <row r="24" spans="1:19" s="41" customFormat="1" ht="14.25">
      <c r="A24" s="995" t="str">
        <f>'ORÇAMENTO NÃO DESONERADO'!A71</f>
        <v>5</v>
      </c>
      <c r="B24" s="1040" t="str">
        <f>'ORÇAMENTO NÃO DESONERADO'!C71</f>
        <v>TERMINAL RODOVIARIO</v>
      </c>
      <c r="C24" s="1004"/>
      <c r="D24" s="1005"/>
      <c r="E24" s="1032">
        <v>0.15</v>
      </c>
      <c r="F24" s="1033"/>
      <c r="G24" s="1032">
        <v>0.15</v>
      </c>
      <c r="H24" s="1033"/>
      <c r="I24" s="1032">
        <v>0.15</v>
      </c>
      <c r="J24" s="1033"/>
      <c r="K24" s="1032">
        <v>0.15</v>
      </c>
      <c r="L24" s="1033"/>
      <c r="M24" s="1034">
        <v>0.3</v>
      </c>
      <c r="N24" s="1013"/>
      <c r="O24" s="1035">
        <v>0.1</v>
      </c>
      <c r="P24" s="1036"/>
      <c r="Q24" s="1015">
        <f>'ORÇAMENTO NÃO DESONERADO'!H213</f>
        <v>257754.17</v>
      </c>
      <c r="S24" s="556">
        <f t="shared" si="6"/>
        <v>0.9999999999999999</v>
      </c>
    </row>
    <row r="25" spans="1:19" s="41" customFormat="1" ht="14.25">
      <c r="A25" s="995"/>
      <c r="B25" s="1040"/>
      <c r="C25" s="247"/>
      <c r="D25" s="525"/>
      <c r="E25" s="534"/>
      <c r="F25" s="535"/>
      <c r="G25" s="534"/>
      <c r="H25" s="535"/>
      <c r="I25" s="534"/>
      <c r="J25" s="535"/>
      <c r="K25" s="534"/>
      <c r="L25" s="535"/>
      <c r="M25" s="524"/>
      <c r="N25" s="243"/>
      <c r="O25" s="242"/>
      <c r="P25" s="524"/>
      <c r="Q25" s="1015"/>
      <c r="S25" s="556">
        <f t="shared" si="6"/>
        <v>0</v>
      </c>
    </row>
    <row r="26" spans="1:19" s="41" customFormat="1" ht="14.25">
      <c r="A26" s="995"/>
      <c r="B26" s="1040"/>
      <c r="C26" s="993"/>
      <c r="D26" s="994"/>
      <c r="E26" s="1037">
        <f>E24*$Q$24</f>
        <v>38663.1255</v>
      </c>
      <c r="F26" s="1038"/>
      <c r="G26" s="1037">
        <f>G24*$Q$24</f>
        <v>38663.1255</v>
      </c>
      <c r="H26" s="1038"/>
      <c r="I26" s="1037">
        <f>I24*$Q$24</f>
        <v>38663.1255</v>
      </c>
      <c r="J26" s="1038"/>
      <c r="K26" s="1037">
        <f>K24*$Q$24</f>
        <v>38663.1255</v>
      </c>
      <c r="L26" s="1038"/>
      <c r="M26" s="1037">
        <f aca="true" t="shared" si="13" ref="M26">M24*$Q$24</f>
        <v>77326.251</v>
      </c>
      <c r="N26" s="1038"/>
      <c r="O26" s="1037">
        <f aca="true" t="shared" si="14" ref="O26">O24*$Q$24</f>
        <v>25775.417</v>
      </c>
      <c r="P26" s="1039"/>
      <c r="Q26" s="1015"/>
      <c r="S26" s="556">
        <f t="shared" si="6"/>
        <v>257754.17000000004</v>
      </c>
    </row>
    <row r="27" spans="1:19" s="41" customFormat="1" ht="14.25">
      <c r="A27" s="995">
        <f>'ORÇAMENTO NÃO DESONERADO'!A215</f>
        <v>6</v>
      </c>
      <c r="B27" s="1040" t="str">
        <f>'ORÇAMENTO NÃO DESONERADO'!C215</f>
        <v>SERVIÇOS DIVERSOS</v>
      </c>
      <c r="C27" s="1004"/>
      <c r="D27" s="1004"/>
      <c r="E27" s="1004"/>
      <c r="F27" s="1004"/>
      <c r="G27" s="1004"/>
      <c r="H27" s="1004"/>
      <c r="I27" s="1004"/>
      <c r="J27" s="1004"/>
      <c r="K27" s="1004"/>
      <c r="L27" s="1004"/>
      <c r="M27" s="1004"/>
      <c r="N27" s="1005"/>
      <c r="O27" s="1035">
        <v>1</v>
      </c>
      <c r="P27" s="1036"/>
      <c r="Q27" s="1015">
        <f>'ORÇAMENTO NÃO DESONERADO'!H217</f>
        <v>752.61</v>
      </c>
      <c r="S27" s="556">
        <f t="shared" si="6"/>
        <v>1</v>
      </c>
    </row>
    <row r="28" spans="1:19" s="41" customFormat="1" ht="14.25">
      <c r="A28" s="995"/>
      <c r="B28" s="1040"/>
      <c r="C28" s="247"/>
      <c r="D28" s="248"/>
      <c r="E28" s="247"/>
      <c r="F28" s="248"/>
      <c r="G28" s="247"/>
      <c r="H28" s="248"/>
      <c r="I28" s="247"/>
      <c r="J28" s="248"/>
      <c r="K28" s="247"/>
      <c r="L28" s="248"/>
      <c r="M28" s="247"/>
      <c r="N28" s="525"/>
      <c r="O28" s="242"/>
      <c r="P28" s="524"/>
      <c r="Q28" s="1015"/>
      <c r="S28" s="556">
        <f t="shared" si="6"/>
        <v>0</v>
      </c>
    </row>
    <row r="29" spans="1:19" s="41" customFormat="1" ht="15" thickBot="1">
      <c r="A29" s="995"/>
      <c r="B29" s="1040"/>
      <c r="C29" s="993"/>
      <c r="D29" s="993"/>
      <c r="E29" s="993"/>
      <c r="F29" s="993"/>
      <c r="G29" s="993"/>
      <c r="H29" s="993"/>
      <c r="I29" s="993"/>
      <c r="J29" s="993"/>
      <c r="K29" s="993"/>
      <c r="L29" s="993"/>
      <c r="M29" s="993"/>
      <c r="N29" s="994"/>
      <c r="O29" s="1037">
        <f>O27*$Q$27</f>
        <v>752.61</v>
      </c>
      <c r="P29" s="1039"/>
      <c r="Q29" s="1015"/>
      <c r="S29" s="556">
        <f t="shared" si="6"/>
        <v>752.61</v>
      </c>
    </row>
    <row r="30" spans="1:19" s="41" customFormat="1" ht="15.75" thickBot="1">
      <c r="A30" s="1041"/>
      <c r="B30" s="249" t="s">
        <v>25</v>
      </c>
      <c r="C30" s="250"/>
      <c r="D30" s="251"/>
      <c r="E30" s="250"/>
      <c r="F30" s="251"/>
      <c r="G30" s="250"/>
      <c r="H30" s="251"/>
      <c r="I30" s="252"/>
      <c r="J30" s="252"/>
      <c r="K30" s="252"/>
      <c r="L30" s="252"/>
      <c r="M30" s="252"/>
      <c r="N30" s="252"/>
      <c r="O30" s="252"/>
      <c r="P30" s="252"/>
      <c r="Q30" s="862">
        <f>SUM(Q12:Q29)</f>
        <v>323918.33999999997</v>
      </c>
      <c r="S30" s="556">
        <f t="shared" si="6"/>
        <v>0</v>
      </c>
    </row>
    <row r="31" spans="1:19" s="41" customFormat="1" ht="15" thickBot="1">
      <c r="A31" s="1042"/>
      <c r="B31" s="253"/>
      <c r="C31" s="1043"/>
      <c r="D31" s="1043"/>
      <c r="E31" s="1043"/>
      <c r="F31" s="1043"/>
      <c r="G31" s="1043"/>
      <c r="H31" s="1043"/>
      <c r="I31" s="254"/>
      <c r="J31" s="254"/>
      <c r="K31" s="254"/>
      <c r="L31" s="254"/>
      <c r="M31" s="254"/>
      <c r="N31" s="254"/>
      <c r="O31" s="254"/>
      <c r="P31" s="254"/>
      <c r="Q31" s="255"/>
      <c r="S31" s="556"/>
    </row>
    <row r="32" spans="1:19" s="41" customFormat="1" ht="15.75" thickBot="1">
      <c r="A32" s="536"/>
      <c r="B32" s="256" t="s">
        <v>21</v>
      </c>
      <c r="C32" s="1044">
        <f>C14+C17+C20+C23+C26+C29</f>
        <v>15945.869999999999</v>
      </c>
      <c r="D32" s="1044"/>
      <c r="E32" s="1044">
        <f aca="true" t="shared" si="15" ref="E32">E14+E17+E20+E23+E26+E29</f>
        <v>43512.495500000005</v>
      </c>
      <c r="F32" s="1044"/>
      <c r="G32" s="1044">
        <f aca="true" t="shared" si="16" ref="G32">G14+G17+G20+G23+G26+G29</f>
        <v>57288.9705</v>
      </c>
      <c r="H32" s="1044"/>
      <c r="I32" s="1044">
        <f aca="true" t="shared" si="17" ref="I32">I14+I17+I20+I23+I26+I29</f>
        <v>55493.1005</v>
      </c>
      <c r="J32" s="1044"/>
      <c r="K32" s="1044">
        <f aca="true" t="shared" si="18" ref="K32">K14+K17+K20+K23+K26+K29</f>
        <v>41716.6255</v>
      </c>
      <c r="L32" s="1044"/>
      <c r="M32" s="1044">
        <f aca="true" t="shared" si="19" ref="M32">M14+M17+M20+M23+M26+M29</f>
        <v>80379.751</v>
      </c>
      <c r="N32" s="1044"/>
      <c r="O32" s="1044">
        <f aca="true" t="shared" si="20" ref="O32">O14+O17+O20+O23+O26+O29</f>
        <v>29581.527000000002</v>
      </c>
      <c r="P32" s="1044"/>
      <c r="Q32" s="257">
        <f>SUM(C32:P32)</f>
        <v>323918.34</v>
      </c>
      <c r="S32" s="556"/>
    </row>
    <row r="33" spans="1:19" s="41" customFormat="1" ht="15">
      <c r="A33" s="258"/>
      <c r="B33" s="259" t="s">
        <v>22</v>
      </c>
      <c r="C33" s="1045">
        <f>C32/$Q$32</f>
        <v>0.04922805544138068</v>
      </c>
      <c r="D33" s="1045"/>
      <c r="E33" s="1045">
        <f>E32/$Q$32</f>
        <v>0.1343316821764399</v>
      </c>
      <c r="F33" s="1045"/>
      <c r="G33" s="1045">
        <f>G32/$Q$32</f>
        <v>0.17686238605693028</v>
      </c>
      <c r="H33" s="1045"/>
      <c r="I33" s="1045">
        <f>I32/$Q$32</f>
        <v>0.1713181800697052</v>
      </c>
      <c r="J33" s="1045"/>
      <c r="K33" s="1045">
        <f>K32/$Q$32</f>
        <v>0.12878747618921485</v>
      </c>
      <c r="L33" s="1045"/>
      <c r="M33" s="1045">
        <f>M32/$Q$32</f>
        <v>0.2481481937700718</v>
      </c>
      <c r="N33" s="1045"/>
      <c r="O33" s="1045">
        <f>O32/$Q$32</f>
        <v>0.09132402629625726</v>
      </c>
      <c r="P33" s="1045"/>
      <c r="S33" s="556"/>
    </row>
    <row r="34" spans="1:19" s="41" customFormat="1" ht="15">
      <c r="A34" s="537"/>
      <c r="B34" s="260" t="s">
        <v>23</v>
      </c>
      <c r="C34" s="1046">
        <f>C32</f>
        <v>15945.869999999999</v>
      </c>
      <c r="D34" s="1046"/>
      <c r="E34" s="1046">
        <f>SUM(C32:F32)</f>
        <v>59458.3655</v>
      </c>
      <c r="F34" s="1046"/>
      <c r="G34" s="1046">
        <f>SUM(C32:H32)</f>
        <v>116747.33600000001</v>
      </c>
      <c r="H34" s="1046"/>
      <c r="I34" s="1046">
        <f>SUM(C32:J32)</f>
        <v>172240.4365</v>
      </c>
      <c r="J34" s="1046"/>
      <c r="K34" s="1046">
        <f>SUM(C32:L32)</f>
        <v>213957.062</v>
      </c>
      <c r="L34" s="1046"/>
      <c r="M34" s="1046">
        <f>SUM(C32:N32)</f>
        <v>294336.813</v>
      </c>
      <c r="N34" s="1046"/>
      <c r="O34" s="1046">
        <f>SUM(C32:P32)</f>
        <v>323918.34</v>
      </c>
      <c r="P34" s="1046"/>
      <c r="S34" s="556"/>
    </row>
    <row r="35" spans="1:19" s="41" customFormat="1" ht="15.75" thickBot="1">
      <c r="A35" s="261"/>
      <c r="B35" s="262" t="s">
        <v>24</v>
      </c>
      <c r="C35" s="1047">
        <f>C33</f>
        <v>0.04922805544138068</v>
      </c>
      <c r="D35" s="1047"/>
      <c r="E35" s="1047">
        <f>SUM(C33:F33)</f>
        <v>0.18355973761782057</v>
      </c>
      <c r="F35" s="1047"/>
      <c r="G35" s="1047">
        <f>SUM(C33:H33)</f>
        <v>0.36042212367475085</v>
      </c>
      <c r="H35" s="1047"/>
      <c r="I35" s="1047">
        <f>SUM(C33:J33)</f>
        <v>0.531740303744456</v>
      </c>
      <c r="J35" s="1047"/>
      <c r="K35" s="1047">
        <f>SUM(C33:L33)</f>
        <v>0.6605277799336708</v>
      </c>
      <c r="L35" s="1047"/>
      <c r="M35" s="1047">
        <f>SUM(C33:N33)</f>
        <v>0.9086759737037426</v>
      </c>
      <c r="N35" s="1047"/>
      <c r="O35" s="1047">
        <f>SUM(C33:P33)</f>
        <v>0.9999999999999999</v>
      </c>
      <c r="P35" s="1047"/>
      <c r="S35" s="556"/>
    </row>
    <row r="36" s="41" customFormat="1" ht="14.25">
      <c r="S36" s="556"/>
    </row>
    <row r="37" s="41" customFormat="1" ht="14.25"/>
    <row r="38" s="41" customFormat="1" ht="14.25"/>
    <row r="39" s="41" customFormat="1" ht="14.25"/>
    <row r="40" s="41" customFormat="1" ht="14.25">
      <c r="S40" s="41">
        <f>'ORÇAMENTO NÃO DESONERADO'!H219</f>
        <v>323918.33999999997</v>
      </c>
    </row>
    <row r="41" s="41" customFormat="1" ht="14.25"/>
    <row r="42" spans="3:16" s="41" customFormat="1" ht="15">
      <c r="C42" s="24"/>
      <c r="D42" s="1048"/>
      <c r="E42" s="1048"/>
      <c r="F42" s="1048"/>
      <c r="G42" s="1048"/>
      <c r="H42" s="1048"/>
      <c r="I42" s="1048"/>
      <c r="J42" s="1048"/>
      <c r="K42" s="153"/>
      <c r="L42" s="153"/>
      <c r="M42" s="153"/>
      <c r="N42" s="153"/>
      <c r="O42" s="153"/>
      <c r="P42" s="153"/>
    </row>
    <row r="43" spans="3:16" s="41" customFormat="1" ht="15">
      <c r="C43" s="24"/>
      <c r="D43" s="1048"/>
      <c r="E43" s="1048"/>
      <c r="F43" s="1048"/>
      <c r="G43" s="1048"/>
      <c r="H43" s="1048"/>
      <c r="I43" s="1048"/>
      <c r="J43" s="1048"/>
      <c r="K43" s="153"/>
      <c r="L43" s="153"/>
      <c r="M43" s="153"/>
      <c r="N43" s="153"/>
      <c r="O43" s="153"/>
      <c r="P43" s="153"/>
    </row>
    <row r="44" spans="3:16" s="41" customFormat="1" ht="15">
      <c r="C44" s="24"/>
      <c r="D44" s="1048"/>
      <c r="E44" s="1048"/>
      <c r="F44" s="1048"/>
      <c r="G44" s="1048"/>
      <c r="H44" s="1048"/>
      <c r="I44" s="1048"/>
      <c r="J44" s="1048"/>
      <c r="K44" s="153"/>
      <c r="L44" s="153"/>
      <c r="M44" s="153"/>
      <c r="N44" s="153"/>
      <c r="O44" s="153"/>
      <c r="P44" s="153"/>
    </row>
    <row r="45" spans="3:16" ht="12.7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</sheetData>
  <mergeCells count="165">
    <mergeCell ref="O34:P34"/>
    <mergeCell ref="O33:P33"/>
    <mergeCell ref="O35:P35"/>
    <mergeCell ref="M33:N33"/>
    <mergeCell ref="M34:N34"/>
    <mergeCell ref="A1:Q1"/>
    <mergeCell ref="C2:Q2"/>
    <mergeCell ref="M3:Q3"/>
    <mergeCell ref="C4:Q4"/>
    <mergeCell ref="C5:Q5"/>
    <mergeCell ref="M6:Q7"/>
    <mergeCell ref="M8:Q8"/>
    <mergeCell ref="K24:L24"/>
    <mergeCell ref="K26:L26"/>
    <mergeCell ref="O10:P10"/>
    <mergeCell ref="O12:P12"/>
    <mergeCell ref="O15:P15"/>
    <mergeCell ref="O17:P17"/>
    <mergeCell ref="M15:N15"/>
    <mergeCell ref="M17:N17"/>
    <mergeCell ref="M18:N18"/>
    <mergeCell ref="M20:N20"/>
    <mergeCell ref="O18:P18"/>
    <mergeCell ref="K20:L20"/>
    <mergeCell ref="D44:J44"/>
    <mergeCell ref="G15:H15"/>
    <mergeCell ref="G17:H17"/>
    <mergeCell ref="I15:J15"/>
    <mergeCell ref="I17:J17"/>
    <mergeCell ref="C15:D15"/>
    <mergeCell ref="C17:D17"/>
    <mergeCell ref="E17:F17"/>
    <mergeCell ref="Q15:Q17"/>
    <mergeCell ref="K15:L15"/>
    <mergeCell ref="I23:J23"/>
    <mergeCell ref="K32:L32"/>
    <mergeCell ref="K33:L33"/>
    <mergeCell ref="M27:N27"/>
    <mergeCell ref="O20:P20"/>
    <mergeCell ref="O21:P21"/>
    <mergeCell ref="O23:P23"/>
    <mergeCell ref="O26:P26"/>
    <mergeCell ref="O27:P27"/>
    <mergeCell ref="O29:P29"/>
    <mergeCell ref="K34:L34"/>
    <mergeCell ref="K35:L35"/>
    <mergeCell ref="M35:N35"/>
    <mergeCell ref="O32:P32"/>
    <mergeCell ref="E15:F15"/>
    <mergeCell ref="A15:A17"/>
    <mergeCell ref="B15:B17"/>
    <mergeCell ref="G12:H12"/>
    <mergeCell ref="I12:J12"/>
    <mergeCell ref="I14:J14"/>
    <mergeCell ref="K17:L17"/>
    <mergeCell ref="D42:J42"/>
    <mergeCell ref="D43:J43"/>
    <mergeCell ref="I21:J21"/>
    <mergeCell ref="C35:D35"/>
    <mergeCell ref="E35:F35"/>
    <mergeCell ref="G35:H35"/>
    <mergeCell ref="I35:J35"/>
    <mergeCell ref="C34:D34"/>
    <mergeCell ref="E34:F34"/>
    <mergeCell ref="G34:H34"/>
    <mergeCell ref="I34:J34"/>
    <mergeCell ref="C33:D33"/>
    <mergeCell ref="E33:F33"/>
    <mergeCell ref="G33:H33"/>
    <mergeCell ref="I33:J33"/>
    <mergeCell ref="C27:D27"/>
    <mergeCell ref="I27:J27"/>
    <mergeCell ref="Q10:Q11"/>
    <mergeCell ref="A12:A14"/>
    <mergeCell ref="B12:B14"/>
    <mergeCell ref="C12:D12"/>
    <mergeCell ref="E12:F12"/>
    <mergeCell ref="Q12:Q14"/>
    <mergeCell ref="C14:D14"/>
    <mergeCell ref="E14:F14"/>
    <mergeCell ref="G14:H14"/>
    <mergeCell ref="K10:L10"/>
    <mergeCell ref="M10:N10"/>
    <mergeCell ref="M12:N12"/>
    <mergeCell ref="M14:N14"/>
    <mergeCell ref="K12:L12"/>
    <mergeCell ref="K14:L14"/>
    <mergeCell ref="A10:A11"/>
    <mergeCell ref="B10:B11"/>
    <mergeCell ref="C10:D10"/>
    <mergeCell ref="E10:F10"/>
    <mergeCell ref="G10:H10"/>
    <mergeCell ref="I10:J10"/>
    <mergeCell ref="O14:P14"/>
    <mergeCell ref="Q21:Q23"/>
    <mergeCell ref="C23:D23"/>
    <mergeCell ref="E23:F23"/>
    <mergeCell ref="G23:H23"/>
    <mergeCell ref="Q18:Q20"/>
    <mergeCell ref="A21:A23"/>
    <mergeCell ref="B21:B23"/>
    <mergeCell ref="E21:F21"/>
    <mergeCell ref="G21:H21"/>
    <mergeCell ref="A18:A20"/>
    <mergeCell ref="B18:B20"/>
    <mergeCell ref="I18:J18"/>
    <mergeCell ref="C20:D20"/>
    <mergeCell ref="I20:J20"/>
    <mergeCell ref="C18:D18"/>
    <mergeCell ref="M21:N21"/>
    <mergeCell ref="M23:N23"/>
    <mergeCell ref="C21:D21"/>
    <mergeCell ref="G18:H18"/>
    <mergeCell ref="G20:H20"/>
    <mergeCell ref="K18:L18"/>
    <mergeCell ref="E18:F18"/>
    <mergeCell ref="E19:F19"/>
    <mergeCell ref="E20:F20"/>
    <mergeCell ref="Q24:Q26"/>
    <mergeCell ref="C26:D26"/>
    <mergeCell ref="A24:A26"/>
    <mergeCell ref="B24:B26"/>
    <mergeCell ref="C24:D24"/>
    <mergeCell ref="O24:P24"/>
    <mergeCell ref="M24:N24"/>
    <mergeCell ref="M26:N26"/>
    <mergeCell ref="M29:N29"/>
    <mergeCell ref="K27:L27"/>
    <mergeCell ref="K29:L29"/>
    <mergeCell ref="E27:F27"/>
    <mergeCell ref="G27:H27"/>
    <mergeCell ref="E29:F29"/>
    <mergeCell ref="G29:H29"/>
    <mergeCell ref="I24:J24"/>
    <mergeCell ref="I26:J26"/>
    <mergeCell ref="E24:F24"/>
    <mergeCell ref="E26:F26"/>
    <mergeCell ref="G24:H24"/>
    <mergeCell ref="G26:H26"/>
    <mergeCell ref="I29:J29"/>
    <mergeCell ref="A27:A29"/>
    <mergeCell ref="B27:B29"/>
    <mergeCell ref="Q27:Q29"/>
    <mergeCell ref="C29:D29"/>
    <mergeCell ref="C32:D32"/>
    <mergeCell ref="E32:F32"/>
    <mergeCell ref="G32:H32"/>
    <mergeCell ref="I32:J32"/>
    <mergeCell ref="M32:N32"/>
    <mergeCell ref="A30:A31"/>
    <mergeCell ref="C31:D31"/>
    <mergeCell ref="E31:F31"/>
    <mergeCell ref="G31:H31"/>
    <mergeCell ref="C7:J8"/>
    <mergeCell ref="K6:L7"/>
    <mergeCell ref="K8:L8"/>
    <mergeCell ref="A2:B2"/>
    <mergeCell ref="A3:B3"/>
    <mergeCell ref="A4:B4"/>
    <mergeCell ref="A5:B5"/>
    <mergeCell ref="A7:B8"/>
    <mergeCell ref="A6:B6"/>
    <mergeCell ref="C3:J3"/>
    <mergeCell ref="C6:G6"/>
    <mergeCell ref="H6:J6"/>
  </mergeCells>
  <printOptions/>
  <pageMargins left="0.7" right="0.7" top="0.75" bottom="0.75" header="0.3" footer="0.3"/>
  <pageSetup fitToWidth="0" fitToHeight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="89" zoomScaleSheetLayoutView="89" workbookViewId="0" topLeftCell="A1">
      <selection activeCell="I30" sqref="I30"/>
    </sheetView>
  </sheetViews>
  <sheetFormatPr defaultColWidth="9.140625" defaultRowHeight="12.75"/>
  <cols>
    <col min="1" max="1" width="16.140625" style="0" customWidth="1"/>
    <col min="2" max="2" width="17.28125" style="0" customWidth="1"/>
    <col min="3" max="3" width="13.8515625" style="0" bestFit="1" customWidth="1"/>
    <col min="4" max="4" width="13.8515625" style="0" customWidth="1"/>
    <col min="5" max="5" width="5.7109375" style="0" customWidth="1"/>
    <col min="6" max="6" width="19.421875" style="0" customWidth="1"/>
    <col min="7" max="7" width="9.57421875" style="0" customWidth="1"/>
    <col min="8" max="8" width="15.00390625" style="0" customWidth="1"/>
    <col min="9" max="9" width="15.00390625" style="11" customWidth="1"/>
    <col min="10" max="10" width="15.7109375" style="0" customWidth="1"/>
  </cols>
  <sheetData>
    <row r="1" spans="1:10" s="5" customFormat="1" ht="87" customHeight="1">
      <c r="A1" s="1049" t="s">
        <v>175</v>
      </c>
      <c r="B1" s="1050"/>
      <c r="C1" s="1050"/>
      <c r="D1" s="1050"/>
      <c r="E1" s="1050"/>
      <c r="F1" s="1050"/>
      <c r="G1" s="1050"/>
      <c r="H1" s="1050"/>
      <c r="I1" s="1050"/>
      <c r="J1" s="1050"/>
    </row>
    <row r="2" spans="1:10" s="54" customFormat="1" ht="15">
      <c r="A2" s="932" t="s">
        <v>171</v>
      </c>
      <c r="B2" s="932"/>
      <c r="C2" s="933" t="str">
        <f>'ORÇAMENTO NÃO DESONERADO'!B2</f>
        <v>863064/2017</v>
      </c>
      <c r="D2" s="933"/>
      <c r="E2" s="933"/>
      <c r="F2" s="933"/>
      <c r="G2" s="933"/>
      <c r="H2" s="933"/>
      <c r="I2" s="933"/>
      <c r="J2" s="933"/>
    </row>
    <row r="3" spans="1:10" s="54" customFormat="1" ht="15">
      <c r="A3" s="927" t="s">
        <v>60</v>
      </c>
      <c r="B3" s="927"/>
      <c r="C3" s="19" t="str">
        <f>'ORÇAMENTO NÃO DESONERADO'!B3</f>
        <v>PREFEITURA MUNICIPAL DE OURÉM</v>
      </c>
      <c r="D3" s="240"/>
      <c r="E3" s="240"/>
      <c r="F3" s="240"/>
      <c r="G3" s="934" t="s">
        <v>116</v>
      </c>
      <c r="H3" s="934"/>
      <c r="I3" s="1051" t="s">
        <v>685</v>
      </c>
      <c r="J3" s="1051"/>
    </row>
    <row r="4" spans="1:10" s="54" customFormat="1" ht="30.75" customHeight="1">
      <c r="A4" s="927" t="s">
        <v>61</v>
      </c>
      <c r="B4" s="927"/>
      <c r="C4" s="918" t="str">
        <f>'ORÇAMENTO NÃO DESONERADO'!B4</f>
        <v>CONSTRUÇÃO DE TERMINAL RODOVIÁRIO ETAPA-01</v>
      </c>
      <c r="D4" s="918"/>
      <c r="E4" s="918"/>
      <c r="F4" s="918"/>
      <c r="G4" s="918"/>
      <c r="H4" s="918"/>
      <c r="I4" s="918"/>
      <c r="J4" s="918"/>
    </row>
    <row r="5" spans="1:10" s="54" customFormat="1" ht="32.25" customHeight="1">
      <c r="A5" s="928" t="s">
        <v>62</v>
      </c>
      <c r="B5" s="928"/>
      <c r="C5" s="924" t="str">
        <f>'ORÇAMENTO NÃO DESONERADO'!B5</f>
        <v>RUA JOAQUIM DIONISIO COM RUA PERSEVERANDO S/N. PRAÇA DO TERMINAL OURÉM/PA</v>
      </c>
      <c r="D5" s="924"/>
      <c r="E5" s="924"/>
      <c r="F5" s="924"/>
      <c r="G5" s="924"/>
      <c r="H5" s="924"/>
      <c r="I5" s="924"/>
      <c r="J5" s="924"/>
    </row>
    <row r="6" spans="1:10" s="54" customFormat="1" ht="15">
      <c r="A6" s="927" t="s">
        <v>67</v>
      </c>
      <c r="B6" s="927"/>
      <c r="C6" s="925">
        <f>'ORÇAMENTO NÃO DESONERADO'!B6</f>
        <v>0.2212455334054051</v>
      </c>
      <c r="D6" s="925"/>
      <c r="E6" s="925"/>
      <c r="F6" s="925"/>
      <c r="G6" s="934" t="s">
        <v>39</v>
      </c>
      <c r="H6" s="934"/>
      <c r="I6" s="1056" t="str">
        <f>'ORÇAMENTO NÃO DESONERADO'!F7</f>
        <v>SINAPI ABRIL 2018 - NÃO DESONERADA</v>
      </c>
      <c r="J6" s="1056"/>
    </row>
    <row r="7" spans="1:10" s="54" customFormat="1" ht="15" customHeight="1">
      <c r="A7" s="928" t="s">
        <v>117</v>
      </c>
      <c r="B7" s="928"/>
      <c r="C7" s="926" t="str">
        <f>'ORÇAMENTO NÃO DESONERADO'!B7</f>
        <v xml:space="preserve"> MARUZA BAPTISTA </v>
      </c>
      <c r="D7" s="926"/>
      <c r="E7" s="926"/>
      <c r="F7" s="926"/>
      <c r="G7" s="934"/>
      <c r="H7" s="934"/>
      <c r="I7" s="1056"/>
      <c r="J7" s="1056"/>
    </row>
    <row r="8" spans="1:10" s="54" customFormat="1" ht="15" customHeight="1">
      <c r="A8" s="928"/>
      <c r="B8" s="928"/>
      <c r="C8" s="926"/>
      <c r="D8" s="926"/>
      <c r="E8" s="926"/>
      <c r="F8" s="926"/>
      <c r="G8" s="921" t="s">
        <v>119</v>
      </c>
      <c r="H8" s="921"/>
      <c r="I8" s="1057" t="s">
        <v>120</v>
      </c>
      <c r="J8" s="1057"/>
    </row>
    <row r="9" spans="1:10" s="54" customFormat="1" ht="15.75" customHeight="1">
      <c r="A9" s="928"/>
      <c r="B9" s="928"/>
      <c r="C9" s="926"/>
      <c r="D9" s="926"/>
      <c r="E9" s="926"/>
      <c r="F9" s="926"/>
      <c r="G9" s="921"/>
      <c r="H9" s="921"/>
      <c r="I9" s="1057"/>
      <c r="J9" s="1057"/>
    </row>
    <row r="10" spans="1:9" s="41" customFormat="1" ht="14.25">
      <c r="A10" s="128"/>
      <c r="B10" s="24"/>
      <c r="C10" s="24"/>
      <c r="D10" s="24"/>
      <c r="E10" s="24"/>
      <c r="I10" s="46"/>
    </row>
    <row r="11" spans="1:10" s="41" customFormat="1" ht="15.75">
      <c r="A11" s="1058" t="s">
        <v>105</v>
      </c>
      <c r="B11" s="1059"/>
      <c r="C11" s="1059"/>
      <c r="D11" s="1059"/>
      <c r="E11" s="1059"/>
      <c r="F11" s="1059"/>
      <c r="G11" s="1059"/>
      <c r="H11" s="1059"/>
      <c r="I11" s="1059"/>
      <c r="J11" s="1060"/>
    </row>
    <row r="12" spans="1:10" s="41" customFormat="1" ht="15" customHeight="1">
      <c r="A12" s="1061" t="s">
        <v>91</v>
      </c>
      <c r="B12" s="1062"/>
      <c r="C12" s="1062"/>
      <c r="D12" s="1062"/>
      <c r="E12" s="1062"/>
      <c r="F12" s="1062"/>
      <c r="G12" s="1062"/>
      <c r="H12" s="1062"/>
      <c r="I12" s="1063"/>
      <c r="J12" s="759" t="s">
        <v>92</v>
      </c>
    </row>
    <row r="13" spans="1:10" s="41" customFormat="1" ht="30">
      <c r="A13" s="760" t="s">
        <v>93</v>
      </c>
      <c r="B13" s="761" t="s">
        <v>94</v>
      </c>
      <c r="C13" s="1064" t="s">
        <v>14</v>
      </c>
      <c r="D13" s="1065"/>
      <c r="E13" s="1065"/>
      <c r="F13" s="1066"/>
      <c r="G13" s="760" t="s">
        <v>106</v>
      </c>
      <c r="H13" s="762" t="s">
        <v>95</v>
      </c>
      <c r="I13" s="763" t="s">
        <v>96</v>
      </c>
      <c r="J13" s="763" t="s">
        <v>97</v>
      </c>
    </row>
    <row r="14" spans="1:10" s="41" customFormat="1" ht="49.5" customHeight="1">
      <c r="A14" s="804" t="s">
        <v>180</v>
      </c>
      <c r="B14" s="805">
        <v>38135</v>
      </c>
      <c r="C14" s="1055" t="s">
        <v>99</v>
      </c>
      <c r="D14" s="1055"/>
      <c r="E14" s="1055"/>
      <c r="F14" s="1055"/>
      <c r="G14" s="806" t="s">
        <v>92</v>
      </c>
      <c r="H14" s="807">
        <v>1.02</v>
      </c>
      <c r="I14" s="808">
        <v>53.14</v>
      </c>
      <c r="J14" s="808">
        <f>ROUND(H14*I14,2)</f>
        <v>54.2</v>
      </c>
    </row>
    <row r="15" spans="1:10" s="41" customFormat="1" ht="51.75" customHeight="1">
      <c r="A15" s="804" t="s">
        <v>180</v>
      </c>
      <c r="B15" s="805">
        <v>370</v>
      </c>
      <c r="C15" s="1084" t="s">
        <v>100</v>
      </c>
      <c r="D15" s="1084"/>
      <c r="E15" s="1084"/>
      <c r="F15" s="1084"/>
      <c r="G15" s="806" t="s">
        <v>90</v>
      </c>
      <c r="H15" s="809">
        <v>0.01</v>
      </c>
      <c r="I15" s="808">
        <v>59.57</v>
      </c>
      <c r="J15" s="808">
        <f>ROUND(H15*I15,2)</f>
        <v>0.6</v>
      </c>
    </row>
    <row r="16" spans="1:10" s="41" customFormat="1" ht="38.25" customHeight="1">
      <c r="A16" s="804" t="s">
        <v>180</v>
      </c>
      <c r="B16" s="805">
        <v>1379</v>
      </c>
      <c r="C16" s="1055" t="s">
        <v>101</v>
      </c>
      <c r="D16" s="1055"/>
      <c r="E16" s="1055"/>
      <c r="F16" s="1055"/>
      <c r="G16" s="806" t="s">
        <v>292</v>
      </c>
      <c r="H16" s="809">
        <v>0.15</v>
      </c>
      <c r="I16" s="808">
        <v>26.87</v>
      </c>
      <c r="J16" s="808">
        <f>ROUND(H16*I16,2)</f>
        <v>4.03</v>
      </c>
    </row>
    <row r="17" spans="1:10" s="41" customFormat="1" ht="28.5">
      <c r="A17" s="804" t="s">
        <v>181</v>
      </c>
      <c r="B17" s="810">
        <v>88309</v>
      </c>
      <c r="C17" s="1055" t="s">
        <v>102</v>
      </c>
      <c r="D17" s="1055"/>
      <c r="E17" s="1055"/>
      <c r="F17" s="1055"/>
      <c r="G17" s="806" t="s">
        <v>103</v>
      </c>
      <c r="H17" s="807">
        <v>0.6</v>
      </c>
      <c r="I17" s="808">
        <v>18.95</v>
      </c>
      <c r="J17" s="808">
        <f>ROUND(H17*I17,2)</f>
        <v>11.37</v>
      </c>
    </row>
    <row r="18" spans="1:10" s="41" customFormat="1" ht="28.5">
      <c r="A18" s="804" t="s">
        <v>181</v>
      </c>
      <c r="B18" s="810">
        <v>88316</v>
      </c>
      <c r="C18" s="1084" t="s">
        <v>104</v>
      </c>
      <c r="D18" s="1084"/>
      <c r="E18" s="1084"/>
      <c r="F18" s="1084"/>
      <c r="G18" s="806" t="s">
        <v>103</v>
      </c>
      <c r="H18" s="809">
        <v>0.5</v>
      </c>
      <c r="I18" s="808">
        <v>15.02</v>
      </c>
      <c r="J18" s="808">
        <f>ROUND(H18*I18,2)</f>
        <v>7.51</v>
      </c>
    </row>
    <row r="19" spans="1:10" s="41" customFormat="1" ht="15">
      <c r="A19" s="1074" t="s">
        <v>19</v>
      </c>
      <c r="B19" s="1074"/>
      <c r="C19" s="1074"/>
      <c r="D19" s="1074"/>
      <c r="E19" s="1074"/>
      <c r="F19" s="1074"/>
      <c r="G19" s="1074"/>
      <c r="H19" s="1074"/>
      <c r="I19" s="1074"/>
      <c r="J19" s="811">
        <f>ROUND(SUM(J14:J18),2)</f>
        <v>77.71</v>
      </c>
    </row>
    <row r="20" spans="1:10" s="41" customFormat="1" ht="14.25">
      <c r="A20" s="205"/>
      <c r="B20" s="205"/>
      <c r="C20" s="205"/>
      <c r="D20" s="205"/>
      <c r="E20" s="205"/>
      <c r="F20" s="205"/>
      <c r="G20" s="205"/>
      <c r="H20" s="205"/>
      <c r="I20" s="207"/>
      <c r="J20" s="205"/>
    </row>
    <row r="21" spans="1:10" s="41" customFormat="1" ht="14.25">
      <c r="A21" s="205"/>
      <c r="B21" s="205"/>
      <c r="C21" s="205"/>
      <c r="D21" s="205"/>
      <c r="E21" s="205"/>
      <c r="F21" s="205"/>
      <c r="G21" s="205"/>
      <c r="H21" s="205"/>
      <c r="I21" s="207"/>
      <c r="J21" s="205"/>
    </row>
    <row r="22" spans="1:10" s="41" customFormat="1" ht="15.75">
      <c r="A22" s="1058" t="s">
        <v>481</v>
      </c>
      <c r="B22" s="1059"/>
      <c r="C22" s="1059"/>
      <c r="D22" s="1059"/>
      <c r="E22" s="1059"/>
      <c r="F22" s="1059"/>
      <c r="G22" s="1059"/>
      <c r="H22" s="1059"/>
      <c r="I22" s="1059"/>
      <c r="J22" s="1060"/>
    </row>
    <row r="23" spans="1:10" s="41" customFormat="1" ht="15" customHeight="1">
      <c r="A23" s="1061" t="s">
        <v>138</v>
      </c>
      <c r="B23" s="1062"/>
      <c r="C23" s="1062"/>
      <c r="D23" s="1062"/>
      <c r="E23" s="1062"/>
      <c r="F23" s="1062"/>
      <c r="G23" s="1062"/>
      <c r="H23" s="1062"/>
      <c r="I23" s="1063"/>
      <c r="J23" s="759" t="s">
        <v>106</v>
      </c>
    </row>
    <row r="24" spans="1:10" s="41" customFormat="1" ht="30">
      <c r="A24" s="760" t="s">
        <v>93</v>
      </c>
      <c r="B24" s="761" t="s">
        <v>94</v>
      </c>
      <c r="C24" s="1064" t="s">
        <v>14</v>
      </c>
      <c r="D24" s="1065"/>
      <c r="E24" s="1065"/>
      <c r="F24" s="1066"/>
      <c r="G24" s="760" t="s">
        <v>106</v>
      </c>
      <c r="H24" s="762" t="s">
        <v>95</v>
      </c>
      <c r="I24" s="763" t="s">
        <v>96</v>
      </c>
      <c r="J24" s="763" t="s">
        <v>97</v>
      </c>
    </row>
    <row r="25" spans="1:10" s="41" customFormat="1" ht="87" customHeight="1">
      <c r="A25" s="804" t="s">
        <v>181</v>
      </c>
      <c r="B25" s="812">
        <v>92338</v>
      </c>
      <c r="C25" s="1052" t="s">
        <v>140</v>
      </c>
      <c r="D25" s="1053"/>
      <c r="E25" s="1053"/>
      <c r="F25" s="1054"/>
      <c r="G25" s="129" t="s">
        <v>80</v>
      </c>
      <c r="H25" s="813">
        <v>0.3</v>
      </c>
      <c r="I25" s="814">
        <v>67.65</v>
      </c>
      <c r="J25" s="808">
        <f>ROUND(H25*I25,2)</f>
        <v>20.3</v>
      </c>
    </row>
    <row r="26" spans="1:10" s="41" customFormat="1" ht="87" customHeight="1">
      <c r="A26" s="804" t="s">
        <v>180</v>
      </c>
      <c r="B26" s="812">
        <v>430</v>
      </c>
      <c r="C26" s="1052" t="s">
        <v>141</v>
      </c>
      <c r="D26" s="1053"/>
      <c r="E26" s="1053"/>
      <c r="F26" s="1054"/>
      <c r="G26" s="129" t="s">
        <v>139</v>
      </c>
      <c r="H26" s="813">
        <v>8</v>
      </c>
      <c r="I26" s="814">
        <v>3.24</v>
      </c>
      <c r="J26" s="808">
        <f aca="true" t="shared" si="0" ref="J26:J33">ROUND(H26*I26,2)</f>
        <v>25.92</v>
      </c>
    </row>
    <row r="27" spans="1:10" s="41" customFormat="1" ht="28.5" customHeight="1">
      <c r="A27" s="804" t="s">
        <v>180</v>
      </c>
      <c r="B27" s="812">
        <v>11027</v>
      </c>
      <c r="C27" s="1052" t="s">
        <v>142</v>
      </c>
      <c r="D27" s="1053"/>
      <c r="E27" s="1053"/>
      <c r="F27" s="1054"/>
      <c r="G27" s="129" t="s">
        <v>72</v>
      </c>
      <c r="H27" s="813">
        <v>0.15</v>
      </c>
      <c r="I27" s="814">
        <v>6.41</v>
      </c>
      <c r="J27" s="808">
        <f t="shared" si="0"/>
        <v>0.96</v>
      </c>
    </row>
    <row r="28" spans="1:10" s="41" customFormat="1" ht="28.5" customHeight="1">
      <c r="A28" s="804" t="s">
        <v>181</v>
      </c>
      <c r="B28" s="812">
        <v>88251</v>
      </c>
      <c r="C28" s="1052" t="s">
        <v>127</v>
      </c>
      <c r="D28" s="1053"/>
      <c r="E28" s="1053"/>
      <c r="F28" s="1054"/>
      <c r="G28" s="129" t="s">
        <v>103</v>
      </c>
      <c r="H28" s="813">
        <v>2</v>
      </c>
      <c r="I28" s="814">
        <v>15.12</v>
      </c>
      <c r="J28" s="808">
        <f t="shared" si="0"/>
        <v>30.24</v>
      </c>
    </row>
    <row r="29" spans="1:10" s="41" customFormat="1" ht="28.5" customHeight="1">
      <c r="A29" s="804" t="s">
        <v>181</v>
      </c>
      <c r="B29" s="812">
        <v>88315</v>
      </c>
      <c r="C29" s="1052" t="s">
        <v>126</v>
      </c>
      <c r="D29" s="1053"/>
      <c r="E29" s="1053"/>
      <c r="F29" s="1054"/>
      <c r="G29" s="129" t="s">
        <v>103</v>
      </c>
      <c r="H29" s="813">
        <v>2</v>
      </c>
      <c r="I29" s="814">
        <v>19.03</v>
      </c>
      <c r="J29" s="808">
        <f t="shared" si="0"/>
        <v>38.06</v>
      </c>
    </row>
    <row r="30" spans="1:10" s="41" customFormat="1" ht="28.5" customHeight="1">
      <c r="A30" s="804" t="s">
        <v>180</v>
      </c>
      <c r="B30" s="812">
        <v>7164</v>
      </c>
      <c r="C30" s="1052" t="s">
        <v>143</v>
      </c>
      <c r="D30" s="1053"/>
      <c r="E30" s="1053"/>
      <c r="F30" s="1054"/>
      <c r="G30" s="129" t="s">
        <v>92</v>
      </c>
      <c r="H30" s="813">
        <v>1.4</v>
      </c>
      <c r="I30" s="814">
        <v>26.3</v>
      </c>
      <c r="J30" s="808">
        <f t="shared" si="0"/>
        <v>36.82</v>
      </c>
    </row>
    <row r="31" spans="1:10" s="41" customFormat="1" ht="28.5" customHeight="1">
      <c r="A31" s="804" t="s">
        <v>180</v>
      </c>
      <c r="B31" s="812">
        <v>559</v>
      </c>
      <c r="C31" s="1052" t="s">
        <v>144</v>
      </c>
      <c r="D31" s="1053"/>
      <c r="E31" s="1053"/>
      <c r="F31" s="1054"/>
      <c r="G31" s="129" t="s">
        <v>80</v>
      </c>
      <c r="H31" s="813">
        <v>1.4</v>
      </c>
      <c r="I31" s="814">
        <v>10.95</v>
      </c>
      <c r="J31" s="808">
        <f t="shared" si="0"/>
        <v>15.33</v>
      </c>
    </row>
    <row r="32" spans="1:10" s="41" customFormat="1" ht="28.5" customHeight="1">
      <c r="A32" s="804" t="s">
        <v>181</v>
      </c>
      <c r="B32" s="812" t="s">
        <v>122</v>
      </c>
      <c r="C32" s="1052" t="s">
        <v>87</v>
      </c>
      <c r="D32" s="1053"/>
      <c r="E32" s="1053"/>
      <c r="F32" s="1054"/>
      <c r="G32" s="129" t="s">
        <v>71</v>
      </c>
      <c r="H32" s="813">
        <v>0.57</v>
      </c>
      <c r="I32" s="814">
        <v>20.95</v>
      </c>
      <c r="J32" s="808">
        <f t="shared" si="0"/>
        <v>11.94</v>
      </c>
    </row>
    <row r="33" spans="1:10" s="41" customFormat="1" ht="28.5" customHeight="1">
      <c r="A33" s="804" t="s">
        <v>181</v>
      </c>
      <c r="B33" s="812">
        <v>88317</v>
      </c>
      <c r="C33" s="1052" t="s">
        <v>145</v>
      </c>
      <c r="D33" s="1053"/>
      <c r="E33" s="1053"/>
      <c r="F33" s="1054"/>
      <c r="G33" s="129" t="s">
        <v>103</v>
      </c>
      <c r="H33" s="813">
        <v>2</v>
      </c>
      <c r="I33" s="814">
        <v>19.8</v>
      </c>
      <c r="J33" s="808">
        <f t="shared" si="0"/>
        <v>39.6</v>
      </c>
    </row>
    <row r="34" spans="1:10" s="41" customFormat="1" ht="15">
      <c r="A34" s="1074" t="s">
        <v>19</v>
      </c>
      <c r="B34" s="1074"/>
      <c r="C34" s="1074"/>
      <c r="D34" s="1074"/>
      <c r="E34" s="1074"/>
      <c r="F34" s="1074"/>
      <c r="G34" s="1074"/>
      <c r="H34" s="1074"/>
      <c r="I34" s="1074"/>
      <c r="J34" s="815">
        <f>SUM(J25:J33)</f>
        <v>219.17000000000002</v>
      </c>
    </row>
    <row r="35" spans="1:10" s="41" customFormat="1" ht="14.25">
      <c r="A35" s="205"/>
      <c r="B35" s="205"/>
      <c r="C35" s="205"/>
      <c r="D35" s="205"/>
      <c r="E35" s="205"/>
      <c r="F35" s="205"/>
      <c r="G35" s="205"/>
      <c r="H35" s="205"/>
      <c r="I35" s="207"/>
      <c r="J35" s="205"/>
    </row>
    <row r="36" spans="1:10" s="41" customFormat="1" ht="15.75">
      <c r="A36" s="1058" t="s">
        <v>125</v>
      </c>
      <c r="B36" s="1059"/>
      <c r="C36" s="1059"/>
      <c r="D36" s="1059"/>
      <c r="E36" s="1059"/>
      <c r="F36" s="1059"/>
      <c r="G36" s="1059"/>
      <c r="H36" s="1059"/>
      <c r="I36" s="1059"/>
      <c r="J36" s="1060"/>
    </row>
    <row r="37" spans="1:10" ht="51" customHeight="1">
      <c r="A37" s="1061" t="s">
        <v>441</v>
      </c>
      <c r="B37" s="1062"/>
      <c r="C37" s="1062"/>
      <c r="D37" s="1062"/>
      <c r="E37" s="1062"/>
      <c r="F37" s="1062"/>
      <c r="G37" s="1062"/>
      <c r="H37" s="1062"/>
      <c r="I37" s="1063"/>
      <c r="J37" s="759" t="s">
        <v>106</v>
      </c>
    </row>
    <row r="38" spans="1:10" ht="30">
      <c r="A38" s="760" t="s">
        <v>93</v>
      </c>
      <c r="B38" s="761" t="s">
        <v>94</v>
      </c>
      <c r="C38" s="1064" t="s">
        <v>14</v>
      </c>
      <c r="D38" s="1065"/>
      <c r="E38" s="1065"/>
      <c r="F38" s="1066"/>
      <c r="G38" s="760" t="s">
        <v>106</v>
      </c>
      <c r="H38" s="762" t="s">
        <v>95</v>
      </c>
      <c r="I38" s="763" t="s">
        <v>96</v>
      </c>
      <c r="J38" s="763" t="s">
        <v>97</v>
      </c>
    </row>
    <row r="39" spans="1:10" ht="58.5" customHeight="1">
      <c r="A39" s="129" t="s">
        <v>98</v>
      </c>
      <c r="B39" s="75">
        <v>94964</v>
      </c>
      <c r="C39" s="1075" t="s">
        <v>440</v>
      </c>
      <c r="D39" s="1076"/>
      <c r="E39" s="1076"/>
      <c r="F39" s="1077"/>
      <c r="G39" s="712" t="s">
        <v>92</v>
      </c>
      <c r="H39" s="712">
        <v>1.103</v>
      </c>
      <c r="I39" s="713">
        <v>370</v>
      </c>
      <c r="J39" s="713">
        <f>H39*I39</f>
        <v>408.11</v>
      </c>
    </row>
    <row r="40" spans="1:10" ht="70.5" customHeight="1">
      <c r="A40" s="129" t="s">
        <v>98</v>
      </c>
      <c r="B40" s="75">
        <v>92775</v>
      </c>
      <c r="C40" s="1078" t="s">
        <v>435</v>
      </c>
      <c r="D40" s="1079"/>
      <c r="E40" s="1079"/>
      <c r="F40" s="1080"/>
      <c r="G40" s="712" t="s">
        <v>31</v>
      </c>
      <c r="H40" s="712">
        <v>9.61</v>
      </c>
      <c r="I40" s="713">
        <v>10.1</v>
      </c>
      <c r="J40" s="713">
        <f aca="true" t="shared" si="1" ref="J40:J44">H40*I40</f>
        <v>97.06099999999999</v>
      </c>
    </row>
    <row r="41" spans="1:10" ht="70.5" customHeight="1">
      <c r="A41" s="129" t="s">
        <v>98</v>
      </c>
      <c r="B41" s="337">
        <v>86915</v>
      </c>
      <c r="C41" s="1071" t="s">
        <v>436</v>
      </c>
      <c r="D41" s="1072"/>
      <c r="E41" s="1072"/>
      <c r="F41" s="1073"/>
      <c r="G41" s="712" t="s">
        <v>124</v>
      </c>
      <c r="H41" s="712">
        <v>1.71</v>
      </c>
      <c r="I41" s="713">
        <v>63.4</v>
      </c>
      <c r="J41" s="713">
        <f t="shared" si="1"/>
        <v>108.414</v>
      </c>
    </row>
    <row r="42" spans="1:10" ht="76.5" customHeight="1">
      <c r="A42" s="129" t="s">
        <v>98</v>
      </c>
      <c r="B42" s="75">
        <v>92778</v>
      </c>
      <c r="C42" s="1078" t="s">
        <v>437</v>
      </c>
      <c r="D42" s="1079"/>
      <c r="E42" s="1079"/>
      <c r="F42" s="1080"/>
      <c r="G42" s="712" t="s">
        <v>124</v>
      </c>
      <c r="H42" s="712">
        <v>14.28</v>
      </c>
      <c r="I42" s="713">
        <v>6.39</v>
      </c>
      <c r="J42" s="713">
        <f t="shared" si="1"/>
        <v>91.24919999999999</v>
      </c>
    </row>
    <row r="43" spans="1:10" ht="65.25" customHeight="1">
      <c r="A43" s="129" t="s">
        <v>98</v>
      </c>
      <c r="B43" s="75">
        <v>92779</v>
      </c>
      <c r="C43" s="1075" t="s">
        <v>438</v>
      </c>
      <c r="D43" s="1076"/>
      <c r="E43" s="1076"/>
      <c r="F43" s="1077"/>
      <c r="G43" s="712" t="s">
        <v>124</v>
      </c>
      <c r="H43" s="712">
        <v>6.29</v>
      </c>
      <c r="I43" s="713">
        <v>5.75</v>
      </c>
      <c r="J43" s="713">
        <f t="shared" si="1"/>
        <v>36.1675</v>
      </c>
    </row>
    <row r="44" spans="1:10" ht="71.25" customHeight="1">
      <c r="A44" s="129" t="s">
        <v>98</v>
      </c>
      <c r="B44" s="127">
        <v>92777</v>
      </c>
      <c r="C44" s="1081" t="s">
        <v>439</v>
      </c>
      <c r="D44" s="1082"/>
      <c r="E44" s="1082"/>
      <c r="F44" s="1083"/>
      <c r="G44" s="712" t="s">
        <v>124</v>
      </c>
      <c r="H44" s="712">
        <v>7.45</v>
      </c>
      <c r="I44" s="713">
        <v>8.37</v>
      </c>
      <c r="J44" s="713">
        <f t="shared" si="1"/>
        <v>62.3565</v>
      </c>
    </row>
    <row r="45" spans="1:10" ht="45" customHeight="1">
      <c r="A45" s="714"/>
      <c r="B45" s="1067"/>
      <c r="C45" s="1067"/>
      <c r="D45" s="1067"/>
      <c r="E45" s="1067"/>
      <c r="F45" s="1068"/>
      <c r="G45" s="1069" t="s">
        <v>97</v>
      </c>
      <c r="H45" s="1069"/>
      <c r="I45" s="1070"/>
      <c r="J45" s="713">
        <f>SUM(J39:J44)</f>
        <v>803.3582</v>
      </c>
    </row>
    <row r="46" spans="1:10" ht="14.25">
      <c r="A46" s="714"/>
      <c r="B46" s="715"/>
      <c r="C46" s="715"/>
      <c r="D46" s="715"/>
      <c r="E46" s="715"/>
      <c r="F46" s="715"/>
      <c r="G46" s="716"/>
      <c r="H46" s="716"/>
      <c r="I46" s="716"/>
      <c r="J46" s="717"/>
    </row>
  </sheetData>
  <mergeCells count="51">
    <mergeCell ref="A34:I34"/>
    <mergeCell ref="A36:J36"/>
    <mergeCell ref="A1:J1"/>
    <mergeCell ref="C2:J2"/>
    <mergeCell ref="G3:H3"/>
    <mergeCell ref="G6:H7"/>
    <mergeCell ref="G8:H9"/>
    <mergeCell ref="I8:J9"/>
    <mergeCell ref="I6:J7"/>
    <mergeCell ref="I3:J3"/>
    <mergeCell ref="C4:J4"/>
    <mergeCell ref="C5:J5"/>
    <mergeCell ref="A2:B2"/>
    <mergeCell ref="A3:B3"/>
    <mergeCell ref="A4:B4"/>
    <mergeCell ref="A5:B5"/>
    <mergeCell ref="A6:B6"/>
    <mergeCell ref="C6:F6"/>
    <mergeCell ref="C16:F16"/>
    <mergeCell ref="C17:F17"/>
    <mergeCell ref="C14:F14"/>
    <mergeCell ref="C15:F15"/>
    <mergeCell ref="C18:F18"/>
    <mergeCell ref="A7:B9"/>
    <mergeCell ref="C7:F9"/>
    <mergeCell ref="A11:J11"/>
    <mergeCell ref="A12:I12"/>
    <mergeCell ref="C13:F13"/>
    <mergeCell ref="A19:I19"/>
    <mergeCell ref="A22:J22"/>
    <mergeCell ref="C33:F3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A23:I23"/>
    <mergeCell ref="A37:I37"/>
    <mergeCell ref="C38:F38"/>
    <mergeCell ref="C39:F39"/>
    <mergeCell ref="C40:F40"/>
    <mergeCell ref="G45:I45"/>
    <mergeCell ref="C41:F41"/>
    <mergeCell ref="C42:F42"/>
    <mergeCell ref="C43:F43"/>
    <mergeCell ref="C44:F44"/>
    <mergeCell ref="B45:F45"/>
  </mergeCells>
  <conditionalFormatting sqref="G13 A13">
    <cfRule type="expression" priority="176" dxfId="58" stopIfTrue="1">
      <formula>AND(#REF!&lt;&gt;"COMPOSICAO",#REF!&lt;&gt;"INSUMO",#REF!&lt;&gt;"")</formula>
    </cfRule>
    <cfRule type="expression" priority="177" dxfId="57" stopIfTrue="1">
      <formula>AND(OR(#REF!="COMPOSICAO",#REF!="INSUMO",#REF!&lt;&gt;""),#REF!&lt;&gt;"")</formula>
    </cfRule>
  </conditionalFormatting>
  <conditionalFormatting sqref="H13">
    <cfRule type="expression" priority="174" dxfId="58" stopIfTrue="1">
      <formula>AND(#REF!&lt;&gt;"COMPOSICAO",#REF!&lt;&gt;"INSUMO",#REF!&lt;&gt;"")</formula>
    </cfRule>
    <cfRule type="expression" priority="175" dxfId="57" stopIfTrue="1">
      <formula>AND(OR(#REF!="COMPOSICAO",#REF!="INSUMO",#REF!&lt;&gt;""),#REF!&lt;&gt;"")</formula>
    </cfRule>
  </conditionalFormatting>
  <conditionalFormatting sqref="G24 A24">
    <cfRule type="expression" priority="88" dxfId="58" stopIfTrue="1">
      <formula>AND(#REF!&lt;&gt;"COMPOSICAO",#REF!&lt;&gt;"INSUMO",#REF!&lt;&gt;"")</formula>
    </cfRule>
    <cfRule type="expression" priority="89" dxfId="57" stopIfTrue="1">
      <formula>AND(OR(#REF!="COMPOSICAO",#REF!="INSUMO",#REF!&lt;&gt;""),#REF!&lt;&gt;"")</formula>
    </cfRule>
  </conditionalFormatting>
  <conditionalFormatting sqref="H24">
    <cfRule type="expression" priority="86" dxfId="58" stopIfTrue="1">
      <formula>AND(#REF!&lt;&gt;"COMPOSICAO",#REF!&lt;&gt;"INSUMO",#REF!&lt;&gt;"")</formula>
    </cfRule>
    <cfRule type="expression" priority="87" dxfId="57" stopIfTrue="1">
      <formula>AND(OR(#REF!="COMPOSICAO",#REF!="INSUMO",#REF!&lt;&gt;""),#REF!&lt;&gt;"")</formula>
    </cfRule>
  </conditionalFormatting>
  <conditionalFormatting sqref="G38 A38">
    <cfRule type="expression" priority="51" dxfId="58" stopIfTrue="1">
      <formula>AND(#REF!&lt;&gt;"COMPOSICAO",#REF!&lt;&gt;"INSUMO",#REF!&lt;&gt;"")</formula>
    </cfRule>
    <cfRule type="expression" priority="52" dxfId="57" stopIfTrue="1">
      <formula>AND(OR(#REF!="COMPOSICAO",#REF!="INSUMO",#REF!&lt;&gt;""),#REF!&lt;&gt;"")</formula>
    </cfRule>
  </conditionalFormatting>
  <conditionalFormatting sqref="H38">
    <cfRule type="expression" priority="49" dxfId="58" stopIfTrue="1">
      <formula>AND(#REF!&lt;&gt;"COMPOSICAO",#REF!&lt;&gt;"INSUMO",#REF!&lt;&gt;"")</formula>
    </cfRule>
    <cfRule type="expression" priority="50" dxfId="57" stopIfTrue="1">
      <formula>AND(OR(#REF!="COMPOSICAO",#REF!="INSUMO",#REF!&lt;&gt;""),#REF!&lt;&gt;"")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3"/>
  <sheetViews>
    <sheetView tabSelected="1" view="pageBreakPreview" zoomScale="80" zoomScaleSheetLayoutView="80" workbookViewId="0" topLeftCell="A203">
      <selection activeCell="J7" sqref="J7"/>
    </sheetView>
  </sheetViews>
  <sheetFormatPr defaultColWidth="9.140625" defaultRowHeight="12.75"/>
  <cols>
    <col min="1" max="1" width="20.57421875" style="54" customWidth="1"/>
    <col min="2" max="2" width="19.57421875" style="311" customWidth="1"/>
    <col min="3" max="3" width="67.8515625" style="95" customWidth="1"/>
    <col min="4" max="4" width="11.00390625" style="96" customWidth="1"/>
    <col min="5" max="5" width="12.00390625" style="97" customWidth="1"/>
    <col min="6" max="6" width="17.28125" style="540" bestFit="1" customWidth="1"/>
    <col min="7" max="7" width="20.421875" style="96" bestFit="1" customWidth="1"/>
    <col min="8" max="8" width="24.7109375" style="98" customWidth="1"/>
    <col min="9" max="9" width="15.8515625" style="119" bestFit="1" customWidth="1"/>
    <col min="10" max="10" width="16.421875" style="5" customWidth="1"/>
    <col min="11" max="11" width="18.8515625" style="5" bestFit="1" customWidth="1"/>
    <col min="12" max="12" width="15.421875" style="5" bestFit="1" customWidth="1"/>
    <col min="13" max="15" width="9.140625" style="5" customWidth="1"/>
    <col min="16" max="16" width="13.140625" style="5" bestFit="1" customWidth="1"/>
    <col min="17" max="16384" width="9.140625" style="5" customWidth="1"/>
  </cols>
  <sheetData>
    <row r="1" spans="1:11" ht="158.25" customHeight="1">
      <c r="A1" s="1085" t="s">
        <v>172</v>
      </c>
      <c r="B1" s="1086"/>
      <c r="C1" s="1086"/>
      <c r="D1" s="1086"/>
      <c r="E1" s="1086"/>
      <c r="F1" s="1086"/>
      <c r="G1" s="1086"/>
      <c r="H1" s="1086"/>
      <c r="I1" s="1086"/>
      <c r="J1" s="13"/>
      <c r="K1" s="13"/>
    </row>
    <row r="2" spans="1:11" s="54" customFormat="1" ht="15">
      <c r="A2" s="369" t="s">
        <v>171</v>
      </c>
      <c r="B2" s="933" t="s">
        <v>298</v>
      </c>
      <c r="C2" s="933"/>
      <c r="D2" s="933"/>
      <c r="E2" s="933"/>
      <c r="F2" s="933"/>
      <c r="G2" s="933"/>
      <c r="H2" s="933"/>
      <c r="I2" s="933"/>
      <c r="J2" s="14"/>
      <c r="K2" s="14"/>
    </row>
    <row r="3" spans="1:11" s="54" customFormat="1" ht="15">
      <c r="A3" s="368" t="s">
        <v>60</v>
      </c>
      <c r="B3" s="372" t="s">
        <v>299</v>
      </c>
      <c r="C3" s="372"/>
      <c r="D3" s="934" t="s">
        <v>116</v>
      </c>
      <c r="E3" s="934"/>
      <c r="F3" s="1051" t="s">
        <v>300</v>
      </c>
      <c r="G3" s="1051"/>
      <c r="H3" s="1051"/>
      <c r="I3" s="1051"/>
      <c r="J3" s="15"/>
      <c r="K3" s="15"/>
    </row>
    <row r="4" spans="1:11" s="54" customFormat="1" ht="15">
      <c r="A4" s="368" t="s">
        <v>61</v>
      </c>
      <c r="B4" s="952" t="s">
        <v>301</v>
      </c>
      <c r="C4" s="953"/>
      <c r="D4" s="953"/>
      <c r="E4" s="953"/>
      <c r="F4" s="953"/>
      <c r="G4" s="953"/>
      <c r="H4" s="953"/>
      <c r="I4" s="954"/>
      <c r="J4" s="16"/>
      <c r="K4" s="16"/>
    </row>
    <row r="5" spans="1:11" s="54" customFormat="1" ht="15">
      <c r="A5" s="368" t="s">
        <v>62</v>
      </c>
      <c r="B5" s="955" t="s">
        <v>302</v>
      </c>
      <c r="C5" s="956"/>
      <c r="D5" s="956"/>
      <c r="E5" s="956"/>
      <c r="F5" s="956"/>
      <c r="G5" s="956"/>
      <c r="H5" s="956"/>
      <c r="I5" s="957"/>
      <c r="J5" s="16"/>
      <c r="K5" s="16"/>
    </row>
    <row r="6" spans="1:11" s="54" customFormat="1" ht="15">
      <c r="A6" s="368" t="s">
        <v>67</v>
      </c>
      <c r="B6" s="1087">
        <f>'BDI NÃO DESONERADO'!I27</f>
        <v>0.2212455334054051</v>
      </c>
      <c r="C6" s="1088"/>
      <c r="D6" s="1087">
        <f>'BDI NÃO DESONERADO'!I53</f>
        <v>0.1401748783860921</v>
      </c>
      <c r="E6" s="1089"/>
      <c r="F6" s="1089"/>
      <c r="G6" s="1089"/>
      <c r="H6" s="1089"/>
      <c r="I6" s="1088"/>
      <c r="J6" s="12"/>
      <c r="K6" s="12"/>
    </row>
    <row r="7" spans="1:11" s="54" customFormat="1" ht="33" customHeight="1">
      <c r="A7" s="928" t="s">
        <v>117</v>
      </c>
      <c r="B7" s="926" t="s">
        <v>118</v>
      </c>
      <c r="C7" s="926"/>
      <c r="D7" s="785" t="s">
        <v>39</v>
      </c>
      <c r="E7" s="785"/>
      <c r="F7" s="1090" t="s">
        <v>686</v>
      </c>
      <c r="G7" s="1091"/>
      <c r="H7" s="1091"/>
      <c r="I7" s="1092"/>
      <c r="J7" s="12"/>
      <c r="K7" s="12"/>
    </row>
    <row r="8" spans="1:11" s="54" customFormat="1" ht="30" customHeight="1" thickBot="1">
      <c r="A8" s="928"/>
      <c r="B8" s="926"/>
      <c r="C8" s="926"/>
      <c r="D8" s="921" t="s">
        <v>119</v>
      </c>
      <c r="E8" s="921"/>
      <c r="F8" s="1057" t="s">
        <v>120</v>
      </c>
      <c r="G8" s="1057"/>
      <c r="H8" s="1057"/>
      <c r="I8" s="1057"/>
      <c r="J8" s="17"/>
      <c r="K8" s="17"/>
    </row>
    <row r="9" spans="2:10" s="54" customFormat="1" ht="15" thickBot="1">
      <c r="B9" s="311"/>
      <c r="C9" s="95"/>
      <c r="D9" s="96"/>
      <c r="E9" s="97"/>
      <c r="F9" s="540"/>
      <c r="G9" s="96"/>
      <c r="H9" s="98"/>
      <c r="I9" s="119"/>
      <c r="J9" s="310">
        <f>'BDI NÃO DESONERADO'!I27+1</f>
        <v>1.221245533405405</v>
      </c>
    </row>
    <row r="10" spans="1:12" s="54" customFormat="1" ht="15.75" thickBot="1">
      <c r="A10" s="110" t="s">
        <v>7</v>
      </c>
      <c r="B10" s="312" t="s">
        <v>94</v>
      </c>
      <c r="C10" s="110" t="s">
        <v>8</v>
      </c>
      <c r="D10" s="110" t="s">
        <v>9</v>
      </c>
      <c r="E10" s="111" t="s">
        <v>10</v>
      </c>
      <c r="F10" s="112" t="s">
        <v>11</v>
      </c>
      <c r="G10" s="112" t="s">
        <v>27</v>
      </c>
      <c r="H10" s="113" t="s">
        <v>12</v>
      </c>
      <c r="I10" s="117" t="s">
        <v>26</v>
      </c>
      <c r="J10" s="310">
        <f>'BDI NÃO DESONERADO'!I53+1</f>
        <v>1.140174878386092</v>
      </c>
      <c r="L10" s="53"/>
    </row>
    <row r="11" spans="1:10" s="54" customFormat="1" ht="15.75" thickBot="1">
      <c r="A11" s="575">
        <v>1</v>
      </c>
      <c r="B11" s="576"/>
      <c r="C11" s="1097" t="s">
        <v>77</v>
      </c>
      <c r="D11" s="1098"/>
      <c r="E11" s="1098"/>
      <c r="F11" s="1098"/>
      <c r="G11" s="1098"/>
      <c r="H11" s="1099"/>
      <c r="I11" s="577"/>
      <c r="J11" s="55"/>
    </row>
    <row r="12" spans="1:10" s="61" customFormat="1" ht="28.5">
      <c r="A12" s="56" t="s">
        <v>1</v>
      </c>
      <c r="B12" s="34">
        <v>90777</v>
      </c>
      <c r="C12" s="538" t="s">
        <v>89</v>
      </c>
      <c r="D12" s="44" t="s">
        <v>78</v>
      </c>
      <c r="E12" s="57">
        <f>'ADM. 1'!C18</f>
        <v>35</v>
      </c>
      <c r="F12" s="506">
        <v>80.1</v>
      </c>
      <c r="G12" s="58">
        <f>ROUND((F12*$J$9),2)</f>
        <v>97.82</v>
      </c>
      <c r="H12" s="58">
        <f>ROUND((E12*G12),2)</f>
        <v>3423.7</v>
      </c>
      <c r="I12" s="59">
        <f>H12/$H$219</f>
        <v>0.010569639249200895</v>
      </c>
      <c r="J12" s="60"/>
    </row>
    <row r="13" spans="1:9" s="54" customFormat="1" ht="15" thickBot="1">
      <c r="A13" s="56" t="s">
        <v>88</v>
      </c>
      <c r="B13" s="37">
        <v>90776</v>
      </c>
      <c r="C13" s="539" t="s">
        <v>79</v>
      </c>
      <c r="D13" s="44" t="s">
        <v>78</v>
      </c>
      <c r="E13" s="63">
        <f>'ADM. 1'!C25</f>
        <v>840</v>
      </c>
      <c r="F13" s="507">
        <v>17.5</v>
      </c>
      <c r="G13" s="64">
        <f>ROUND((F13*$J$9),2)</f>
        <v>21.37</v>
      </c>
      <c r="H13" s="58">
        <f>ROUND((E13*G13),2)</f>
        <v>17950.8</v>
      </c>
      <c r="I13" s="59">
        <f>H13/$H$219</f>
        <v>0.055417671009304385</v>
      </c>
    </row>
    <row r="14" spans="1:9" s="54" customFormat="1" ht="15.75" thickBot="1">
      <c r="A14" s="1100" t="s">
        <v>157</v>
      </c>
      <c r="B14" s="1101"/>
      <c r="C14" s="1101"/>
      <c r="D14" s="1101"/>
      <c r="E14" s="1101"/>
      <c r="F14" s="1101"/>
      <c r="G14" s="115"/>
      <c r="H14" s="103">
        <f>ROUND(SUM(H12:H13),2)</f>
        <v>21374.5</v>
      </c>
      <c r="I14" s="102">
        <f>SUM(I12:I13)</f>
        <v>0.06598731025850528</v>
      </c>
    </row>
    <row r="15" spans="1:9" s="54" customFormat="1" ht="15" thickBot="1">
      <c r="A15" s="65"/>
      <c r="B15" s="314"/>
      <c r="C15" s="66"/>
      <c r="D15" s="67"/>
      <c r="E15" s="68"/>
      <c r="F15" s="541"/>
      <c r="G15" s="67"/>
      <c r="H15" s="69"/>
      <c r="I15" s="118"/>
    </row>
    <row r="16" spans="1:10" s="54" customFormat="1" ht="15.75" thickBot="1">
      <c r="A16" s="99">
        <v>2</v>
      </c>
      <c r="B16" s="313"/>
      <c r="C16" s="1102" t="s">
        <v>70</v>
      </c>
      <c r="D16" s="1103"/>
      <c r="E16" s="1103"/>
      <c r="F16" s="1103"/>
      <c r="G16" s="1103"/>
      <c r="H16" s="1104"/>
      <c r="I16" s="114"/>
      <c r="J16" s="55"/>
    </row>
    <row r="17" spans="1:9" s="71" customFormat="1" ht="12.75">
      <c r="A17" s="36" t="s">
        <v>160</v>
      </c>
      <c r="B17" s="75" t="s">
        <v>179</v>
      </c>
      <c r="C17" s="370" t="s">
        <v>38</v>
      </c>
      <c r="D17" s="44" t="s">
        <v>0</v>
      </c>
      <c r="E17" s="57">
        <f>'SER.PREL.2'!C17</f>
        <v>6</v>
      </c>
      <c r="F17" s="515">
        <v>458.57</v>
      </c>
      <c r="G17" s="70">
        <f>ROUND((F17*$J$9),2)</f>
        <v>560.03</v>
      </c>
      <c r="H17" s="58">
        <f>ROUND((E17*G17),2)</f>
        <v>3360.18</v>
      </c>
      <c r="I17" s="59">
        <f>H17/$H$219</f>
        <v>0.010373540442322594</v>
      </c>
    </row>
    <row r="18" spans="1:16" s="71" customFormat="1" ht="42.75">
      <c r="A18" s="36" t="s">
        <v>161</v>
      </c>
      <c r="B18" s="75" t="s">
        <v>296</v>
      </c>
      <c r="C18" s="370" t="s">
        <v>297</v>
      </c>
      <c r="D18" s="44" t="s">
        <v>0</v>
      </c>
      <c r="E18" s="57">
        <f>'SER.PREL.2'!C24</f>
        <v>271.7</v>
      </c>
      <c r="F18" s="515">
        <v>8.32</v>
      </c>
      <c r="G18" s="58">
        <f>ROUND((F18*$J$9),2)</f>
        <v>10.16</v>
      </c>
      <c r="H18" s="58">
        <f>ROUND((E18*G18),2)</f>
        <v>2760.47</v>
      </c>
      <c r="I18" s="59">
        <f>H18/$H$219</f>
        <v>0.008522117024926714</v>
      </c>
      <c r="P18" s="72"/>
    </row>
    <row r="19" spans="1:16" s="71" customFormat="1" ht="43.5" thickBot="1">
      <c r="A19" s="36" t="s">
        <v>162</v>
      </c>
      <c r="B19" s="127">
        <v>93208</v>
      </c>
      <c r="C19" s="391" t="s">
        <v>85</v>
      </c>
      <c r="D19" s="62" t="s">
        <v>0</v>
      </c>
      <c r="E19" s="63">
        <f>'SER.PREL.2'!C30</f>
        <v>12</v>
      </c>
      <c r="F19" s="542">
        <v>462.08</v>
      </c>
      <c r="G19" s="64">
        <f>ROUND((F19*$J$9),2)</f>
        <v>564.31</v>
      </c>
      <c r="H19" s="64">
        <f>ROUND((E19*G19),2)</f>
        <v>6771.72</v>
      </c>
      <c r="I19" s="59">
        <f>H19/$H$219</f>
        <v>0.020905639365773488</v>
      </c>
      <c r="P19" s="72"/>
    </row>
    <row r="20" spans="1:9" s="71" customFormat="1" ht="15.75" thickBot="1">
      <c r="A20" s="1100" t="s">
        <v>158</v>
      </c>
      <c r="B20" s="1101"/>
      <c r="C20" s="1101"/>
      <c r="D20" s="1101"/>
      <c r="E20" s="1101"/>
      <c r="F20" s="1101"/>
      <c r="G20" s="115"/>
      <c r="H20" s="103">
        <f>SUM(H17:H19)</f>
        <v>12892.369999999999</v>
      </c>
      <c r="I20" s="102">
        <f>SUM(I17:I19)</f>
        <v>0.039801296833022796</v>
      </c>
    </row>
    <row r="21" spans="1:9" s="71" customFormat="1" ht="15.75" thickBot="1">
      <c r="A21" s="344"/>
      <c r="B21" s="345"/>
      <c r="C21" s="345"/>
      <c r="D21" s="345"/>
      <c r="E21" s="345"/>
      <c r="F21" s="104"/>
      <c r="G21" s="104"/>
      <c r="H21" s="346"/>
      <c r="I21" s="74"/>
    </row>
    <row r="22" spans="1:20" s="71" customFormat="1" ht="15.75" thickBot="1">
      <c r="A22" s="99">
        <v>3</v>
      </c>
      <c r="B22" s="313"/>
      <c r="C22" s="1102" t="s">
        <v>650</v>
      </c>
      <c r="D22" s="1103"/>
      <c r="E22" s="1103"/>
      <c r="F22" s="1103"/>
      <c r="G22" s="1103"/>
      <c r="H22" s="1104"/>
      <c r="I22" s="114"/>
      <c r="J22" s="1105"/>
      <c r="K22" s="1106"/>
      <c r="L22" s="1106"/>
      <c r="M22" s="1106"/>
      <c r="N22" s="1106"/>
      <c r="O22" s="1106"/>
      <c r="P22" s="1106"/>
      <c r="Q22" s="1106"/>
      <c r="R22" s="1106"/>
      <c r="S22" s="1106"/>
      <c r="T22" s="1106"/>
    </row>
    <row r="23" spans="1:20" s="71" customFormat="1" ht="57">
      <c r="A23" s="36" t="s">
        <v>517</v>
      </c>
      <c r="B23" s="812">
        <v>94993</v>
      </c>
      <c r="C23" s="395" t="s">
        <v>305</v>
      </c>
      <c r="D23" s="44" t="s">
        <v>0</v>
      </c>
      <c r="E23" s="76">
        <f>'PAV. 3'!C19</f>
        <v>108</v>
      </c>
      <c r="F23" s="515">
        <v>57.95</v>
      </c>
      <c r="G23" s="70">
        <f>ROUND((F23*$J$9),2)</f>
        <v>70.77</v>
      </c>
      <c r="H23" s="58">
        <f>ROUND((E23*G23),2)</f>
        <v>7643.16</v>
      </c>
      <c r="I23" s="59">
        <f>H23/$H$219</f>
        <v>0.023595947052581216</v>
      </c>
      <c r="J23" s="22"/>
      <c r="K23" s="23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71" customFormat="1" ht="15">
      <c r="A24" s="876"/>
      <c r="B24" s="896"/>
      <c r="C24" s="675" t="s">
        <v>651</v>
      </c>
      <c r="D24" s="877"/>
      <c r="E24" s="877"/>
      <c r="F24" s="877"/>
      <c r="G24" s="877"/>
      <c r="H24" s="889"/>
      <c r="I24" s="878"/>
      <c r="J24" s="22"/>
      <c r="K24" s="23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71" customFormat="1" ht="28.5">
      <c r="A25" s="36" t="s">
        <v>649</v>
      </c>
      <c r="B25" s="812" t="s">
        <v>105</v>
      </c>
      <c r="C25" s="395" t="str">
        <f>'COMPOSIÇÕES NÃO DESONERADO'!A12</f>
        <v>PISO TÁTIL EM LADRILHO HIDRÁULICO DIRECIONAL E ALERTA, DIMENSÕES 20X20CM, E=2CM. INCL. PERDAS.</v>
      </c>
      <c r="D25" s="44" t="s">
        <v>0</v>
      </c>
      <c r="E25" s="76">
        <f>'PAV. 3'!C30</f>
        <v>14.080000000000002</v>
      </c>
      <c r="F25" s="515">
        <f>'COMPOSIÇÕES NÃO DESONERADO'!J19</f>
        <v>77.71</v>
      </c>
      <c r="G25" s="70">
        <f>ROUND((F25*$J$9),2)</f>
        <v>94.9</v>
      </c>
      <c r="H25" s="58">
        <f>ROUND((E25*G25),2)</f>
        <v>1336.19</v>
      </c>
      <c r="I25" s="59">
        <f>H25/$H$219</f>
        <v>0.004125082883544045</v>
      </c>
      <c r="J25" s="22"/>
      <c r="K25" s="23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71" customFormat="1" ht="15.75" thickBot="1">
      <c r="A26" s="1108" t="s">
        <v>680</v>
      </c>
      <c r="B26" s="1109"/>
      <c r="C26" s="1109"/>
      <c r="D26" s="1109"/>
      <c r="E26" s="1109"/>
      <c r="F26" s="1109"/>
      <c r="G26" s="347"/>
      <c r="H26" s="348">
        <f>SUM(H23:H25)</f>
        <v>8979.35</v>
      </c>
      <c r="I26" s="349">
        <f>SUM(I23:I25)</f>
        <v>0.027721029936125262</v>
      </c>
      <c r="J26" s="20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s="71" customFormat="1" ht="15.75" thickBot="1">
      <c r="A27" s="344"/>
      <c r="B27" s="345"/>
      <c r="C27" s="345"/>
      <c r="D27" s="345"/>
      <c r="E27" s="345"/>
      <c r="F27" s="104"/>
      <c r="G27" s="104"/>
      <c r="H27" s="346"/>
      <c r="I27" s="106"/>
      <c r="J27" s="20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s="71" customFormat="1" ht="15.75" thickBot="1">
      <c r="A28" s="99">
        <v>4</v>
      </c>
      <c r="B28" s="313"/>
      <c r="C28" s="1102" t="s">
        <v>121</v>
      </c>
      <c r="D28" s="1103"/>
      <c r="E28" s="1103"/>
      <c r="F28" s="1103"/>
      <c r="G28" s="1103"/>
      <c r="H28" s="1104"/>
      <c r="I28" s="114"/>
      <c r="J28" s="1110"/>
      <c r="K28" s="1111"/>
      <c r="L28" s="1093"/>
      <c r="M28" s="1093"/>
      <c r="N28" s="1093"/>
      <c r="O28" s="1094"/>
      <c r="P28" s="1094"/>
      <c r="Q28" s="1094"/>
      <c r="R28" s="1094"/>
      <c r="S28" s="1094"/>
      <c r="T28" s="1094"/>
    </row>
    <row r="29" spans="1:20" s="71" customFormat="1" ht="12.75">
      <c r="A29" s="36" t="s">
        <v>130</v>
      </c>
      <c r="B29" s="315">
        <v>85180</v>
      </c>
      <c r="C29" s="509" t="s">
        <v>132</v>
      </c>
      <c r="D29" s="371" t="s">
        <v>3</v>
      </c>
      <c r="E29" s="325">
        <f>'URB. 4'!C27</f>
        <v>58.830000000000005</v>
      </c>
      <c r="F29" s="512">
        <v>12.09</v>
      </c>
      <c r="G29" s="326">
        <f>ROUND((F29*$J$9),2)</f>
        <v>14.76</v>
      </c>
      <c r="H29" s="58">
        <f>ROUND((E29*G29),2)</f>
        <v>868.33</v>
      </c>
      <c r="I29" s="59">
        <f>H29/$H$219</f>
        <v>0.0026807065015213407</v>
      </c>
      <c r="J29" s="1110"/>
      <c r="K29" s="1111"/>
      <c r="L29" s="1095"/>
      <c r="M29" s="1095"/>
      <c r="N29" s="1095"/>
      <c r="O29" s="1096"/>
      <c r="P29" s="1096"/>
      <c r="Q29" s="1096"/>
      <c r="R29" s="1096"/>
      <c r="S29" s="1096"/>
      <c r="T29" s="1096"/>
    </row>
    <row r="30" spans="1:20" s="71" customFormat="1" ht="28.5">
      <c r="A30" s="36" t="s">
        <v>518</v>
      </c>
      <c r="B30" s="316">
        <v>85178</v>
      </c>
      <c r="C30" s="510" t="s">
        <v>131</v>
      </c>
      <c r="D30" s="62" t="s">
        <v>123</v>
      </c>
      <c r="E30" s="325">
        <f>'URB. 4'!C32</f>
        <v>30</v>
      </c>
      <c r="F30" s="543">
        <v>54.32</v>
      </c>
      <c r="G30" s="326">
        <f>ROUND((F30*$J$9),2)</f>
        <v>66.34</v>
      </c>
      <c r="H30" s="58">
        <f>ROUND((E30*G30),2)</f>
        <v>1990.2</v>
      </c>
      <c r="I30" s="59">
        <f>H30/$H$219</f>
        <v>0.006144141143721594</v>
      </c>
      <c r="J30" s="1110"/>
      <c r="K30" s="1111"/>
      <c r="L30" s="1095"/>
      <c r="M30" s="1095"/>
      <c r="N30" s="1095"/>
      <c r="O30" s="1096"/>
      <c r="P30" s="1096"/>
      <c r="Q30" s="1096"/>
      <c r="R30" s="1096"/>
      <c r="S30" s="1096"/>
      <c r="T30" s="1096"/>
    </row>
    <row r="31" spans="1:20" s="71" customFormat="1" ht="15">
      <c r="A31" s="36" t="s">
        <v>519</v>
      </c>
      <c r="B31" s="317"/>
      <c r="C31" s="79" t="s">
        <v>137</v>
      </c>
      <c r="D31" s="327"/>
      <c r="E31" s="80"/>
      <c r="F31" s="328"/>
      <c r="G31" s="329"/>
      <c r="H31" s="330"/>
      <c r="I31" s="331"/>
      <c r="J31" s="1110"/>
      <c r="K31" s="1111"/>
      <c r="L31" s="1095"/>
      <c r="M31" s="1095"/>
      <c r="N31" s="1095"/>
      <c r="O31" s="1096"/>
      <c r="P31" s="1096"/>
      <c r="Q31" s="1096"/>
      <c r="R31" s="1096"/>
      <c r="S31" s="1096"/>
      <c r="T31" s="1096"/>
    </row>
    <row r="32" spans="1:20" s="71" customFormat="1" ht="15">
      <c r="A32" s="81"/>
      <c r="B32" s="318"/>
      <c r="C32" s="332" t="s">
        <v>133</v>
      </c>
      <c r="D32" s="333"/>
      <c r="E32" s="82"/>
      <c r="F32" s="83"/>
      <c r="G32" s="334"/>
      <c r="H32" s="334"/>
      <c r="I32" s="335"/>
      <c r="J32" s="1110"/>
      <c r="K32" s="1111"/>
      <c r="L32" s="1095"/>
      <c r="M32" s="1095"/>
      <c r="N32" s="1095"/>
      <c r="O32" s="1096"/>
      <c r="P32" s="1096"/>
      <c r="Q32" s="1096"/>
      <c r="R32" s="1096"/>
      <c r="S32" s="1096"/>
      <c r="T32" s="1096"/>
    </row>
    <row r="33" spans="1:20" s="71" customFormat="1" ht="12.75">
      <c r="A33" s="36" t="s">
        <v>520</v>
      </c>
      <c r="B33" s="336">
        <v>93358</v>
      </c>
      <c r="C33" s="486" t="s">
        <v>107</v>
      </c>
      <c r="D33" s="84" t="s">
        <v>2</v>
      </c>
      <c r="E33" s="85">
        <f>'URB. 4'!C42</f>
        <v>0.19</v>
      </c>
      <c r="F33" s="544">
        <v>60.01</v>
      </c>
      <c r="G33" s="326">
        <f>ROUND((F33*$J$9),2)</f>
        <v>73.29</v>
      </c>
      <c r="H33" s="58">
        <f>ROUND((E33*G33),2)</f>
        <v>13.93</v>
      </c>
      <c r="I33" s="59">
        <f>H33/$H$219</f>
        <v>4.300466592907336E-05</v>
      </c>
      <c r="J33" s="1110"/>
      <c r="K33" s="1111"/>
      <c r="L33" s="1095"/>
      <c r="M33" s="1095"/>
      <c r="N33" s="1095"/>
      <c r="O33" s="1096"/>
      <c r="P33" s="1096"/>
      <c r="Q33" s="1096"/>
      <c r="R33" s="1096"/>
      <c r="S33" s="1096"/>
      <c r="T33" s="1096"/>
    </row>
    <row r="34" spans="1:20" s="71" customFormat="1" ht="28.5">
      <c r="A34" s="36" t="s">
        <v>521</v>
      </c>
      <c r="B34" s="336">
        <v>96619</v>
      </c>
      <c r="C34" s="486" t="s">
        <v>251</v>
      </c>
      <c r="D34" s="86" t="s">
        <v>3</v>
      </c>
      <c r="E34" s="85">
        <f>'URB. 4'!C49</f>
        <v>0.29</v>
      </c>
      <c r="F34" s="544">
        <v>24.56</v>
      </c>
      <c r="G34" s="326">
        <f>ROUND((F34*$J$9),2)</f>
        <v>29.99</v>
      </c>
      <c r="H34" s="58">
        <f>ROUND((E34*G34),2)</f>
        <v>8.7</v>
      </c>
      <c r="I34" s="59">
        <f>H34/$H$219</f>
        <v>2.685862121916283E-05</v>
      </c>
      <c r="J34" s="1110"/>
      <c r="K34" s="1111"/>
      <c r="L34" s="1095"/>
      <c r="M34" s="1095"/>
      <c r="N34" s="1095"/>
      <c r="O34" s="1096"/>
      <c r="P34" s="1096"/>
      <c r="Q34" s="1096"/>
      <c r="R34" s="1096"/>
      <c r="S34" s="1096"/>
      <c r="T34" s="1096"/>
    </row>
    <row r="35" spans="1:20" s="71" customFormat="1" ht="42.75">
      <c r="A35" s="36" t="s">
        <v>522</v>
      </c>
      <c r="B35" s="337">
        <v>96535</v>
      </c>
      <c r="C35" s="474" t="s">
        <v>128</v>
      </c>
      <c r="D35" s="86" t="s">
        <v>3</v>
      </c>
      <c r="E35" s="85">
        <f>'URB. 4'!C56</f>
        <v>1.34</v>
      </c>
      <c r="F35" s="545">
        <v>89.53</v>
      </c>
      <c r="G35" s="326">
        <f>ROUND((F35*$J$9),2)</f>
        <v>109.34</v>
      </c>
      <c r="H35" s="58">
        <f>ROUND((E35*G35),2)</f>
        <v>146.52</v>
      </c>
      <c r="I35" s="59">
        <f>H35/$H$219</f>
        <v>0.0004523362277047975</v>
      </c>
      <c r="J35" s="1110"/>
      <c r="K35" s="1111"/>
      <c r="L35" s="1095"/>
      <c r="M35" s="1095"/>
      <c r="N35" s="1095"/>
      <c r="O35" s="1096"/>
      <c r="P35" s="1096"/>
      <c r="Q35" s="1096"/>
      <c r="R35" s="1096"/>
      <c r="S35" s="1096"/>
      <c r="T35" s="1096"/>
    </row>
    <row r="36" spans="1:20" s="71" customFormat="1" ht="28.5">
      <c r="A36" s="36" t="s">
        <v>523</v>
      </c>
      <c r="B36" s="338">
        <v>73361</v>
      </c>
      <c r="C36" s="491" t="s">
        <v>69</v>
      </c>
      <c r="D36" s="87" t="s">
        <v>2</v>
      </c>
      <c r="E36" s="85">
        <f>'URB. 4'!C63</f>
        <v>0.09</v>
      </c>
      <c r="F36" s="546">
        <v>443.76</v>
      </c>
      <c r="G36" s="326">
        <f>ROUND((F36*$J$9),2)</f>
        <v>541.94</v>
      </c>
      <c r="H36" s="58">
        <f>ROUND((E36*G36),2)</f>
        <v>48.77</v>
      </c>
      <c r="I36" s="59">
        <f>H36/$H$219</f>
        <v>0.00015056263871937603</v>
      </c>
      <c r="J36" s="1110"/>
      <c r="K36" s="1111"/>
      <c r="L36" s="1095"/>
      <c r="M36" s="1095"/>
      <c r="N36" s="1095"/>
      <c r="O36" s="1096"/>
      <c r="P36" s="1096"/>
      <c r="Q36" s="1096"/>
      <c r="R36" s="1096"/>
      <c r="S36" s="1096"/>
      <c r="T36" s="1096"/>
    </row>
    <row r="37" spans="1:20" s="71" customFormat="1" ht="15">
      <c r="A37" s="36"/>
      <c r="B37" s="319"/>
      <c r="C37" s="88" t="s">
        <v>134</v>
      </c>
      <c r="D37" s="89"/>
      <c r="E37" s="90"/>
      <c r="F37" s="91"/>
      <c r="G37" s="92"/>
      <c r="H37" s="93"/>
      <c r="I37" s="339"/>
      <c r="J37" s="1110"/>
      <c r="K37" s="1111"/>
      <c r="L37" s="1095"/>
      <c r="M37" s="1095"/>
      <c r="N37" s="1095"/>
      <c r="O37" s="1096"/>
      <c r="P37" s="1096"/>
      <c r="Q37" s="1096"/>
      <c r="R37" s="1096"/>
      <c r="S37" s="1096"/>
      <c r="T37" s="1096"/>
    </row>
    <row r="38" spans="1:20" s="71" customFormat="1" ht="42.75">
      <c r="A38" s="36" t="s">
        <v>524</v>
      </c>
      <c r="B38" s="340">
        <v>92263</v>
      </c>
      <c r="C38" s="478" t="s">
        <v>86</v>
      </c>
      <c r="D38" s="84" t="s">
        <v>3</v>
      </c>
      <c r="E38" s="85">
        <f>'URB. 4'!C78</f>
        <v>1.7300000000000002</v>
      </c>
      <c r="F38" s="544">
        <v>100.39</v>
      </c>
      <c r="G38" s="326">
        <f>ROUND((F38*$J$9),2)</f>
        <v>122.6</v>
      </c>
      <c r="H38" s="58">
        <f>ROUND((E38*G38),2)</f>
        <v>212.1</v>
      </c>
      <c r="I38" s="59">
        <f>H38/$H$219</f>
        <v>0.0006547946621361421</v>
      </c>
      <c r="J38" s="1110"/>
      <c r="K38" s="1111"/>
      <c r="L38" s="1095"/>
      <c r="M38" s="1095"/>
      <c r="N38" s="1095"/>
      <c r="O38" s="1096"/>
      <c r="P38" s="1096"/>
      <c r="Q38" s="1096"/>
      <c r="R38" s="1096"/>
      <c r="S38" s="1096"/>
      <c r="T38" s="1096"/>
    </row>
    <row r="39" spans="1:20" s="71" customFormat="1" ht="42.75">
      <c r="A39" s="36" t="s">
        <v>525</v>
      </c>
      <c r="B39" s="321">
        <v>94963</v>
      </c>
      <c r="C39" s="492" t="s">
        <v>108</v>
      </c>
      <c r="D39" s="86" t="s">
        <v>2</v>
      </c>
      <c r="E39" s="85">
        <f>'URB. 4'!C88</f>
        <v>0.11</v>
      </c>
      <c r="F39" s="545">
        <v>340.71</v>
      </c>
      <c r="G39" s="326">
        <f>ROUND((F39*$J$9),2)</f>
        <v>416.09</v>
      </c>
      <c r="H39" s="58">
        <f>ROUND((E39*G39),2)</f>
        <v>45.77</v>
      </c>
      <c r="I39" s="59">
        <f>H39/$H$219</f>
        <v>0.00014130104519552677</v>
      </c>
      <c r="J39" s="1110"/>
      <c r="K39" s="1111"/>
      <c r="L39" s="1095"/>
      <c r="M39" s="1095"/>
      <c r="N39" s="1095"/>
      <c r="O39" s="1096"/>
      <c r="P39" s="1096"/>
      <c r="Q39" s="1096"/>
      <c r="R39" s="1096"/>
      <c r="S39" s="1096"/>
      <c r="T39" s="1096"/>
    </row>
    <row r="40" spans="1:20" s="71" customFormat="1" ht="42.75">
      <c r="A40" s="36" t="s">
        <v>526</v>
      </c>
      <c r="B40" s="321">
        <v>92776</v>
      </c>
      <c r="C40" s="492" t="s">
        <v>135</v>
      </c>
      <c r="D40" s="86" t="s">
        <v>72</v>
      </c>
      <c r="E40" s="85">
        <f>'URB. 4'!C103</f>
        <v>3.57</v>
      </c>
      <c r="F40" s="545">
        <v>9.34</v>
      </c>
      <c r="G40" s="326">
        <f>ROUND((F40*$J$9),2)</f>
        <v>11.41</v>
      </c>
      <c r="H40" s="58">
        <f>ROUND((E40*G40),2)</f>
        <v>40.73</v>
      </c>
      <c r="I40" s="59">
        <f>H40/$H$219</f>
        <v>0.00012574156807546</v>
      </c>
      <c r="J40" s="1110"/>
      <c r="K40" s="1111"/>
      <c r="L40" s="1095"/>
      <c r="M40" s="1095"/>
      <c r="N40" s="1095"/>
      <c r="O40" s="1096"/>
      <c r="P40" s="1096"/>
      <c r="Q40" s="1096"/>
      <c r="R40" s="1096"/>
      <c r="S40" s="1096"/>
      <c r="T40" s="1096"/>
    </row>
    <row r="41" spans="1:20" s="71" customFormat="1" ht="57">
      <c r="A41" s="36" t="s">
        <v>527</v>
      </c>
      <c r="B41" s="341">
        <v>92775</v>
      </c>
      <c r="C41" s="492" t="s">
        <v>136</v>
      </c>
      <c r="D41" s="86" t="s">
        <v>72</v>
      </c>
      <c r="E41" s="85">
        <f>'URB. 4'!C118</f>
        <v>1.98</v>
      </c>
      <c r="F41" s="545">
        <v>11</v>
      </c>
      <c r="G41" s="326">
        <f>ROUND((F41*$J$9),2)</f>
        <v>13.43</v>
      </c>
      <c r="H41" s="58">
        <f>ROUND((E41*G41),2)</f>
        <v>26.59</v>
      </c>
      <c r="I41" s="59">
        <f>H41/$H$219</f>
        <v>8.208859059971721E-05</v>
      </c>
      <c r="J41" s="1110"/>
      <c r="K41" s="1111"/>
      <c r="L41" s="1095"/>
      <c r="M41" s="1095"/>
      <c r="N41" s="1095"/>
      <c r="O41" s="1096"/>
      <c r="P41" s="1096"/>
      <c r="Q41" s="1096"/>
      <c r="R41" s="1096"/>
      <c r="S41" s="1096"/>
      <c r="T41" s="1096"/>
    </row>
    <row r="42" spans="1:20" s="71" customFormat="1" ht="12.75">
      <c r="A42" s="36" t="s">
        <v>528</v>
      </c>
      <c r="B42" s="342" t="str">
        <f>'COMPOSIÇÕES NÃO DESONERADO'!A22</f>
        <v>COMPOSIÇÃO 02</v>
      </c>
      <c r="C42" s="493" t="str">
        <f>'COMPOSIÇÕES NÃO DESONERADO'!A23</f>
        <v>ESTRUTURA METALICA DO CESTO DA LIXEIRA</v>
      </c>
      <c r="D42" s="62" t="s">
        <v>83</v>
      </c>
      <c r="E42" s="85">
        <f>'URB. 4'!C123</f>
        <v>4</v>
      </c>
      <c r="F42" s="546">
        <f>'COMPOSIÇÕES NÃO DESONERADO'!J34</f>
        <v>219.17000000000002</v>
      </c>
      <c r="G42" s="495">
        <f>ROUND((F42*$J$9),2)</f>
        <v>267.66</v>
      </c>
      <c r="H42" s="58">
        <f>ROUND((E42*G42),2)</f>
        <v>1070.64</v>
      </c>
      <c r="I42" s="59">
        <f>H42/$H$219</f>
        <v>0.0033052774967913218</v>
      </c>
      <c r="J42" s="1110"/>
      <c r="K42" s="1111"/>
      <c r="L42" s="1095"/>
      <c r="M42" s="1095"/>
      <c r="N42" s="1095"/>
      <c r="O42" s="1096"/>
      <c r="P42" s="1096"/>
      <c r="Q42" s="1096"/>
      <c r="R42" s="1096"/>
      <c r="S42" s="1096"/>
      <c r="T42" s="1096"/>
    </row>
    <row r="43" spans="1:20" s="71" customFormat="1" ht="15">
      <c r="A43" s="78" t="s">
        <v>529</v>
      </c>
      <c r="B43" s="317"/>
      <c r="C43" s="79" t="s">
        <v>267</v>
      </c>
      <c r="D43" s="327"/>
      <c r="E43" s="80"/>
      <c r="F43" s="328"/>
      <c r="G43" s="329"/>
      <c r="H43" s="330"/>
      <c r="I43" s="331"/>
      <c r="J43" s="377"/>
      <c r="K43" s="378"/>
      <c r="L43" s="375"/>
      <c r="M43" s="375"/>
      <c r="N43" s="375"/>
      <c r="O43" s="376"/>
      <c r="P43" s="376"/>
      <c r="Q43" s="376"/>
      <c r="R43" s="376"/>
      <c r="S43" s="376"/>
      <c r="T43" s="376"/>
    </row>
    <row r="44" spans="1:20" s="71" customFormat="1" ht="15">
      <c r="A44" s="81"/>
      <c r="B44" s="319"/>
      <c r="C44" s="332" t="s">
        <v>133</v>
      </c>
      <c r="D44" s="333"/>
      <c r="E44" s="90"/>
      <c r="F44" s="91"/>
      <c r="G44" s="343"/>
      <c r="H44" s="360"/>
      <c r="I44" s="335"/>
      <c r="J44" s="377"/>
      <c r="K44" s="378"/>
      <c r="L44" s="375"/>
      <c r="M44" s="375"/>
      <c r="N44" s="375"/>
      <c r="O44" s="376"/>
      <c r="P44" s="376"/>
      <c r="Q44" s="376"/>
      <c r="R44" s="376"/>
      <c r="S44" s="376"/>
      <c r="T44" s="376"/>
    </row>
    <row r="45" spans="1:20" s="71" customFormat="1" ht="15">
      <c r="A45" s="36" t="s">
        <v>530</v>
      </c>
      <c r="B45" s="336">
        <v>93358</v>
      </c>
      <c r="C45" s="486" t="s">
        <v>107</v>
      </c>
      <c r="D45" s="84" t="s">
        <v>2</v>
      </c>
      <c r="E45" s="477">
        <f>'URB. 4'!C134</f>
        <v>0.58</v>
      </c>
      <c r="F45" s="544">
        <v>60.01</v>
      </c>
      <c r="G45" s="326">
        <f>ROUND((F45*$J$9),2)</f>
        <v>73.29</v>
      </c>
      <c r="H45" s="58">
        <f>ROUND((E45*G45),2)</f>
        <v>42.51</v>
      </c>
      <c r="I45" s="59">
        <f>H45/$H$219</f>
        <v>0.00013123678023294392</v>
      </c>
      <c r="J45" s="377"/>
      <c r="K45" s="378"/>
      <c r="L45" s="375"/>
      <c r="M45" s="375"/>
      <c r="N45" s="375"/>
      <c r="O45" s="376"/>
      <c r="P45" s="376"/>
      <c r="Q45" s="376"/>
      <c r="R45" s="376"/>
      <c r="S45" s="376"/>
      <c r="T45" s="376"/>
    </row>
    <row r="46" spans="1:20" s="71" customFormat="1" ht="28.5">
      <c r="A46" s="36" t="s">
        <v>531</v>
      </c>
      <c r="B46" s="336">
        <v>96619</v>
      </c>
      <c r="C46" s="486" t="s">
        <v>251</v>
      </c>
      <c r="D46" s="86" t="s">
        <v>3</v>
      </c>
      <c r="E46" s="477">
        <f>'URB. 4'!C141</f>
        <v>0.8</v>
      </c>
      <c r="F46" s="544">
        <v>60.01</v>
      </c>
      <c r="G46" s="326">
        <f>ROUND((F46*$J$9),2)</f>
        <v>73.29</v>
      </c>
      <c r="H46" s="58">
        <f>ROUND((E46*G46),2)</f>
        <v>58.63</v>
      </c>
      <c r="I46" s="59">
        <f>H46/$H$219</f>
        <v>0.00018100240943442724</v>
      </c>
      <c r="J46" s="377"/>
      <c r="K46" s="378"/>
      <c r="L46" s="375"/>
      <c r="M46" s="375"/>
      <c r="N46" s="375"/>
      <c r="O46" s="376"/>
      <c r="P46" s="376"/>
      <c r="Q46" s="376"/>
      <c r="R46" s="376"/>
      <c r="S46" s="376"/>
      <c r="T46" s="376"/>
    </row>
    <row r="47" spans="1:20" s="71" customFormat="1" ht="42.75">
      <c r="A47" s="36" t="s">
        <v>532</v>
      </c>
      <c r="B47" s="337">
        <v>96535</v>
      </c>
      <c r="C47" s="474" t="s">
        <v>128</v>
      </c>
      <c r="D47" s="86" t="s">
        <v>3</v>
      </c>
      <c r="E47" s="477">
        <f>'URB. 4'!C153</f>
        <v>3.5999999999999996</v>
      </c>
      <c r="F47" s="544">
        <v>24.56</v>
      </c>
      <c r="G47" s="326">
        <f>ROUND((F47*$J$9),2)</f>
        <v>29.99</v>
      </c>
      <c r="H47" s="58">
        <f>ROUND((E47*G47),2)</f>
        <v>107.96</v>
      </c>
      <c r="I47" s="59">
        <f>H47/$H$219</f>
        <v>0.00033329387894492175</v>
      </c>
      <c r="J47" s="377"/>
      <c r="K47" s="378"/>
      <c r="L47" s="375"/>
      <c r="M47" s="375"/>
      <c r="N47" s="375"/>
      <c r="O47" s="376"/>
      <c r="P47" s="376"/>
      <c r="Q47" s="376"/>
      <c r="R47" s="376"/>
      <c r="S47" s="376"/>
      <c r="T47" s="376"/>
    </row>
    <row r="48" spans="1:20" s="71" customFormat="1" ht="28.5">
      <c r="A48" s="36" t="s">
        <v>533</v>
      </c>
      <c r="B48" s="338">
        <v>73361</v>
      </c>
      <c r="C48" s="491" t="s">
        <v>69</v>
      </c>
      <c r="D48" s="87" t="s">
        <v>2</v>
      </c>
      <c r="E48" s="501">
        <f>'URB. 4'!C165</f>
        <v>0.2</v>
      </c>
      <c r="F48" s="546">
        <v>89.53</v>
      </c>
      <c r="G48" s="496">
        <f>ROUND((F48*$J$9),2)</f>
        <v>109.34</v>
      </c>
      <c r="H48" s="100">
        <f>ROUND((E48*G48),2)</f>
        <v>21.87</v>
      </c>
      <c r="I48" s="358">
        <f>H48/$H$219</f>
        <v>6.751701678886106E-05</v>
      </c>
      <c r="J48" s="377"/>
      <c r="K48" s="378"/>
      <c r="L48" s="375"/>
      <c r="M48" s="375"/>
      <c r="N48" s="375"/>
      <c r="O48" s="376"/>
      <c r="P48" s="376"/>
      <c r="Q48" s="376"/>
      <c r="R48" s="376"/>
      <c r="S48" s="376"/>
      <c r="T48" s="376"/>
    </row>
    <row r="49" spans="1:20" s="71" customFormat="1" ht="15">
      <c r="A49" s="81"/>
      <c r="B49" s="319"/>
      <c r="C49" s="332" t="s">
        <v>250</v>
      </c>
      <c r="D49" s="333"/>
      <c r="E49" s="90"/>
      <c r="F49" s="91"/>
      <c r="G49" s="343"/>
      <c r="H49" s="360"/>
      <c r="I49" s="335"/>
      <c r="J49" s="377"/>
      <c r="K49" s="378"/>
      <c r="L49" s="375"/>
      <c r="M49" s="375"/>
      <c r="N49" s="375"/>
      <c r="O49" s="376"/>
      <c r="P49" s="376"/>
      <c r="Q49" s="376"/>
      <c r="R49" s="376"/>
      <c r="S49" s="376"/>
      <c r="T49" s="376"/>
    </row>
    <row r="50" spans="1:20" s="71" customFormat="1" ht="42.75">
      <c r="A50" s="356" t="s">
        <v>534</v>
      </c>
      <c r="B50" s="340">
        <v>92263</v>
      </c>
      <c r="C50" s="478" t="s">
        <v>86</v>
      </c>
      <c r="D50" s="84" t="s">
        <v>3</v>
      </c>
      <c r="E50" s="477">
        <f>'URB. 4'!C183</f>
        <v>7.12</v>
      </c>
      <c r="F50" s="544">
        <v>100.39</v>
      </c>
      <c r="G50" s="326">
        <f>ROUND((F50*$J$9),2)</f>
        <v>122.6</v>
      </c>
      <c r="H50" s="58">
        <f>ROUND((E50*G50),2)</f>
        <v>872.91</v>
      </c>
      <c r="I50" s="59">
        <f>H50/$H$219</f>
        <v>0.002694845867634417</v>
      </c>
      <c r="J50" s="377"/>
      <c r="K50" s="378"/>
      <c r="L50" s="375"/>
      <c r="M50" s="375"/>
      <c r="N50" s="375"/>
      <c r="O50" s="376"/>
      <c r="P50" s="376"/>
      <c r="Q50" s="376"/>
      <c r="R50" s="376"/>
      <c r="S50" s="376"/>
      <c r="T50" s="376"/>
    </row>
    <row r="51" spans="1:20" s="71" customFormat="1" ht="42.75">
      <c r="A51" s="356" t="s">
        <v>535</v>
      </c>
      <c r="B51" s="321">
        <v>94963</v>
      </c>
      <c r="C51" s="492" t="s">
        <v>108</v>
      </c>
      <c r="D51" s="86" t="s">
        <v>2</v>
      </c>
      <c r="E51" s="477">
        <f>'URB. 4'!C195</f>
        <v>0.56</v>
      </c>
      <c r="F51" s="545">
        <v>340.71</v>
      </c>
      <c r="G51" s="326">
        <f>ROUND((F51*$J$9),2)</f>
        <v>416.09</v>
      </c>
      <c r="H51" s="58">
        <f>ROUND((E51*G51),2)</f>
        <v>233.01</v>
      </c>
      <c r="I51" s="59">
        <f>H51/$H$219</f>
        <v>0.0007193479689973714</v>
      </c>
      <c r="J51" s="377"/>
      <c r="K51" s="378"/>
      <c r="L51" s="375"/>
      <c r="M51" s="375"/>
      <c r="N51" s="375"/>
      <c r="O51" s="376"/>
      <c r="P51" s="376"/>
      <c r="Q51" s="376"/>
      <c r="R51" s="376"/>
      <c r="S51" s="376"/>
      <c r="T51" s="376"/>
    </row>
    <row r="52" spans="1:20" s="71" customFormat="1" ht="42.75">
      <c r="A52" s="356" t="s">
        <v>536</v>
      </c>
      <c r="B52" s="321">
        <v>92915</v>
      </c>
      <c r="C52" s="492" t="s">
        <v>286</v>
      </c>
      <c r="D52" s="86" t="s">
        <v>72</v>
      </c>
      <c r="E52" s="477">
        <f>'URB. 4'!C202</f>
        <v>15.14</v>
      </c>
      <c r="F52" s="545">
        <v>9.34</v>
      </c>
      <c r="G52" s="326">
        <f>ROUND((F52*$J$9),2)</f>
        <v>11.41</v>
      </c>
      <c r="H52" s="58">
        <f>ROUND((E52*G52),2)</f>
        <v>172.75</v>
      </c>
      <c r="I52" s="59">
        <f>H52/$H$219</f>
        <v>0.0005333134270816528</v>
      </c>
      <c r="J52" s="377"/>
      <c r="K52" s="378"/>
      <c r="L52" s="375"/>
      <c r="M52" s="375"/>
      <c r="N52" s="375"/>
      <c r="O52" s="376"/>
      <c r="P52" s="376"/>
      <c r="Q52" s="376"/>
      <c r="R52" s="376"/>
      <c r="S52" s="376"/>
      <c r="T52" s="376"/>
    </row>
    <row r="53" spans="1:20" s="71" customFormat="1" ht="42.75">
      <c r="A53" s="356" t="s">
        <v>537</v>
      </c>
      <c r="B53" s="321">
        <v>92917</v>
      </c>
      <c r="C53" s="492" t="s">
        <v>287</v>
      </c>
      <c r="D53" s="86" t="s">
        <v>72</v>
      </c>
      <c r="E53" s="477">
        <f>'URB. 4'!C209</f>
        <v>46.93</v>
      </c>
      <c r="F53" s="545">
        <v>8.08</v>
      </c>
      <c r="G53" s="326">
        <f>ROUND((F53*$J$9),2)</f>
        <v>9.87</v>
      </c>
      <c r="H53" s="58">
        <f>ROUND((E53*G53),2)</f>
        <v>463.2</v>
      </c>
      <c r="I53" s="59">
        <f>H53/$H$219</f>
        <v>0.0014299900400823245</v>
      </c>
      <c r="J53" s="377"/>
      <c r="K53" s="378"/>
      <c r="L53" s="375"/>
      <c r="M53" s="375"/>
      <c r="N53" s="375"/>
      <c r="O53" s="376"/>
      <c r="P53" s="376"/>
      <c r="Q53" s="376"/>
      <c r="R53" s="376"/>
      <c r="S53" s="376"/>
      <c r="T53" s="376"/>
    </row>
    <row r="54" spans="1:20" s="71" customFormat="1" ht="15">
      <c r="A54" s="356"/>
      <c r="B54" s="321"/>
      <c r="C54" s="511" t="s">
        <v>290</v>
      </c>
      <c r="D54" s="86"/>
      <c r="E54" s="477"/>
      <c r="F54" s="545"/>
      <c r="G54" s="326"/>
      <c r="H54" s="58"/>
      <c r="I54" s="59"/>
      <c r="J54" s="471"/>
      <c r="K54" s="472"/>
      <c r="L54" s="469"/>
      <c r="M54" s="469"/>
      <c r="N54" s="469"/>
      <c r="O54" s="470"/>
      <c r="P54" s="470"/>
      <c r="Q54" s="470"/>
      <c r="R54" s="470"/>
      <c r="S54" s="470"/>
      <c r="T54" s="470"/>
    </row>
    <row r="55" spans="1:20" s="71" customFormat="1" ht="28.5">
      <c r="A55" s="36" t="s">
        <v>538</v>
      </c>
      <c r="B55" s="341">
        <v>4721</v>
      </c>
      <c r="C55" s="508" t="s">
        <v>289</v>
      </c>
      <c r="D55" s="86" t="s">
        <v>2</v>
      </c>
      <c r="E55" s="76">
        <f>'URB. 4'!C217</f>
        <v>0.48</v>
      </c>
      <c r="F55" s="506">
        <v>140.01</v>
      </c>
      <c r="G55" s="506">
        <f>ROUND((F55*$J$10),2)</f>
        <v>159.64</v>
      </c>
      <c r="H55" s="70">
        <f>ROUND((E55*G55),2)</f>
        <v>76.63</v>
      </c>
      <c r="I55" s="350">
        <f>H55/$H$219</f>
        <v>0.00023657197057752274</v>
      </c>
      <c r="J55" s="471"/>
      <c r="K55" s="472"/>
      <c r="L55" s="469"/>
      <c r="M55" s="469"/>
      <c r="N55" s="469"/>
      <c r="O55" s="470"/>
      <c r="P55" s="470"/>
      <c r="Q55" s="470"/>
      <c r="R55" s="470"/>
      <c r="S55" s="470"/>
      <c r="T55" s="470"/>
    </row>
    <row r="56" spans="1:20" s="71" customFormat="1" ht="15">
      <c r="A56" s="81" t="s">
        <v>539</v>
      </c>
      <c r="B56" s="579"/>
      <c r="C56" s="580" t="s">
        <v>288</v>
      </c>
      <c r="D56" s="333"/>
      <c r="E56" s="82"/>
      <c r="F56" s="551"/>
      <c r="G56" s="343"/>
      <c r="H56" s="334"/>
      <c r="I56" s="581"/>
      <c r="J56" s="563"/>
      <c r="K56" s="564"/>
      <c r="L56" s="561"/>
      <c r="M56" s="561"/>
      <c r="N56" s="561"/>
      <c r="O56" s="562"/>
      <c r="P56" s="562"/>
      <c r="Q56" s="562"/>
      <c r="R56" s="562"/>
      <c r="S56" s="562"/>
      <c r="T56" s="562"/>
    </row>
    <row r="57" spans="1:20" s="71" customFormat="1" ht="15">
      <c r="A57" s="81"/>
      <c r="B57" s="579"/>
      <c r="C57" s="580" t="s">
        <v>309</v>
      </c>
      <c r="D57" s="333"/>
      <c r="E57" s="82"/>
      <c r="F57" s="551"/>
      <c r="G57" s="343"/>
      <c r="H57" s="334"/>
      <c r="I57" s="581"/>
      <c r="J57" s="563"/>
      <c r="K57" s="564"/>
      <c r="L57" s="561"/>
      <c r="M57" s="561"/>
      <c r="N57" s="561"/>
      <c r="O57" s="562"/>
      <c r="P57" s="562"/>
      <c r="Q57" s="562"/>
      <c r="R57" s="562"/>
      <c r="S57" s="562"/>
      <c r="T57" s="562"/>
    </row>
    <row r="58" spans="1:20" s="71" customFormat="1" ht="30">
      <c r="A58" s="357" t="s">
        <v>540</v>
      </c>
      <c r="B58" s="362">
        <v>93358</v>
      </c>
      <c r="C58" s="446" t="s">
        <v>241</v>
      </c>
      <c r="D58" s="361" t="s">
        <v>2</v>
      </c>
      <c r="E58" s="383">
        <f>'URB. 4'!D230</f>
        <v>17.63</v>
      </c>
      <c r="F58" s="550">
        <v>60.01</v>
      </c>
      <c r="G58" s="58">
        <f>ROUND((F58*$J$9),2)</f>
        <v>73.29</v>
      </c>
      <c r="H58" s="550">
        <f aca="true" t="shared" si="0" ref="H58:H60">ROUND((E58*G58),2)</f>
        <v>1292.1</v>
      </c>
      <c r="I58" s="59">
        <f>H58/$H$219</f>
        <v>0.0039889683307218725</v>
      </c>
      <c r="J58" s="570"/>
      <c r="K58" s="571"/>
      <c r="L58" s="568"/>
      <c r="M58" s="568"/>
      <c r="N58" s="568"/>
      <c r="O58" s="569"/>
      <c r="P58" s="569"/>
      <c r="Q58" s="569"/>
      <c r="R58" s="569"/>
      <c r="S58" s="569"/>
      <c r="T58" s="569"/>
    </row>
    <row r="59" spans="1:20" s="71" customFormat="1" ht="45">
      <c r="A59" s="357" t="s">
        <v>541</v>
      </c>
      <c r="B59" s="362">
        <v>83534</v>
      </c>
      <c r="C59" s="446" t="s">
        <v>187</v>
      </c>
      <c r="D59" s="361" t="s">
        <v>2</v>
      </c>
      <c r="E59" s="383">
        <f>'URB. 4'!D240</f>
        <v>0.2454</v>
      </c>
      <c r="F59" s="550">
        <v>543.71</v>
      </c>
      <c r="G59" s="58">
        <f>ROUND((F59*$J$9),2)</f>
        <v>664</v>
      </c>
      <c r="H59" s="550">
        <f t="shared" si="0"/>
        <v>162.95</v>
      </c>
      <c r="I59" s="59">
        <f>H59/$H$219</f>
        <v>0.0005030588882370785</v>
      </c>
      <c r="J59" s="570"/>
      <c r="K59" s="571"/>
      <c r="L59" s="568"/>
      <c r="M59" s="568"/>
      <c r="N59" s="568"/>
      <c r="O59" s="569"/>
      <c r="P59" s="569"/>
      <c r="Q59" s="569"/>
      <c r="R59" s="569"/>
      <c r="S59" s="569"/>
      <c r="T59" s="569"/>
    </row>
    <row r="60" spans="1:20" s="71" customFormat="1" ht="45">
      <c r="A60" s="357" t="s">
        <v>542</v>
      </c>
      <c r="B60" s="364">
        <v>96536</v>
      </c>
      <c r="C60" s="446" t="s">
        <v>188</v>
      </c>
      <c r="D60" s="361" t="s">
        <v>3</v>
      </c>
      <c r="E60" s="383">
        <f>'URB. 4'!D250</f>
        <v>98.16</v>
      </c>
      <c r="F60" s="550">
        <v>43.41</v>
      </c>
      <c r="G60" s="58">
        <f>ROUND((F60*$J$9),2)</f>
        <v>53.01</v>
      </c>
      <c r="H60" s="550">
        <f t="shared" si="0"/>
        <v>5203.46</v>
      </c>
      <c r="I60" s="59">
        <f>H60/$H$219</f>
        <v>0.01606411047920288</v>
      </c>
      <c r="J60" s="570"/>
      <c r="K60" s="571"/>
      <c r="L60" s="568"/>
      <c r="M60" s="568"/>
      <c r="N60" s="568"/>
      <c r="O60" s="569"/>
      <c r="P60" s="569"/>
      <c r="Q60" s="569"/>
      <c r="R60" s="569"/>
      <c r="S60" s="569"/>
      <c r="T60" s="569"/>
    </row>
    <row r="61" spans="1:20" s="71" customFormat="1" ht="28.5">
      <c r="A61" s="357" t="s">
        <v>543</v>
      </c>
      <c r="B61" s="321">
        <v>73361</v>
      </c>
      <c r="C61" s="492" t="s">
        <v>310</v>
      </c>
      <c r="D61" s="86" t="s">
        <v>2</v>
      </c>
      <c r="E61" s="76">
        <f>'URB. 4'!D261</f>
        <v>2.4539999999999997</v>
      </c>
      <c r="F61" s="506">
        <v>443.76</v>
      </c>
      <c r="G61" s="70">
        <f>ROUND((F61*$J$9),2)</f>
        <v>541.94</v>
      </c>
      <c r="H61" s="70">
        <f>ROUND((E61*G61),2)</f>
        <v>1329.92</v>
      </c>
      <c r="I61" s="350">
        <f>H61/$H$219</f>
        <v>0.004105726153079199</v>
      </c>
      <c r="J61" s="563"/>
      <c r="K61" s="564"/>
      <c r="L61" s="561"/>
      <c r="M61" s="561"/>
      <c r="N61" s="561"/>
      <c r="O61" s="562"/>
      <c r="P61" s="562"/>
      <c r="Q61" s="562"/>
      <c r="R61" s="562"/>
      <c r="S61" s="562"/>
      <c r="T61" s="562"/>
    </row>
    <row r="62" spans="1:20" s="71" customFormat="1" ht="15">
      <c r="A62" s="81"/>
      <c r="B62" s="579"/>
      <c r="C62" s="580" t="s">
        <v>208</v>
      </c>
      <c r="D62" s="333"/>
      <c r="E62" s="82"/>
      <c r="F62" s="551"/>
      <c r="G62" s="343"/>
      <c r="H62" s="334"/>
      <c r="I62" s="581"/>
      <c r="J62" s="563"/>
      <c r="K62" s="564"/>
      <c r="L62" s="561"/>
      <c r="M62" s="561"/>
      <c r="N62" s="561"/>
      <c r="O62" s="562"/>
      <c r="P62" s="562"/>
      <c r="Q62" s="562"/>
      <c r="R62" s="562"/>
      <c r="S62" s="562"/>
      <c r="T62" s="562"/>
    </row>
    <row r="63" spans="1:20" s="71" customFormat="1" ht="42.75">
      <c r="A63" s="36" t="s">
        <v>544</v>
      </c>
      <c r="B63" s="321">
        <v>87503</v>
      </c>
      <c r="C63" s="492" t="s">
        <v>313</v>
      </c>
      <c r="D63" s="86" t="s">
        <v>3</v>
      </c>
      <c r="E63" s="76">
        <f>'URB. 4'!D274</f>
        <v>49.08</v>
      </c>
      <c r="F63" s="506">
        <v>52.05</v>
      </c>
      <c r="G63" s="70">
        <f>ROUND((F63*$J$9),2)</f>
        <v>63.57</v>
      </c>
      <c r="H63" s="70">
        <f>ROUND((E63*G63),2)</f>
        <v>3120.02</v>
      </c>
      <c r="I63" s="350">
        <f>H63/$H$219</f>
        <v>0.009632119008760048</v>
      </c>
      <c r="J63" s="563"/>
      <c r="K63" s="564"/>
      <c r="L63" s="561"/>
      <c r="M63" s="561"/>
      <c r="N63" s="561"/>
      <c r="O63" s="562"/>
      <c r="P63" s="562"/>
      <c r="Q63" s="562"/>
      <c r="R63" s="562"/>
      <c r="S63" s="562"/>
      <c r="T63" s="562"/>
    </row>
    <row r="64" spans="1:20" s="71" customFormat="1" ht="15">
      <c r="A64" s="81"/>
      <c r="B64" s="579"/>
      <c r="C64" s="580" t="s">
        <v>211</v>
      </c>
      <c r="D64" s="333"/>
      <c r="E64" s="82"/>
      <c r="F64" s="551"/>
      <c r="G64" s="343"/>
      <c r="H64" s="334"/>
      <c r="I64" s="581"/>
      <c r="J64" s="563"/>
      <c r="K64" s="564"/>
      <c r="L64" s="561"/>
      <c r="M64" s="561"/>
      <c r="N64" s="561"/>
      <c r="O64" s="562"/>
      <c r="P64" s="562"/>
      <c r="Q64" s="562"/>
      <c r="R64" s="562"/>
      <c r="S64" s="562"/>
      <c r="T64" s="562"/>
    </row>
    <row r="65" spans="1:20" s="71" customFormat="1" ht="71.25">
      <c r="A65" s="36" t="s">
        <v>545</v>
      </c>
      <c r="B65" s="321">
        <v>87529</v>
      </c>
      <c r="C65" s="492" t="s">
        <v>316</v>
      </c>
      <c r="D65" s="86" t="s">
        <v>3</v>
      </c>
      <c r="E65" s="76">
        <f>'URB. 4'!D287</f>
        <v>106.34</v>
      </c>
      <c r="F65" s="506">
        <v>26.19</v>
      </c>
      <c r="G65" s="70">
        <f>ROUND((F65*$J$9),2)</f>
        <v>31.98</v>
      </c>
      <c r="H65" s="70">
        <f>ROUND((E65*G65),2)</f>
        <v>3400.75</v>
      </c>
      <c r="I65" s="350">
        <f>H65/$H$219</f>
        <v>0.010498788058743448</v>
      </c>
      <c r="J65" s="570"/>
      <c r="K65" s="571"/>
      <c r="L65" s="568"/>
      <c r="M65" s="568"/>
      <c r="N65" s="568"/>
      <c r="O65" s="569"/>
      <c r="P65" s="569"/>
      <c r="Q65" s="569"/>
      <c r="R65" s="569"/>
      <c r="S65" s="569"/>
      <c r="T65" s="569"/>
    </row>
    <row r="66" spans="1:20" s="71" customFormat="1" ht="15">
      <c r="A66" s="81"/>
      <c r="B66" s="579"/>
      <c r="C66" s="580" t="s">
        <v>219</v>
      </c>
      <c r="D66" s="333"/>
      <c r="E66" s="82"/>
      <c r="F66" s="551"/>
      <c r="G66" s="343"/>
      <c r="H66" s="334"/>
      <c r="I66" s="581"/>
      <c r="J66" s="585"/>
      <c r="K66" s="586"/>
      <c r="L66" s="583"/>
      <c r="M66" s="583"/>
      <c r="N66" s="583"/>
      <c r="O66" s="584"/>
      <c r="P66" s="584"/>
      <c r="Q66" s="584"/>
      <c r="R66" s="584"/>
      <c r="S66" s="584"/>
      <c r="T66" s="584"/>
    </row>
    <row r="67" spans="1:20" s="71" customFormat="1" ht="28.5">
      <c r="A67" s="36" t="s">
        <v>546</v>
      </c>
      <c r="B67" s="321">
        <v>88483</v>
      </c>
      <c r="C67" s="492" t="s">
        <v>317</v>
      </c>
      <c r="D67" s="86" t="s">
        <v>3</v>
      </c>
      <c r="E67" s="76">
        <f>'URB. 4'!D298</f>
        <v>106.34</v>
      </c>
      <c r="F67" s="506">
        <v>2.3</v>
      </c>
      <c r="G67" s="70">
        <f>ROUND((F67*$J$9),2)</f>
        <v>2.81</v>
      </c>
      <c r="H67" s="70">
        <f>ROUND((E67*G67),2)</f>
        <v>298.82</v>
      </c>
      <c r="I67" s="350">
        <f>H67/$H$219</f>
        <v>0.0009225164589322112</v>
      </c>
      <c r="J67" s="585"/>
      <c r="K67" s="586"/>
      <c r="L67" s="583"/>
      <c r="M67" s="583"/>
      <c r="N67" s="583"/>
      <c r="O67" s="584"/>
      <c r="P67" s="584"/>
      <c r="Q67" s="584"/>
      <c r="R67" s="584"/>
      <c r="S67" s="584"/>
      <c r="T67" s="584"/>
    </row>
    <row r="68" spans="1:20" s="71" customFormat="1" ht="15">
      <c r="A68" s="81"/>
      <c r="B68" s="579"/>
      <c r="C68" s="580" t="s">
        <v>319</v>
      </c>
      <c r="D68" s="333"/>
      <c r="E68" s="82"/>
      <c r="F68" s="551"/>
      <c r="G68" s="343"/>
      <c r="H68" s="334"/>
      <c r="I68" s="581"/>
      <c r="J68" s="585"/>
      <c r="K68" s="586"/>
      <c r="L68" s="583"/>
      <c r="M68" s="583"/>
      <c r="N68" s="583"/>
      <c r="O68" s="584"/>
      <c r="P68" s="584"/>
      <c r="Q68" s="584"/>
      <c r="R68" s="584"/>
      <c r="S68" s="584"/>
      <c r="T68" s="584"/>
    </row>
    <row r="69" spans="1:20" s="71" customFormat="1" ht="15.75" thickBot="1">
      <c r="A69" s="36" t="s">
        <v>547</v>
      </c>
      <c r="B69" s="321">
        <v>7253</v>
      </c>
      <c r="C69" s="492" t="s">
        <v>320</v>
      </c>
      <c r="D69" s="86" t="s">
        <v>2</v>
      </c>
      <c r="E69" s="76">
        <f>'URB. 4'!D309</f>
        <v>6.84</v>
      </c>
      <c r="F69" s="506">
        <v>107.14</v>
      </c>
      <c r="G69" s="506">
        <f>ROUND((F69*$J$10),2)</f>
        <v>122.16</v>
      </c>
      <c r="H69" s="70">
        <f>ROUND((E69*G69),2)</f>
        <v>835.57</v>
      </c>
      <c r="I69" s="350">
        <f>H69/$H$219</f>
        <v>0.002579569900240907</v>
      </c>
      <c r="J69" s="585"/>
      <c r="K69" s="586"/>
      <c r="L69" s="583"/>
      <c r="M69" s="583"/>
      <c r="N69" s="583"/>
      <c r="O69" s="584"/>
      <c r="P69" s="584"/>
      <c r="Q69" s="584"/>
      <c r="R69" s="584"/>
      <c r="S69" s="584"/>
      <c r="T69" s="584"/>
    </row>
    <row r="70" spans="1:9" s="71" customFormat="1" ht="15.75" thickBot="1">
      <c r="A70" s="513"/>
      <c r="B70" s="513"/>
      <c r="C70" s="513"/>
      <c r="D70" s="513"/>
      <c r="E70" s="513"/>
      <c r="F70" s="115" t="s">
        <v>159</v>
      </c>
      <c r="G70" s="514"/>
      <c r="H70" s="103">
        <f>ROUND(SUM(H29:H69),2)</f>
        <v>22165.34</v>
      </c>
      <c r="I70" s="102">
        <f>SUM(I29:I69)</f>
        <v>0.0684287897993056</v>
      </c>
    </row>
    <row r="71" spans="1:9" s="71" customFormat="1" ht="15.75" thickBot="1">
      <c r="A71" s="682" t="s">
        <v>548</v>
      </c>
      <c r="B71" s="683"/>
      <c r="C71" s="684" t="s">
        <v>303</v>
      </c>
      <c r="D71" s="685"/>
      <c r="E71" s="686"/>
      <c r="F71" s="687"/>
      <c r="G71" s="688"/>
      <c r="H71" s="689"/>
      <c r="I71" s="690"/>
    </row>
    <row r="72" spans="1:9" s="61" customFormat="1" ht="15">
      <c r="A72" s="816" t="s">
        <v>183</v>
      </c>
      <c r="B72" s="736"/>
      <c r="C72" s="737" t="s">
        <v>398</v>
      </c>
      <c r="D72" s="738"/>
      <c r="E72" s="739"/>
      <c r="F72" s="740"/>
      <c r="G72" s="741"/>
      <c r="H72" s="742"/>
      <c r="I72" s="743"/>
    </row>
    <row r="73" spans="1:9" s="61" customFormat="1" ht="28.5">
      <c r="A73" s="817" t="s">
        <v>549</v>
      </c>
      <c r="B73" s="43">
        <v>96523</v>
      </c>
      <c r="C73" s="691" t="s">
        <v>400</v>
      </c>
      <c r="D73" s="86" t="s">
        <v>2</v>
      </c>
      <c r="E73" s="76">
        <f>'Terminal Rodoviário. 5'!B54</f>
        <v>30.009999999999998</v>
      </c>
      <c r="F73" s="506">
        <v>69.1</v>
      </c>
      <c r="G73" s="70">
        <f>ROUND((F73*$J$9),2)</f>
        <v>84.39</v>
      </c>
      <c r="H73" s="70">
        <f>ROUND((E73*G73),2)</f>
        <v>2532.54</v>
      </c>
      <c r="I73" s="350">
        <f>H73/$H$219</f>
        <v>0.007818452020963061</v>
      </c>
    </row>
    <row r="74" spans="1:9" s="61" customFormat="1" ht="28.5">
      <c r="A74" s="817" t="s">
        <v>550</v>
      </c>
      <c r="B74" s="43">
        <v>93382</v>
      </c>
      <c r="C74" s="691" t="s">
        <v>399</v>
      </c>
      <c r="D74" s="718" t="s">
        <v>2</v>
      </c>
      <c r="E74" s="76">
        <f>'Terminal Rodoviário. 5'!G59</f>
        <v>17.979999999999997</v>
      </c>
      <c r="F74" s="506">
        <v>24.95</v>
      </c>
      <c r="G74" s="506">
        <f>ROUND((F74*$J$9),2)</f>
        <v>30.47</v>
      </c>
      <c r="H74" s="506">
        <f>ROUND((E74*G74),2)</f>
        <v>547.85</v>
      </c>
      <c r="I74" s="350">
        <f>H74/$H$219</f>
        <v>0.0016913213373469377</v>
      </c>
    </row>
    <row r="75" spans="1:9" s="61" customFormat="1" ht="15">
      <c r="A75" s="1107" t="s">
        <v>679</v>
      </c>
      <c r="B75" s="1107"/>
      <c r="C75" s="1107"/>
      <c r="D75" s="1107"/>
      <c r="E75" s="1107"/>
      <c r="F75" s="1107"/>
      <c r="G75" s="655"/>
      <c r="H75" s="890">
        <f>SUM(H73:H74)</f>
        <v>3080.39</v>
      </c>
      <c r="I75" s="59"/>
    </row>
    <row r="76" spans="1:9" s="71" customFormat="1" ht="15">
      <c r="A76" s="521" t="s">
        <v>184</v>
      </c>
      <c r="B76" s="389"/>
      <c r="C76" s="707" t="s">
        <v>201</v>
      </c>
      <c r="D76" s="708"/>
      <c r="E76" s="351"/>
      <c r="F76" s="352"/>
      <c r="G76" s="353"/>
      <c r="H76" s="354"/>
      <c r="I76" s="355"/>
    </row>
    <row r="77" spans="1:9" s="71" customFormat="1" ht="45">
      <c r="A77" s="357" t="s">
        <v>551</v>
      </c>
      <c r="B77" s="398">
        <v>83534</v>
      </c>
      <c r="C77" s="446" t="s">
        <v>187</v>
      </c>
      <c r="D77" s="397" t="s">
        <v>2</v>
      </c>
      <c r="E77" s="609">
        <f>'Terminal Rodoviário. 5'!B103</f>
        <v>1.04</v>
      </c>
      <c r="F77" s="550">
        <v>543.71</v>
      </c>
      <c r="G77" s="505">
        <f>ROUND((F77*$J$9),2)</f>
        <v>664</v>
      </c>
      <c r="H77" s="550">
        <f aca="true" t="shared" si="1" ref="H77:H80">ROUND((E77*G77),2)</f>
        <v>690.56</v>
      </c>
      <c r="I77" s="59">
        <f>H77/$H$219</f>
        <v>0.0021318953412764463</v>
      </c>
    </row>
    <row r="78" spans="1:9" s="71" customFormat="1" ht="45">
      <c r="A78" s="357" t="s">
        <v>552</v>
      </c>
      <c r="B78" s="605">
        <v>96536</v>
      </c>
      <c r="C78" s="446" t="s">
        <v>188</v>
      </c>
      <c r="D78" s="397" t="s">
        <v>3</v>
      </c>
      <c r="E78" s="609">
        <f>'Terminal Rodoviário. 5'!C128</f>
        <v>111.06</v>
      </c>
      <c r="F78" s="550">
        <v>43.5</v>
      </c>
      <c r="G78" s="505">
        <f>ROUND((F78*$J$9),2)</f>
        <v>53.12</v>
      </c>
      <c r="H78" s="550">
        <f t="shared" si="1"/>
        <v>5899.51</v>
      </c>
      <c r="I78" s="59">
        <f>H78/$H$219</f>
        <v>0.018212954536627968</v>
      </c>
    </row>
    <row r="79" spans="1:9" s="71" customFormat="1" ht="60">
      <c r="A79" s="357" t="s">
        <v>553</v>
      </c>
      <c r="B79" s="398" t="s">
        <v>295</v>
      </c>
      <c r="C79" s="709" t="str">
        <f>'COMPOSIÇÕES NÃO DESONERADO'!A37</f>
        <v xml:space="preserve">EXECUÇÃO DE ESTRUTURA DE CONCRETO ARMADO, FCK = 20 MPA, AMAÇÃO: 5,0MM,6,3MM,10,0MM,12,5MM E 8,0MM/ AÇO CA-50 E CA-60.
</v>
      </c>
      <c r="D79" s="397" t="s">
        <v>2</v>
      </c>
      <c r="E79" s="609">
        <f>'Terminal Rodoviário. 5'!C152</f>
        <v>12.030000000000001</v>
      </c>
      <c r="F79" s="550">
        <f>'COMPOSIÇÕES NÃO DESONERADO'!J45</f>
        <v>803.3582</v>
      </c>
      <c r="G79" s="505">
        <f>ROUND((F79*$J$9),2)</f>
        <v>981.1</v>
      </c>
      <c r="H79" s="550">
        <f t="shared" si="1"/>
        <v>11802.63</v>
      </c>
      <c r="I79" s="59">
        <f>H79/$H$219</f>
        <v>0.036437053857462966</v>
      </c>
    </row>
    <row r="80" spans="1:9" s="71" customFormat="1" ht="30">
      <c r="A80" s="357" t="s">
        <v>554</v>
      </c>
      <c r="B80" s="398" t="s">
        <v>189</v>
      </c>
      <c r="C80" s="446" t="s">
        <v>190</v>
      </c>
      <c r="D80" s="397" t="s">
        <v>3</v>
      </c>
      <c r="E80" s="609">
        <f>'Terminal Rodoviário. 5'!C176</f>
        <v>124</v>
      </c>
      <c r="F80" s="543">
        <v>9.05</v>
      </c>
      <c r="G80" s="710">
        <f>ROUND((F80*$J$9),2)</f>
        <v>11.05</v>
      </c>
      <c r="H80" s="543">
        <f t="shared" si="1"/>
        <v>1370.2</v>
      </c>
      <c r="I80" s="59">
        <f>H80/$H$219</f>
        <v>0.004230078482126082</v>
      </c>
    </row>
    <row r="81" spans="1:9" s="71" customFormat="1" ht="15">
      <c r="A81" s="1107" t="s">
        <v>678</v>
      </c>
      <c r="B81" s="1107"/>
      <c r="C81" s="1107"/>
      <c r="D81" s="1107"/>
      <c r="E81" s="1107"/>
      <c r="F81" s="1107"/>
      <c r="G81" s="655"/>
      <c r="H81" s="890">
        <f>SUM(H77:H80)</f>
        <v>19762.899999999998</v>
      </c>
      <c r="I81" s="59"/>
    </row>
    <row r="82" spans="1:9" s="61" customFormat="1" ht="15.75">
      <c r="A82" s="359" t="s">
        <v>482</v>
      </c>
      <c r="B82" s="605"/>
      <c r="C82" s="606" t="s">
        <v>204</v>
      </c>
      <c r="D82" s="606"/>
      <c r="E82" s="719"/>
      <c r="F82" s="551"/>
      <c r="G82" s="720"/>
      <c r="H82" s="551"/>
      <c r="I82" s="335"/>
    </row>
    <row r="83" spans="1:9" s="61" customFormat="1" ht="15.75">
      <c r="A83" s="521"/>
      <c r="B83" s="605"/>
      <c r="C83" s="606" t="s">
        <v>134</v>
      </c>
      <c r="D83" s="606"/>
      <c r="E83" s="607"/>
      <c r="F83" s="552"/>
      <c r="G83" s="608"/>
      <c r="H83" s="552"/>
      <c r="I83" s="355"/>
    </row>
    <row r="84" spans="1:9" s="71" customFormat="1" ht="30">
      <c r="A84" s="521" t="s">
        <v>484</v>
      </c>
      <c r="B84" s="398">
        <v>92269</v>
      </c>
      <c r="C84" s="446" t="s">
        <v>205</v>
      </c>
      <c r="D84" s="397" t="s">
        <v>3</v>
      </c>
      <c r="E84" s="609">
        <f>'Terminal Rodoviário. 5'!C192</f>
        <v>43.71</v>
      </c>
      <c r="F84" s="550">
        <v>58.47</v>
      </c>
      <c r="G84" s="506">
        <f>ROUND((F84*$J$9),2)</f>
        <v>71.41</v>
      </c>
      <c r="H84" s="550">
        <f aca="true" t="shared" si="2" ref="H84:H85">ROUND((E84*G84),2)</f>
        <v>3121.33</v>
      </c>
      <c r="I84" s="59">
        <f>H84/$H$219</f>
        <v>0.009636163237932129</v>
      </c>
    </row>
    <row r="85" spans="1:9" s="71" customFormat="1" ht="58.5" customHeight="1">
      <c r="A85" s="521" t="s">
        <v>485</v>
      </c>
      <c r="B85" s="398" t="s">
        <v>295</v>
      </c>
      <c r="C85" s="446" t="str">
        <f>'COMPOSIÇÕES NÃO DESONERADO'!A37</f>
        <v xml:space="preserve">EXECUÇÃO DE ESTRUTURA DE CONCRETO ARMADO, FCK = 20 MPA, AMAÇÃO: 5,0MM,6,3MM,10,0MM,12,5MM E 8,0MM/ AÇO CA-50 E CA-60.
</v>
      </c>
      <c r="D85" s="397" t="s">
        <v>2</v>
      </c>
      <c r="E85" s="609">
        <f>'Terminal Rodoviário. 5'!C206</f>
        <v>2.38</v>
      </c>
      <c r="F85" s="550">
        <f>'COMPOSIÇÕES NÃO DESONERADO'!J45</f>
        <v>803.3582</v>
      </c>
      <c r="G85" s="505">
        <f>ROUND((F85*$J$9),2)</f>
        <v>981.1</v>
      </c>
      <c r="H85" s="550">
        <f t="shared" si="2"/>
        <v>2335.02</v>
      </c>
      <c r="I85" s="59">
        <f>H85/$H$219</f>
        <v>0.007208668703352827</v>
      </c>
    </row>
    <row r="86" spans="1:9" s="71" customFormat="1" ht="15">
      <c r="A86" s="1107" t="s">
        <v>677</v>
      </c>
      <c r="B86" s="1107"/>
      <c r="C86" s="1107"/>
      <c r="D86" s="1107"/>
      <c r="E86" s="1107"/>
      <c r="F86" s="1107"/>
      <c r="G86" s="655"/>
      <c r="H86" s="890">
        <f>SUM(H84:H85)</f>
        <v>5456.35</v>
      </c>
      <c r="I86" s="59"/>
    </row>
    <row r="87" spans="1:9" s="71" customFormat="1" ht="15.75">
      <c r="A87" s="521" t="s">
        <v>555</v>
      </c>
      <c r="B87" s="605"/>
      <c r="C87" s="606" t="s">
        <v>206</v>
      </c>
      <c r="D87" s="606"/>
      <c r="E87" s="607"/>
      <c r="F87" s="552"/>
      <c r="G87" s="608"/>
      <c r="H87" s="552"/>
      <c r="I87" s="355"/>
    </row>
    <row r="88" spans="1:9" s="71" customFormat="1" ht="30">
      <c r="A88" s="521" t="s">
        <v>483</v>
      </c>
      <c r="B88" s="398">
        <v>92270</v>
      </c>
      <c r="C88" s="446" t="s">
        <v>207</v>
      </c>
      <c r="D88" s="397" t="s">
        <v>3</v>
      </c>
      <c r="E88" s="609">
        <f>'Terminal Rodoviário. 5'!C215</f>
        <v>66.07</v>
      </c>
      <c r="F88" s="550">
        <v>46.25</v>
      </c>
      <c r="G88" s="506">
        <f>ROUND((F88*$J$9),2)</f>
        <v>56.48</v>
      </c>
      <c r="H88" s="550">
        <f aca="true" t="shared" si="3" ref="H88:H89">ROUND((E88*G88),2)</f>
        <v>3731.63</v>
      </c>
      <c r="I88" s="59">
        <f>H88/$H$219</f>
        <v>0.011520280080467196</v>
      </c>
    </row>
    <row r="89" spans="1:9" s="71" customFormat="1" ht="57.75" customHeight="1">
      <c r="A89" s="521" t="s">
        <v>486</v>
      </c>
      <c r="B89" s="398" t="s">
        <v>295</v>
      </c>
      <c r="C89" s="446" t="str">
        <f>'COMPOSIÇÕES NÃO DESONERADO'!A37</f>
        <v xml:space="preserve">EXECUÇÃO DE ESTRUTURA DE CONCRETO ARMADO, FCK = 20 MPA, AMAÇÃO: 5,0MM,6,3MM,10,0MM,12,5MM E 8,0MM/ AÇO CA-50 E CA-60.
</v>
      </c>
      <c r="D89" s="397" t="s">
        <v>2</v>
      </c>
      <c r="E89" s="609">
        <f>'Terminal Rodoviário. 5'!B249</f>
        <v>3.9700000000000006</v>
      </c>
      <c r="F89" s="550">
        <f>'COMPOSIÇÕES NÃO DESONERADO'!J45</f>
        <v>803.3582</v>
      </c>
      <c r="G89" s="505">
        <f>ROUND((F89*$J$9),2)</f>
        <v>981.1</v>
      </c>
      <c r="H89" s="550">
        <f t="shared" si="3"/>
        <v>3894.97</v>
      </c>
      <c r="I89" s="59">
        <f>H89/$H$219</f>
        <v>0.012024542975862374</v>
      </c>
    </row>
    <row r="90" spans="1:9" s="71" customFormat="1" ht="15">
      <c r="A90" s="1107" t="s">
        <v>676</v>
      </c>
      <c r="B90" s="1107"/>
      <c r="C90" s="1107"/>
      <c r="D90" s="1107"/>
      <c r="E90" s="1107"/>
      <c r="F90" s="1107"/>
      <c r="G90" s="655"/>
      <c r="H90" s="890">
        <f>SUM(H88:H89)</f>
        <v>7626.6</v>
      </c>
      <c r="I90" s="59"/>
    </row>
    <row r="91" spans="1:9" s="71" customFormat="1" ht="15.75">
      <c r="A91" s="521" t="s">
        <v>487</v>
      </c>
      <c r="B91" s="605"/>
      <c r="C91" s="606" t="s">
        <v>208</v>
      </c>
      <c r="D91" s="606"/>
      <c r="E91" s="607"/>
      <c r="F91" s="552"/>
      <c r="G91" s="608"/>
      <c r="H91" s="552"/>
      <c r="I91" s="355"/>
    </row>
    <row r="92" spans="1:9" s="71" customFormat="1" ht="60">
      <c r="A92" s="521" t="s">
        <v>488</v>
      </c>
      <c r="B92" s="398">
        <v>87503</v>
      </c>
      <c r="C92" s="446" t="s">
        <v>209</v>
      </c>
      <c r="D92" s="397" t="s">
        <v>3</v>
      </c>
      <c r="E92" s="609">
        <f>'Terminal Rodoviário. 5'!C289</f>
        <v>243.16400000000004</v>
      </c>
      <c r="F92" s="550">
        <v>52.7</v>
      </c>
      <c r="G92" s="506">
        <f>ROUND((F92*$J$9),2)</f>
        <v>64.36</v>
      </c>
      <c r="H92" s="550">
        <f aca="true" t="shared" si="4" ref="H92">ROUND((E92*G92),2)</f>
        <v>15650.04</v>
      </c>
      <c r="I92" s="59">
        <f>H92/$H$219</f>
        <v>0.04831476970399392</v>
      </c>
    </row>
    <row r="93" spans="1:9" s="71" customFormat="1" ht="15">
      <c r="A93" s="1107" t="s">
        <v>675</v>
      </c>
      <c r="B93" s="1107"/>
      <c r="C93" s="1107"/>
      <c r="D93" s="1107"/>
      <c r="E93" s="1107"/>
      <c r="F93" s="1107"/>
      <c r="G93" s="655"/>
      <c r="H93" s="890">
        <f>SUM(H92)</f>
        <v>15650.04</v>
      </c>
      <c r="I93" s="59"/>
    </row>
    <row r="94" spans="1:9" s="71" customFormat="1" ht="15.75">
      <c r="A94" s="521" t="s">
        <v>556</v>
      </c>
      <c r="B94" s="605"/>
      <c r="C94" s="606" t="s">
        <v>452</v>
      </c>
      <c r="D94" s="606"/>
      <c r="E94" s="607"/>
      <c r="F94" s="552"/>
      <c r="G94" s="608"/>
      <c r="H94" s="552"/>
      <c r="I94" s="355"/>
    </row>
    <row r="95" spans="1:9" s="71" customFormat="1" ht="60">
      <c r="A95" s="725" t="s">
        <v>557</v>
      </c>
      <c r="B95" s="398" t="s">
        <v>453</v>
      </c>
      <c r="C95" s="446" t="s">
        <v>454</v>
      </c>
      <c r="D95" s="397" t="s">
        <v>3</v>
      </c>
      <c r="E95" s="609">
        <f>'Terminal Rodoviário. 5'!C302</f>
        <v>33.654</v>
      </c>
      <c r="F95" s="550">
        <v>94.45</v>
      </c>
      <c r="G95" s="506">
        <f>ROUND((F95*$J$9),2)</f>
        <v>115.35</v>
      </c>
      <c r="H95" s="550">
        <f aca="true" t="shared" si="5" ref="H95">ROUND((E95*G95),2)</f>
        <v>3881.99</v>
      </c>
      <c r="I95" s="59">
        <f>H95/$H$219</f>
        <v>0.011984471147882519</v>
      </c>
    </row>
    <row r="96" spans="1:9" s="71" customFormat="1" ht="15">
      <c r="A96" s="1107" t="s">
        <v>674</v>
      </c>
      <c r="B96" s="1107"/>
      <c r="C96" s="1107"/>
      <c r="D96" s="1107"/>
      <c r="E96" s="1107"/>
      <c r="F96" s="1107"/>
      <c r="G96" s="655"/>
      <c r="H96" s="890">
        <f>SUM(H95)</f>
        <v>3881.99</v>
      </c>
      <c r="I96" s="59"/>
    </row>
    <row r="97" spans="1:9" s="71" customFormat="1" ht="15.75">
      <c r="A97" s="521" t="s">
        <v>558</v>
      </c>
      <c r="B97" s="605"/>
      <c r="C97" s="606" t="s">
        <v>210</v>
      </c>
      <c r="D97" s="606"/>
      <c r="E97" s="607"/>
      <c r="F97" s="552"/>
      <c r="G97" s="608"/>
      <c r="H97" s="552"/>
      <c r="I97" s="355"/>
    </row>
    <row r="98" spans="1:9" s="71" customFormat="1" ht="45">
      <c r="A98" s="521" t="s">
        <v>559</v>
      </c>
      <c r="B98" s="398" t="s">
        <v>450</v>
      </c>
      <c r="C98" s="446" t="s">
        <v>451</v>
      </c>
      <c r="D98" s="397" t="s">
        <v>3</v>
      </c>
      <c r="E98" s="609">
        <f>'Terminal Rodoviário. 5'!C313</f>
        <v>233.18</v>
      </c>
      <c r="F98" s="550">
        <v>404.03</v>
      </c>
      <c r="G98" s="506">
        <f>ROUND((F98*$J$9),2)</f>
        <v>493.42</v>
      </c>
      <c r="H98" s="550">
        <f aca="true" t="shared" si="6" ref="H98:H99">ROUND((E98*G98),2)</f>
        <v>115055.68</v>
      </c>
      <c r="I98" s="59">
        <f>H98/$H$219</f>
        <v>0.3551996469233573</v>
      </c>
    </row>
    <row r="99" spans="1:9" s="71" customFormat="1" ht="30">
      <c r="A99" s="521" t="s">
        <v>560</v>
      </c>
      <c r="B99" s="398">
        <v>94213</v>
      </c>
      <c r="C99" s="446" t="s">
        <v>455</v>
      </c>
      <c r="D99" s="397" t="s">
        <v>3</v>
      </c>
      <c r="E99" s="609">
        <f>'Terminal Rodoviário. 5'!C320</f>
        <v>233.18</v>
      </c>
      <c r="F99" s="550">
        <v>41.2</v>
      </c>
      <c r="G99" s="506">
        <f>ROUND((F99*$J$9),2)</f>
        <v>50.32</v>
      </c>
      <c r="H99" s="550">
        <f t="shared" si="6"/>
        <v>11733.62</v>
      </c>
      <c r="I99" s="59">
        <f>H99/$H$219</f>
        <v>0.036224006334436024</v>
      </c>
    </row>
    <row r="100" spans="1:9" s="71" customFormat="1" ht="15">
      <c r="A100" s="1107" t="s">
        <v>673</v>
      </c>
      <c r="B100" s="1107"/>
      <c r="C100" s="1107"/>
      <c r="D100" s="1107"/>
      <c r="E100" s="1107"/>
      <c r="F100" s="1107"/>
      <c r="G100" s="655"/>
      <c r="H100" s="890">
        <f>SUM(H98:H99)</f>
        <v>126789.29999999999</v>
      </c>
      <c r="I100" s="59"/>
    </row>
    <row r="101" spans="1:9" s="71" customFormat="1" ht="15.75">
      <c r="A101" s="521" t="s">
        <v>648</v>
      </c>
      <c r="B101" s="605"/>
      <c r="C101" s="606" t="s">
        <v>211</v>
      </c>
      <c r="D101" s="606"/>
      <c r="E101" s="607"/>
      <c r="F101" s="552"/>
      <c r="G101" s="608"/>
      <c r="H101" s="552"/>
      <c r="I101" s="355"/>
    </row>
    <row r="102" spans="1:9" s="71" customFormat="1" ht="60">
      <c r="A102" s="731" t="s">
        <v>561</v>
      </c>
      <c r="B102" s="362">
        <v>87893</v>
      </c>
      <c r="C102" s="732" t="s">
        <v>212</v>
      </c>
      <c r="D102" s="361" t="s">
        <v>3</v>
      </c>
      <c r="E102" s="383">
        <f>'Terminal Rodoviário. 5'!C337</f>
        <v>499.15</v>
      </c>
      <c r="F102" s="733">
        <v>5</v>
      </c>
      <c r="G102" s="70">
        <f>ROUND((F102*$J$9),2)</f>
        <v>6.11</v>
      </c>
      <c r="H102" s="733">
        <f aca="true" t="shared" si="7" ref="H102:H105">ROUND((E102*G102),2)</f>
        <v>3049.81</v>
      </c>
      <c r="I102" s="734">
        <f>H102/$H$219</f>
        <v>0.009415366848323562</v>
      </c>
    </row>
    <row r="103" spans="1:9" s="71" customFormat="1" ht="90">
      <c r="A103" s="731" t="s">
        <v>562</v>
      </c>
      <c r="B103" s="362">
        <v>87527</v>
      </c>
      <c r="C103" s="732" t="s">
        <v>213</v>
      </c>
      <c r="D103" s="361" t="s">
        <v>3</v>
      </c>
      <c r="E103" s="383">
        <f>'Terminal Rodoviário. 5'!C350</f>
        <v>499.15</v>
      </c>
      <c r="F103" s="733">
        <v>28.25</v>
      </c>
      <c r="G103" s="70">
        <f>ROUND((F103*$J$9),2)</f>
        <v>34.5</v>
      </c>
      <c r="H103" s="733">
        <f t="shared" si="7"/>
        <v>17220.68</v>
      </c>
      <c r="I103" s="734">
        <f>H103/$H$219</f>
        <v>0.05316364612142678</v>
      </c>
    </row>
    <row r="104" spans="1:9" s="71" customFormat="1" ht="60">
      <c r="A104" s="731" t="s">
        <v>563</v>
      </c>
      <c r="B104" s="362">
        <v>87265</v>
      </c>
      <c r="C104" s="732" t="s">
        <v>242</v>
      </c>
      <c r="D104" s="361" t="s">
        <v>3</v>
      </c>
      <c r="E104" s="383">
        <f>'Terminal Rodoviário. 5'!C357</f>
        <v>81.12</v>
      </c>
      <c r="F104" s="733">
        <v>42.7</v>
      </c>
      <c r="G104" s="70">
        <f>ROUND((F104*$J$9),2)</f>
        <v>52.15</v>
      </c>
      <c r="H104" s="733">
        <f t="shared" si="7"/>
        <v>4230.41</v>
      </c>
      <c r="I104" s="734">
        <f>H104/$H$219</f>
        <v>0.013060112619742372</v>
      </c>
    </row>
    <row r="105" spans="1:9" s="71" customFormat="1" ht="60">
      <c r="A105" s="731" t="s">
        <v>564</v>
      </c>
      <c r="B105" s="362">
        <v>11795</v>
      </c>
      <c r="C105" s="732" t="s">
        <v>214</v>
      </c>
      <c r="D105" s="361" t="s">
        <v>3</v>
      </c>
      <c r="E105" s="383">
        <f>'Terminal Rodoviário. 5'!C364</f>
        <v>3</v>
      </c>
      <c r="F105" s="733">
        <v>265.66</v>
      </c>
      <c r="G105" s="70">
        <f>ROUND((F105*$J$9),2)</f>
        <v>324.44</v>
      </c>
      <c r="H105" s="733">
        <f t="shared" si="7"/>
        <v>973.32</v>
      </c>
      <c r="I105" s="734">
        <f>H105/$H$219</f>
        <v>0.0030048314028776517</v>
      </c>
    </row>
    <row r="106" spans="1:9" s="71" customFormat="1" ht="15">
      <c r="A106" s="1107" t="s">
        <v>672</v>
      </c>
      <c r="B106" s="1107"/>
      <c r="C106" s="1107"/>
      <c r="D106" s="1107"/>
      <c r="E106" s="1107"/>
      <c r="F106" s="1107"/>
      <c r="G106" s="655"/>
      <c r="H106" s="890">
        <f>SUM(H102:H105)</f>
        <v>25474.22</v>
      </c>
      <c r="I106" s="59"/>
    </row>
    <row r="107" spans="1:9" s="71" customFormat="1" ht="15.75">
      <c r="A107" s="521" t="s">
        <v>565</v>
      </c>
      <c r="B107" s="605"/>
      <c r="C107" s="606" t="s">
        <v>215</v>
      </c>
      <c r="D107" s="606"/>
      <c r="E107" s="607"/>
      <c r="F107" s="552"/>
      <c r="G107" s="608"/>
      <c r="H107" s="552"/>
      <c r="I107" s="355"/>
    </row>
    <row r="108" spans="1:9" s="71" customFormat="1" ht="60">
      <c r="A108" s="731" t="s">
        <v>566</v>
      </c>
      <c r="B108" s="362">
        <v>87620</v>
      </c>
      <c r="C108" s="732" t="s">
        <v>216</v>
      </c>
      <c r="D108" s="361" t="s">
        <v>3</v>
      </c>
      <c r="E108" s="383">
        <f>'Terminal Rodoviário. 5'!C372</f>
        <v>128.09</v>
      </c>
      <c r="F108" s="733">
        <v>25.13</v>
      </c>
      <c r="G108" s="70">
        <f>ROUND((F108*$J$9),2)</f>
        <v>30.69</v>
      </c>
      <c r="H108" s="733">
        <f aca="true" t="shared" si="8" ref="H108:H109">ROUND((E108*G108),2)</f>
        <v>3931.08</v>
      </c>
      <c r="I108" s="734">
        <f>H108/$H$219</f>
        <v>0.012136021689911106</v>
      </c>
    </row>
    <row r="109" spans="1:9" s="71" customFormat="1" ht="45">
      <c r="A109" s="731" t="s">
        <v>567</v>
      </c>
      <c r="B109" s="362">
        <v>87247</v>
      </c>
      <c r="C109" s="732" t="s">
        <v>217</v>
      </c>
      <c r="D109" s="361" t="s">
        <v>3</v>
      </c>
      <c r="E109" s="383">
        <f>'Terminal Rodoviário. 5'!C379</f>
        <v>23.64</v>
      </c>
      <c r="F109" s="733">
        <v>37.5</v>
      </c>
      <c r="G109" s="70">
        <f>ROUND((F109*$J$9),2)</f>
        <v>45.8</v>
      </c>
      <c r="H109" s="733">
        <f t="shared" si="8"/>
        <v>1082.71</v>
      </c>
      <c r="I109" s="734">
        <f>H109/$H$219</f>
        <v>0.003342539974735608</v>
      </c>
    </row>
    <row r="110" spans="1:9" s="71" customFormat="1" ht="42.75">
      <c r="A110" s="731" t="s">
        <v>568</v>
      </c>
      <c r="B110" s="362">
        <v>72136</v>
      </c>
      <c r="C110" s="789" t="s">
        <v>462</v>
      </c>
      <c r="D110" s="735" t="s">
        <v>3</v>
      </c>
      <c r="E110" s="383">
        <f>'Terminal Rodoviário. 5'!C384</f>
        <v>104.45</v>
      </c>
      <c r="F110" s="733">
        <v>72.52</v>
      </c>
      <c r="G110" s="70">
        <f>ROUND((F110*$J$9),2)</f>
        <v>88.56</v>
      </c>
      <c r="H110" s="733">
        <f aca="true" t="shared" si="9" ref="H110">ROUND((E110*G110),2)</f>
        <v>9250.09</v>
      </c>
      <c r="I110" s="734">
        <f>H110/$H$219</f>
        <v>0.028556857879674245</v>
      </c>
    </row>
    <row r="111" spans="1:9" s="71" customFormat="1" ht="15">
      <c r="A111" s="1107" t="s">
        <v>671</v>
      </c>
      <c r="B111" s="1107"/>
      <c r="C111" s="1107"/>
      <c r="D111" s="1107"/>
      <c r="E111" s="1107"/>
      <c r="F111" s="1107"/>
      <c r="G111" s="655"/>
      <c r="H111" s="890">
        <f>SUM(H107:H110)</f>
        <v>14263.880000000001</v>
      </c>
      <c r="I111" s="59"/>
    </row>
    <row r="112" spans="1:9" s="71" customFormat="1" ht="15.75">
      <c r="A112" s="521" t="s">
        <v>569</v>
      </c>
      <c r="B112" s="605"/>
      <c r="C112" s="606" t="s">
        <v>218</v>
      </c>
      <c r="D112" s="606"/>
      <c r="E112" s="607"/>
      <c r="F112" s="552"/>
      <c r="G112" s="608"/>
      <c r="H112" s="552"/>
      <c r="I112" s="355"/>
    </row>
    <row r="113" spans="1:9" s="71" customFormat="1" ht="15.75">
      <c r="A113" s="636"/>
      <c r="B113" s="637"/>
      <c r="C113" s="641" t="s">
        <v>466</v>
      </c>
      <c r="D113" s="638"/>
      <c r="E113" s="639"/>
      <c r="F113" s="640"/>
      <c r="G113" s="640"/>
      <c r="H113" s="891"/>
      <c r="I113" s="59"/>
    </row>
    <row r="114" spans="1:9" s="71" customFormat="1" ht="45">
      <c r="A114" s="731" t="s">
        <v>570</v>
      </c>
      <c r="B114" s="362">
        <v>94575</v>
      </c>
      <c r="C114" s="748" t="s">
        <v>465</v>
      </c>
      <c r="D114" s="361" t="s">
        <v>3</v>
      </c>
      <c r="E114" s="383">
        <f>'Terminal Rodoviário. 5'!D397</f>
        <v>4.5</v>
      </c>
      <c r="F114" s="749">
        <v>265.61</v>
      </c>
      <c r="G114" s="70">
        <f>ROUND((F114*$J$9),2)</f>
        <v>324.38</v>
      </c>
      <c r="H114" s="733">
        <f>ROUND((E114*G114),2)</f>
        <v>1459.71</v>
      </c>
      <c r="I114" s="734">
        <f>H114/$H$219</f>
        <v>0.004506413560899331</v>
      </c>
    </row>
    <row r="115" spans="1:9" s="71" customFormat="1" ht="45">
      <c r="A115" s="731" t="s">
        <v>571</v>
      </c>
      <c r="B115" s="362">
        <v>11795</v>
      </c>
      <c r="C115" s="748" t="s">
        <v>293</v>
      </c>
      <c r="D115" s="361" t="s">
        <v>3</v>
      </c>
      <c r="E115" s="383">
        <f>'Terminal Rodoviário. 5'!D402</f>
        <v>2</v>
      </c>
      <c r="F115" s="749">
        <v>508.41</v>
      </c>
      <c r="G115" s="70">
        <f>ROUND((F115*$J$9),2)</f>
        <v>620.89</v>
      </c>
      <c r="H115" s="733">
        <f aca="true" t="shared" si="10" ref="H115:H117">ROUND((E115*G115),2)</f>
        <v>1241.78</v>
      </c>
      <c r="I115" s="734">
        <f>H115/$H$219</f>
        <v>0.0038336205353485084</v>
      </c>
    </row>
    <row r="116" spans="1:9" s="71" customFormat="1" ht="15.75">
      <c r="A116" s="636"/>
      <c r="B116" s="637"/>
      <c r="C116" s="641" t="s">
        <v>467</v>
      </c>
      <c r="D116" s="638"/>
      <c r="E116" s="639"/>
      <c r="F116" s="640"/>
      <c r="G116" s="640"/>
      <c r="H116" s="891"/>
      <c r="I116" s="59"/>
    </row>
    <row r="117" spans="1:9" s="71" customFormat="1" ht="45">
      <c r="A117" s="731" t="s">
        <v>572</v>
      </c>
      <c r="B117" s="362">
        <v>94575</v>
      </c>
      <c r="C117" s="748" t="s">
        <v>465</v>
      </c>
      <c r="D117" s="361" t="s">
        <v>3</v>
      </c>
      <c r="E117" s="383">
        <f>'Terminal Rodoviário. 5'!D412</f>
        <v>1.4</v>
      </c>
      <c r="F117" s="750">
        <v>508.44</v>
      </c>
      <c r="G117" s="70">
        <f>ROUND((F117*$J$9),2)</f>
        <v>620.93</v>
      </c>
      <c r="H117" s="733">
        <f t="shared" si="10"/>
        <v>869.3</v>
      </c>
      <c r="I117" s="734">
        <f>H117/$H$219</f>
        <v>0.002683701083427385</v>
      </c>
    </row>
    <row r="118" spans="1:9" s="71" customFormat="1" ht="15.75">
      <c r="A118" s="636"/>
      <c r="B118" s="637"/>
      <c r="C118" s="641" t="s">
        <v>477</v>
      </c>
      <c r="D118" s="638"/>
      <c r="E118" s="639"/>
      <c r="F118" s="640"/>
      <c r="G118" s="640"/>
      <c r="H118" s="891"/>
      <c r="I118" s="59"/>
    </row>
    <row r="119" spans="1:9" s="71" customFormat="1" ht="45">
      <c r="A119" s="731" t="s">
        <v>573</v>
      </c>
      <c r="B119" s="362">
        <v>91341</v>
      </c>
      <c r="C119" s="748" t="s">
        <v>468</v>
      </c>
      <c r="D119" s="361" t="s">
        <v>3</v>
      </c>
      <c r="E119" s="383">
        <f>'Terminal Rodoviário. 5'!D422</f>
        <v>7.2</v>
      </c>
      <c r="F119" s="749">
        <v>508.32</v>
      </c>
      <c r="G119" s="70">
        <f>ROUND((F119*$J$9),2)</f>
        <v>620.78</v>
      </c>
      <c r="H119" s="733">
        <f>ROUND((E119*G119),2)</f>
        <v>4469.62</v>
      </c>
      <c r="I119" s="734">
        <f>H119/$H$219</f>
        <v>0.0137986012153557</v>
      </c>
    </row>
    <row r="120" spans="1:9" s="71" customFormat="1" ht="60">
      <c r="A120" s="731" t="s">
        <v>574</v>
      </c>
      <c r="B120" s="362">
        <v>90831</v>
      </c>
      <c r="C120" s="748" t="s">
        <v>469</v>
      </c>
      <c r="D120" s="361" t="s">
        <v>124</v>
      </c>
      <c r="E120" s="383">
        <v>4</v>
      </c>
      <c r="F120" s="749">
        <v>74.08</v>
      </c>
      <c r="G120" s="70">
        <f>ROUND((F120*$J$9),2)</f>
        <v>90.47</v>
      </c>
      <c r="H120" s="733">
        <f aca="true" t="shared" si="11" ref="H120:H126">ROUND((E120*G120),2)</f>
        <v>361.88</v>
      </c>
      <c r="I120" s="734">
        <f>H120/$H$219</f>
        <v>0.0011171951548035225</v>
      </c>
    </row>
    <row r="121" spans="1:9" s="71" customFormat="1" ht="15.75">
      <c r="A121" s="636"/>
      <c r="B121" s="637"/>
      <c r="C121" s="641" t="s">
        <v>472</v>
      </c>
      <c r="D121" s="638"/>
      <c r="E121" s="639"/>
      <c r="F121" s="640"/>
      <c r="G121" s="640"/>
      <c r="H121" s="891"/>
      <c r="I121" s="59"/>
    </row>
    <row r="122" spans="1:9" s="71" customFormat="1" ht="60">
      <c r="A122" s="731" t="s">
        <v>575</v>
      </c>
      <c r="B122" s="362">
        <v>90823</v>
      </c>
      <c r="C122" s="748" t="s">
        <v>474</v>
      </c>
      <c r="D122" s="753" t="s">
        <v>106</v>
      </c>
      <c r="E122" s="753">
        <v>2</v>
      </c>
      <c r="F122" s="754">
        <v>280.91</v>
      </c>
      <c r="G122" s="70">
        <f>ROUND((F122*$J$9),2)</f>
        <v>343.06</v>
      </c>
      <c r="H122" s="733">
        <f t="shared" si="11"/>
        <v>686.12</v>
      </c>
      <c r="I122" s="734">
        <f>H122/$H$219</f>
        <v>0.00211818818286115</v>
      </c>
    </row>
    <row r="123" spans="1:9" s="71" customFormat="1" ht="60">
      <c r="A123" s="731" t="s">
        <v>576</v>
      </c>
      <c r="B123" s="362">
        <v>90830</v>
      </c>
      <c r="C123" s="748" t="s">
        <v>475</v>
      </c>
      <c r="D123" s="753" t="s">
        <v>106</v>
      </c>
      <c r="E123" s="755">
        <v>2</v>
      </c>
      <c r="F123" s="756">
        <v>94.52</v>
      </c>
      <c r="G123" s="70">
        <f>ROUND((F123*$J$9),2)</f>
        <v>115.43</v>
      </c>
      <c r="H123" s="733">
        <f aca="true" t="shared" si="12" ref="H123">ROUND((E123*G123),2)</f>
        <v>230.86</v>
      </c>
      <c r="I123" s="734">
        <f>H123/$H$219</f>
        <v>0.0007127104936386128</v>
      </c>
    </row>
    <row r="124" spans="1:9" s="71" customFormat="1" ht="15.75">
      <c r="A124" s="636"/>
      <c r="B124" s="637"/>
      <c r="C124" s="641" t="s">
        <v>473</v>
      </c>
      <c r="D124" s="638"/>
      <c r="E124" s="639"/>
      <c r="F124" s="640"/>
      <c r="G124" s="640"/>
      <c r="H124" s="891"/>
      <c r="I124" s="59"/>
    </row>
    <row r="125" spans="1:9" s="71" customFormat="1" ht="60">
      <c r="A125" s="731" t="s">
        <v>577</v>
      </c>
      <c r="B125" s="362">
        <v>90823</v>
      </c>
      <c r="C125" s="748" t="s">
        <v>476</v>
      </c>
      <c r="D125" s="753" t="s">
        <v>106</v>
      </c>
      <c r="E125" s="753">
        <v>1</v>
      </c>
      <c r="F125" s="754">
        <v>296.63</v>
      </c>
      <c r="G125" s="70">
        <f>ROUND((F125*$J$9),2)</f>
        <v>362.26</v>
      </c>
      <c r="H125" s="733">
        <f aca="true" t="shared" si="13" ref="H125">ROUND((E125*G125),2)</f>
        <v>362.26</v>
      </c>
      <c r="I125" s="734">
        <f>H125/$H$219</f>
        <v>0.00111836828998321</v>
      </c>
    </row>
    <row r="126" spans="1:9" s="71" customFormat="1" ht="60">
      <c r="A126" s="731" t="s">
        <v>578</v>
      </c>
      <c r="B126" s="362">
        <v>90830</v>
      </c>
      <c r="C126" s="748" t="s">
        <v>475</v>
      </c>
      <c r="D126" s="753" t="s">
        <v>106</v>
      </c>
      <c r="E126" s="755">
        <v>1</v>
      </c>
      <c r="F126" s="756">
        <v>94.52</v>
      </c>
      <c r="G126" s="70">
        <f>ROUND((F126*$J$9),2)</f>
        <v>115.43</v>
      </c>
      <c r="H126" s="733">
        <f t="shared" si="11"/>
        <v>115.43</v>
      </c>
      <c r="I126" s="734">
        <f>H126/$H$219</f>
        <v>0.0003563552468193064</v>
      </c>
    </row>
    <row r="127" spans="1:9" s="71" customFormat="1" ht="15.75">
      <c r="A127" s="636"/>
      <c r="B127" s="637"/>
      <c r="C127" s="641" t="s">
        <v>480</v>
      </c>
      <c r="D127" s="638"/>
      <c r="E127" s="639"/>
      <c r="F127" s="640"/>
      <c r="G127" s="640"/>
      <c r="H127" s="891"/>
      <c r="I127" s="59"/>
    </row>
    <row r="128" spans="1:9" s="71" customFormat="1" ht="60">
      <c r="A128" s="731" t="s">
        <v>579</v>
      </c>
      <c r="B128" s="362">
        <v>90821</v>
      </c>
      <c r="C128" s="748" t="s">
        <v>478</v>
      </c>
      <c r="D128" s="744" t="s">
        <v>106</v>
      </c>
      <c r="E128" s="744">
        <v>2</v>
      </c>
      <c r="F128" s="747">
        <v>284.46</v>
      </c>
      <c r="G128" s="70">
        <f>ROUND((F128*$J$9),2)</f>
        <v>347.4</v>
      </c>
      <c r="H128" s="733">
        <f aca="true" t="shared" si="14" ref="H128:H129">ROUND((E128*G128),2)</f>
        <v>694.8</v>
      </c>
      <c r="I128" s="734">
        <f>H128/$H$219</f>
        <v>0.0021449850601234868</v>
      </c>
    </row>
    <row r="129" spans="1:9" s="71" customFormat="1" ht="75">
      <c r="A129" s="731" t="s">
        <v>580</v>
      </c>
      <c r="B129" s="362">
        <v>90830</v>
      </c>
      <c r="C129" s="748" t="s">
        <v>479</v>
      </c>
      <c r="D129" s="744" t="s">
        <v>106</v>
      </c>
      <c r="E129" s="751">
        <v>2</v>
      </c>
      <c r="F129" s="752">
        <v>94.52</v>
      </c>
      <c r="G129" s="70">
        <f>ROUND((F129*$J$9),2)</f>
        <v>115.43</v>
      </c>
      <c r="H129" s="733">
        <f t="shared" si="14"/>
        <v>230.86</v>
      </c>
      <c r="I129" s="734">
        <f>H129/$H$219</f>
        <v>0.0007127104936386128</v>
      </c>
    </row>
    <row r="130" spans="1:9" s="71" customFormat="1" ht="15">
      <c r="A130" s="1107" t="s">
        <v>670</v>
      </c>
      <c r="B130" s="1107"/>
      <c r="C130" s="1107"/>
      <c r="D130" s="1107"/>
      <c r="E130" s="1107"/>
      <c r="F130" s="1107"/>
      <c r="G130" s="655"/>
      <c r="H130" s="890">
        <f>SUM(H113:H129)</f>
        <v>10722.62</v>
      </c>
      <c r="I130" s="59"/>
    </row>
    <row r="131" spans="1:9" s="71" customFormat="1" ht="15.75">
      <c r="A131" s="357" t="s">
        <v>581</v>
      </c>
      <c r="B131" s="605"/>
      <c r="C131" s="633" t="s">
        <v>219</v>
      </c>
      <c r="D131" s="634"/>
      <c r="E131" s="634"/>
      <c r="F131" s="553"/>
      <c r="G131" s="634"/>
      <c r="H131" s="892"/>
      <c r="I131" s="635"/>
    </row>
    <row r="132" spans="1:9" s="71" customFormat="1" ht="30">
      <c r="A132" s="357" t="s">
        <v>582</v>
      </c>
      <c r="B132" s="398">
        <v>88489</v>
      </c>
      <c r="C132" s="446" t="s">
        <v>464</v>
      </c>
      <c r="D132" s="397" t="s">
        <v>3</v>
      </c>
      <c r="E132" s="831">
        <f>'Terminal Rodoviário. 5'!D550</f>
        <v>403.42499999999984</v>
      </c>
      <c r="F132" s="832">
        <v>10.08</v>
      </c>
      <c r="G132" s="506">
        <f>ROUND((F132*$J$9),2)</f>
        <v>12.31</v>
      </c>
      <c r="H132" s="550">
        <f aca="true" t="shared" si="15" ref="H132">ROUND((E132*G132),2)</f>
        <v>4966.16</v>
      </c>
      <c r="I132" s="59">
        <f>H132/$H$219</f>
        <v>0.015331518431466401</v>
      </c>
    </row>
    <row r="133" spans="1:9" s="71" customFormat="1" ht="15">
      <c r="A133" s="1107" t="s">
        <v>669</v>
      </c>
      <c r="B133" s="1107"/>
      <c r="C133" s="1107"/>
      <c r="D133" s="1107"/>
      <c r="E133" s="1107"/>
      <c r="F133" s="1107"/>
      <c r="G133" s="655"/>
      <c r="H133" s="890">
        <f>SUM(H132:H132)</f>
        <v>4966.16</v>
      </c>
      <c r="I133" s="59"/>
    </row>
    <row r="134" spans="1:9" s="71" customFormat="1" ht="15.75">
      <c r="A134" s="790" t="s">
        <v>583</v>
      </c>
      <c r="B134" s="605"/>
      <c r="C134" s="633" t="s">
        <v>220</v>
      </c>
      <c r="D134" s="634"/>
      <c r="E134" s="634"/>
      <c r="F134" s="553"/>
      <c r="G134" s="634"/>
      <c r="H134" s="892"/>
      <c r="I134" s="635"/>
    </row>
    <row r="135" spans="1:9" s="71" customFormat="1" ht="60.75" customHeight="1">
      <c r="A135" s="790" t="s">
        <v>584</v>
      </c>
      <c r="B135" s="791">
        <v>39510</v>
      </c>
      <c r="C135" s="792" t="s">
        <v>379</v>
      </c>
      <c r="D135" s="793" t="s">
        <v>124</v>
      </c>
      <c r="E135" s="662">
        <v>5</v>
      </c>
      <c r="F135" s="794">
        <v>117.85</v>
      </c>
      <c r="G135" s="795">
        <f>ROUND((F135*$J$9),2)</f>
        <v>143.92</v>
      </c>
      <c r="H135" s="893">
        <f aca="true" t="shared" si="16" ref="H135">ROUND((E135*G135),2)</f>
        <v>719.6</v>
      </c>
      <c r="I135" s="796">
        <f aca="true" t="shared" si="17" ref="I135:I154">H135/$H$219</f>
        <v>0.0022215475665873074</v>
      </c>
    </row>
    <row r="136" spans="1:9" s="71" customFormat="1" ht="60" customHeight="1">
      <c r="A136" s="790" t="s">
        <v>585</v>
      </c>
      <c r="B136" s="797">
        <v>97586</v>
      </c>
      <c r="C136" s="792" t="s">
        <v>380</v>
      </c>
      <c r="D136" s="793" t="s">
        <v>124</v>
      </c>
      <c r="E136" s="662">
        <f>'[1]Eletrico'!I130+'[1]Eletrico'!I151+'[1]Eletrico'!I176+'[1]Eletrico'!I239+'[1]Eletrico'!I311</f>
        <v>4</v>
      </c>
      <c r="F136" s="794">
        <v>73.06</v>
      </c>
      <c r="G136" s="795">
        <f>ROUND((F136*$J$9),2)</f>
        <v>89.22</v>
      </c>
      <c r="H136" s="893">
        <f aca="true" t="shared" si="18" ref="H136:H154">ROUND((E136*G136),2)</f>
        <v>356.88</v>
      </c>
      <c r="I136" s="796">
        <f t="shared" si="17"/>
        <v>0.001101759165597107</v>
      </c>
    </row>
    <row r="137" spans="1:9" s="71" customFormat="1" ht="48" customHeight="1">
      <c r="A137" s="790" t="s">
        <v>586</v>
      </c>
      <c r="B137" s="791">
        <v>97583</v>
      </c>
      <c r="C137" s="792" t="s">
        <v>381</v>
      </c>
      <c r="D137" s="793" t="s">
        <v>124</v>
      </c>
      <c r="E137" s="662">
        <v>19</v>
      </c>
      <c r="F137" s="794">
        <v>40.46</v>
      </c>
      <c r="G137" s="795">
        <f>ROUND((F137*$J$9),2)</f>
        <v>49.41</v>
      </c>
      <c r="H137" s="893">
        <f t="shared" si="18"/>
        <v>938.79</v>
      </c>
      <c r="I137" s="796">
        <f t="shared" si="17"/>
        <v>0.0028982304614181467</v>
      </c>
    </row>
    <row r="138" spans="1:9" s="71" customFormat="1" ht="48.75" customHeight="1">
      <c r="A138" s="790" t="s">
        <v>587</v>
      </c>
      <c r="B138" s="791">
        <v>7528</v>
      </c>
      <c r="C138" s="792" t="s">
        <v>382</v>
      </c>
      <c r="D138" s="793" t="s">
        <v>124</v>
      </c>
      <c r="E138" s="662">
        <v>3</v>
      </c>
      <c r="F138" s="794">
        <v>6.5</v>
      </c>
      <c r="G138" s="506">
        <f aca="true" t="shared" si="19" ref="G138:G143">ROUND((F138*$J$10),2)</f>
        <v>7.41</v>
      </c>
      <c r="H138" s="893">
        <f t="shared" si="18"/>
        <v>22.23</v>
      </c>
      <c r="I138" s="796">
        <f t="shared" si="17"/>
        <v>6.862840801172297E-05</v>
      </c>
    </row>
    <row r="139" spans="1:9" s="71" customFormat="1" ht="36.75" customHeight="1">
      <c r="A139" s="790" t="s">
        <v>588</v>
      </c>
      <c r="B139" s="791">
        <v>38062</v>
      </c>
      <c r="C139" s="792" t="s">
        <v>383</v>
      </c>
      <c r="D139" s="793" t="s">
        <v>124</v>
      </c>
      <c r="E139" s="662">
        <v>4</v>
      </c>
      <c r="F139" s="794">
        <v>4.99</v>
      </c>
      <c r="G139" s="506">
        <f t="shared" si="19"/>
        <v>5.69</v>
      </c>
      <c r="H139" s="893">
        <f t="shared" si="18"/>
        <v>22.76</v>
      </c>
      <c r="I139" s="796">
        <f t="shared" si="17"/>
        <v>7.0264622867603E-05</v>
      </c>
    </row>
    <row r="140" spans="1:9" s="71" customFormat="1" ht="45">
      <c r="A140" s="790" t="s">
        <v>589</v>
      </c>
      <c r="B140" s="791">
        <v>38068</v>
      </c>
      <c r="C140" s="792" t="s">
        <v>384</v>
      </c>
      <c r="D140" s="793" t="s">
        <v>124</v>
      </c>
      <c r="E140" s="662">
        <v>1</v>
      </c>
      <c r="F140" s="794">
        <v>10.24</v>
      </c>
      <c r="G140" s="506">
        <f t="shared" si="19"/>
        <v>11.68</v>
      </c>
      <c r="H140" s="893">
        <f t="shared" si="18"/>
        <v>11.68</v>
      </c>
      <c r="I140" s="796">
        <f t="shared" si="17"/>
        <v>3.605847078618642E-05</v>
      </c>
    </row>
    <row r="141" spans="1:9" s="71" customFormat="1" ht="45">
      <c r="A141" s="790" t="s">
        <v>590</v>
      </c>
      <c r="B141" s="791">
        <v>38077</v>
      </c>
      <c r="C141" s="792" t="s">
        <v>385</v>
      </c>
      <c r="D141" s="793" t="s">
        <v>124</v>
      </c>
      <c r="E141" s="662">
        <v>2</v>
      </c>
      <c r="F141" s="794">
        <v>10.82</v>
      </c>
      <c r="G141" s="506">
        <f t="shared" si="19"/>
        <v>12.34</v>
      </c>
      <c r="H141" s="893">
        <f t="shared" si="18"/>
        <v>24.68</v>
      </c>
      <c r="I141" s="796">
        <f t="shared" si="17"/>
        <v>7.619204272286652E-05</v>
      </c>
    </row>
    <row r="142" spans="1:9" s="71" customFormat="1" ht="30">
      <c r="A142" s="790" t="s">
        <v>591</v>
      </c>
      <c r="B142" s="791">
        <v>1872</v>
      </c>
      <c r="C142" s="792" t="s">
        <v>386</v>
      </c>
      <c r="D142" s="793" t="s">
        <v>124</v>
      </c>
      <c r="E142" s="662">
        <f>SUM(E138:E141)</f>
        <v>10</v>
      </c>
      <c r="F142" s="794">
        <v>1.47</v>
      </c>
      <c r="G142" s="506">
        <f t="shared" si="19"/>
        <v>1.68</v>
      </c>
      <c r="H142" s="893">
        <f t="shared" si="18"/>
        <v>16.8</v>
      </c>
      <c r="I142" s="796">
        <f t="shared" si="17"/>
        <v>5.1864923733555816E-05</v>
      </c>
    </row>
    <row r="143" spans="1:9" s="71" customFormat="1" ht="30">
      <c r="A143" s="790" t="s">
        <v>592</v>
      </c>
      <c r="B143" s="791">
        <v>39804</v>
      </c>
      <c r="C143" s="792" t="s">
        <v>387</v>
      </c>
      <c r="D143" s="793" t="s">
        <v>124</v>
      </c>
      <c r="E143" s="662">
        <v>1</v>
      </c>
      <c r="F143" s="794">
        <v>57.24</v>
      </c>
      <c r="G143" s="506">
        <f t="shared" si="19"/>
        <v>65.26</v>
      </c>
      <c r="H143" s="893">
        <f t="shared" si="18"/>
        <v>65.26</v>
      </c>
      <c r="I143" s="796">
        <f t="shared" si="17"/>
        <v>0.0002014705311221341</v>
      </c>
    </row>
    <row r="144" spans="1:9" s="71" customFormat="1" ht="45">
      <c r="A144" s="790" t="s">
        <v>593</v>
      </c>
      <c r="B144" s="791" t="s">
        <v>388</v>
      </c>
      <c r="C144" s="798" t="s">
        <v>389</v>
      </c>
      <c r="D144" s="793" t="s">
        <v>124</v>
      </c>
      <c r="E144" s="662">
        <v>6</v>
      </c>
      <c r="F144" s="794">
        <v>10.12</v>
      </c>
      <c r="G144" s="795">
        <f aca="true" t="shared" si="20" ref="G144:G154">ROUND((F144*$J$9),2)</f>
        <v>12.36</v>
      </c>
      <c r="H144" s="893">
        <f t="shared" si="18"/>
        <v>74.16</v>
      </c>
      <c r="I144" s="796">
        <f t="shared" si="17"/>
        <v>0.00022894659190955352</v>
      </c>
    </row>
    <row r="145" spans="1:9" s="71" customFormat="1" ht="45">
      <c r="A145" s="790" t="s">
        <v>594</v>
      </c>
      <c r="B145" s="799">
        <v>91844</v>
      </c>
      <c r="C145" s="800" t="s">
        <v>390</v>
      </c>
      <c r="D145" s="793" t="s">
        <v>80</v>
      </c>
      <c r="E145" s="662">
        <v>19</v>
      </c>
      <c r="F145" s="794">
        <v>4.22</v>
      </c>
      <c r="G145" s="795">
        <f t="shared" si="20"/>
        <v>5.15</v>
      </c>
      <c r="H145" s="893">
        <f t="shared" si="18"/>
        <v>97.85</v>
      </c>
      <c r="I145" s="796">
        <f t="shared" si="17"/>
        <v>0.00030208230876954976</v>
      </c>
    </row>
    <row r="146" spans="1:9" s="71" customFormat="1" ht="45">
      <c r="A146" s="790" t="s">
        <v>595</v>
      </c>
      <c r="B146" s="799">
        <v>91902</v>
      </c>
      <c r="C146" s="801" t="s">
        <v>391</v>
      </c>
      <c r="D146" s="793" t="s">
        <v>124</v>
      </c>
      <c r="E146" s="662">
        <v>9</v>
      </c>
      <c r="F146" s="794">
        <v>8.65</v>
      </c>
      <c r="G146" s="795">
        <f t="shared" si="20"/>
        <v>10.56</v>
      </c>
      <c r="H146" s="893">
        <f t="shared" si="18"/>
        <v>95.04</v>
      </c>
      <c r="I146" s="796">
        <f t="shared" si="17"/>
        <v>0.00029340728283554435</v>
      </c>
    </row>
    <row r="147" spans="1:9" s="71" customFormat="1" ht="45">
      <c r="A147" s="790" t="s">
        <v>596</v>
      </c>
      <c r="B147" s="799">
        <v>91863</v>
      </c>
      <c r="C147" s="800" t="s">
        <v>392</v>
      </c>
      <c r="D147" s="793" t="s">
        <v>80</v>
      </c>
      <c r="E147" s="662">
        <v>15</v>
      </c>
      <c r="F147" s="794">
        <v>6.98</v>
      </c>
      <c r="G147" s="795">
        <f t="shared" si="20"/>
        <v>8.52</v>
      </c>
      <c r="H147" s="893">
        <f t="shared" si="18"/>
        <v>127.8</v>
      </c>
      <c r="I147" s="796">
        <f t="shared" si="17"/>
        <v>0.00039454388411597815</v>
      </c>
    </row>
    <row r="148" spans="1:9" s="71" customFormat="1" ht="45">
      <c r="A148" s="790" t="s">
        <v>597</v>
      </c>
      <c r="B148" s="799">
        <v>95733</v>
      </c>
      <c r="C148" s="801" t="s">
        <v>393</v>
      </c>
      <c r="D148" s="793" t="s">
        <v>124</v>
      </c>
      <c r="E148" s="662">
        <v>9</v>
      </c>
      <c r="F148" s="794">
        <v>3.91</v>
      </c>
      <c r="G148" s="795">
        <f t="shared" si="20"/>
        <v>4.78</v>
      </c>
      <c r="H148" s="893">
        <f t="shared" si="18"/>
        <v>43.02</v>
      </c>
      <c r="I148" s="796">
        <f t="shared" si="17"/>
        <v>0.0001328112511319983</v>
      </c>
    </row>
    <row r="149" spans="1:9" s="71" customFormat="1" ht="15.75">
      <c r="A149" s="790" t="s">
        <v>598</v>
      </c>
      <c r="B149" s="791">
        <v>39028</v>
      </c>
      <c r="C149" s="792" t="s">
        <v>394</v>
      </c>
      <c r="D149" s="793" t="s">
        <v>80</v>
      </c>
      <c r="E149" s="662">
        <v>80</v>
      </c>
      <c r="F149" s="794">
        <v>4.55</v>
      </c>
      <c r="G149" s="795">
        <f t="shared" si="20"/>
        <v>5.56</v>
      </c>
      <c r="H149" s="893">
        <f t="shared" si="18"/>
        <v>444.8</v>
      </c>
      <c r="I149" s="796">
        <f t="shared" si="17"/>
        <v>0.0013731855998027158</v>
      </c>
    </row>
    <row r="150" spans="1:9" s="71" customFormat="1" ht="15.75">
      <c r="A150" s="790" t="s">
        <v>599</v>
      </c>
      <c r="B150" s="799">
        <v>83447</v>
      </c>
      <c r="C150" s="802" t="s">
        <v>221</v>
      </c>
      <c r="D150" s="793" t="s">
        <v>124</v>
      </c>
      <c r="E150" s="662">
        <v>5</v>
      </c>
      <c r="F150" s="794">
        <v>154.94</v>
      </c>
      <c r="G150" s="795">
        <f t="shared" si="20"/>
        <v>189.22</v>
      </c>
      <c r="H150" s="893">
        <f t="shared" si="18"/>
        <v>946.1</v>
      </c>
      <c r="I150" s="796">
        <f t="shared" si="17"/>
        <v>0.002920797877637926</v>
      </c>
    </row>
    <row r="151" spans="1:9" s="71" customFormat="1" ht="45">
      <c r="A151" s="790" t="s">
        <v>600</v>
      </c>
      <c r="B151" s="799">
        <v>39680</v>
      </c>
      <c r="C151" s="803" t="s">
        <v>395</v>
      </c>
      <c r="D151" s="793" t="s">
        <v>124</v>
      </c>
      <c r="E151" s="662">
        <v>1</v>
      </c>
      <c r="F151" s="794">
        <v>84.71</v>
      </c>
      <c r="G151" s="795">
        <f t="shared" si="20"/>
        <v>103.45</v>
      </c>
      <c r="H151" s="893">
        <f t="shared" si="18"/>
        <v>103.45</v>
      </c>
      <c r="I151" s="796">
        <f t="shared" si="17"/>
        <v>0.00031937061668073504</v>
      </c>
    </row>
    <row r="152" spans="1:9" s="71" customFormat="1" ht="30">
      <c r="A152" s="790" t="s">
        <v>601</v>
      </c>
      <c r="B152" s="799">
        <v>96986</v>
      </c>
      <c r="C152" s="792" t="s">
        <v>396</v>
      </c>
      <c r="D152" s="793" t="s">
        <v>124</v>
      </c>
      <c r="E152" s="662">
        <v>3</v>
      </c>
      <c r="F152" s="794">
        <v>69.38</v>
      </c>
      <c r="G152" s="795">
        <f t="shared" si="20"/>
        <v>84.73</v>
      </c>
      <c r="H152" s="893">
        <f t="shared" si="18"/>
        <v>254.19</v>
      </c>
      <c r="I152" s="796">
        <f t="shared" si="17"/>
        <v>0.0007847348192757471</v>
      </c>
    </row>
    <row r="153" spans="1:9" s="71" customFormat="1" ht="45">
      <c r="A153" s="790" t="s">
        <v>602</v>
      </c>
      <c r="B153" s="799">
        <v>91926</v>
      </c>
      <c r="C153" s="803" t="s">
        <v>397</v>
      </c>
      <c r="D153" s="793" t="s">
        <v>80</v>
      </c>
      <c r="E153" s="662">
        <v>150</v>
      </c>
      <c r="F153" s="794">
        <v>2.31</v>
      </c>
      <c r="G153" s="795">
        <f t="shared" si="20"/>
        <v>2.82</v>
      </c>
      <c r="H153" s="893">
        <f t="shared" si="18"/>
        <v>423</v>
      </c>
      <c r="I153" s="796">
        <f t="shared" si="17"/>
        <v>0.0013058846868627446</v>
      </c>
    </row>
    <row r="154" spans="1:9" s="71" customFormat="1" ht="45">
      <c r="A154" s="790" t="s">
        <v>603</v>
      </c>
      <c r="B154" s="799">
        <v>91928</v>
      </c>
      <c r="C154" s="803" t="s">
        <v>156</v>
      </c>
      <c r="D154" s="793" t="s">
        <v>80</v>
      </c>
      <c r="E154" s="662">
        <v>10</v>
      </c>
      <c r="F154" s="794">
        <v>3.61</v>
      </c>
      <c r="G154" s="795">
        <f t="shared" si="20"/>
        <v>4.41</v>
      </c>
      <c r="H154" s="893">
        <f t="shared" si="18"/>
        <v>44.1</v>
      </c>
      <c r="I154" s="796">
        <f t="shared" si="17"/>
        <v>0.000136145424800584</v>
      </c>
    </row>
    <row r="155" spans="1:9" s="71" customFormat="1" ht="15">
      <c r="A155" s="1107" t="s">
        <v>668</v>
      </c>
      <c r="B155" s="1107"/>
      <c r="C155" s="1107"/>
      <c r="D155" s="1107"/>
      <c r="E155" s="1107"/>
      <c r="F155" s="1107"/>
      <c r="G155" s="655"/>
      <c r="H155" s="890">
        <f>SUM(H135:H154)</f>
        <v>4832.1900000000005</v>
      </c>
      <c r="I155" s="59"/>
    </row>
    <row r="156" spans="1:9" s="71" customFormat="1" ht="15.75">
      <c r="A156" s="357" t="s">
        <v>604</v>
      </c>
      <c r="B156" s="605"/>
      <c r="C156" s="606" t="s">
        <v>222</v>
      </c>
      <c r="D156" s="606"/>
      <c r="E156" s="94"/>
      <c r="F156" s="94"/>
      <c r="G156" s="94"/>
      <c r="H156" s="94"/>
      <c r="I156" s="363"/>
    </row>
    <row r="157" spans="1:9" s="71" customFormat="1" ht="15.75">
      <c r="A157" s="636"/>
      <c r="B157" s="637"/>
      <c r="C157" s="641" t="s">
        <v>336</v>
      </c>
      <c r="D157" s="638"/>
      <c r="E157" s="639"/>
      <c r="F157" s="640"/>
      <c r="G157" s="640"/>
      <c r="H157" s="891"/>
      <c r="I157" s="59"/>
    </row>
    <row r="158" spans="1:9" s="71" customFormat="1" ht="12.75">
      <c r="A158" s="636" t="s">
        <v>605</v>
      </c>
      <c r="B158" s="34">
        <v>9867</v>
      </c>
      <c r="C158" s="582" t="s">
        <v>337</v>
      </c>
      <c r="D158" s="36" t="s">
        <v>81</v>
      </c>
      <c r="E158" s="642">
        <v>14</v>
      </c>
      <c r="F158" s="643">
        <v>2.28</v>
      </c>
      <c r="G158" s="506">
        <f aca="true" t="shared" si="21" ref="G158:G168">ROUND((F158*$J$10),2)</f>
        <v>2.6</v>
      </c>
      <c r="H158" s="550">
        <f aca="true" t="shared" si="22" ref="H158:H167">ROUND((E158*G158),2)</f>
        <v>36.4</v>
      </c>
      <c r="I158" s="59">
        <f aca="true" t="shared" si="23" ref="I158:I168">H158/$H$219</f>
        <v>0.00011237400142270426</v>
      </c>
    </row>
    <row r="159" spans="1:9" s="71" customFormat="1" ht="12.75">
      <c r="A159" s="636" t="s">
        <v>606</v>
      </c>
      <c r="B159" s="34">
        <v>9868</v>
      </c>
      <c r="C159" s="582" t="s">
        <v>338</v>
      </c>
      <c r="D159" s="36" t="s">
        <v>81</v>
      </c>
      <c r="E159" s="642">
        <v>7</v>
      </c>
      <c r="F159" s="643">
        <v>3.03</v>
      </c>
      <c r="G159" s="506">
        <f t="shared" si="21"/>
        <v>3.45</v>
      </c>
      <c r="H159" s="550">
        <f t="shared" si="22"/>
        <v>24.15</v>
      </c>
      <c r="I159" s="59">
        <f t="shared" si="23"/>
        <v>7.455582786698648E-05</v>
      </c>
    </row>
    <row r="160" spans="1:9" s="71" customFormat="1" ht="12.75">
      <c r="A160" s="636" t="s">
        <v>607</v>
      </c>
      <c r="B160" s="34">
        <v>9869</v>
      </c>
      <c r="C160" s="582" t="s">
        <v>339</v>
      </c>
      <c r="D160" s="36" t="s">
        <v>81</v>
      </c>
      <c r="E160" s="642">
        <v>9</v>
      </c>
      <c r="F160" s="643">
        <v>6.49</v>
      </c>
      <c r="G160" s="506">
        <f t="shared" si="21"/>
        <v>7.4</v>
      </c>
      <c r="H160" s="550">
        <f t="shared" si="22"/>
        <v>66.6</v>
      </c>
      <c r="I160" s="59">
        <f t="shared" si="23"/>
        <v>0.0002056073762294534</v>
      </c>
    </row>
    <row r="161" spans="1:9" s="71" customFormat="1" ht="28.5">
      <c r="A161" s="636" t="s">
        <v>608</v>
      </c>
      <c r="B161" s="34">
        <v>3515</v>
      </c>
      <c r="C161" s="582" t="s">
        <v>340</v>
      </c>
      <c r="D161" s="36" t="s">
        <v>123</v>
      </c>
      <c r="E161" s="642">
        <v>8</v>
      </c>
      <c r="F161" s="643">
        <v>4.47</v>
      </c>
      <c r="G161" s="506">
        <f t="shared" si="21"/>
        <v>5.1</v>
      </c>
      <c r="H161" s="550">
        <f t="shared" si="22"/>
        <v>40.8</v>
      </c>
      <c r="I161" s="59">
        <f t="shared" si="23"/>
        <v>0.00012595767192434982</v>
      </c>
    </row>
    <row r="162" spans="1:11" s="71" customFormat="1" ht="28.5">
      <c r="A162" s="636" t="s">
        <v>609</v>
      </c>
      <c r="B162" s="34">
        <v>3529</v>
      </c>
      <c r="C162" s="582" t="s">
        <v>341</v>
      </c>
      <c r="D162" s="36" t="s">
        <v>123</v>
      </c>
      <c r="E162" s="642">
        <v>4</v>
      </c>
      <c r="F162" s="643">
        <v>0.6</v>
      </c>
      <c r="G162" s="506">
        <f t="shared" si="21"/>
        <v>0.68</v>
      </c>
      <c r="H162" s="550">
        <f t="shared" si="22"/>
        <v>2.72</v>
      </c>
      <c r="I162" s="59">
        <f t="shared" si="23"/>
        <v>8.39717812828999E-06</v>
      </c>
      <c r="K162" s="560"/>
    </row>
    <row r="163" spans="1:11" s="71" customFormat="1" ht="28.5">
      <c r="A163" s="636" t="s">
        <v>610</v>
      </c>
      <c r="B163" s="650">
        <v>3542</v>
      </c>
      <c r="C163" s="582" t="s">
        <v>342</v>
      </c>
      <c r="D163" s="36" t="s">
        <v>123</v>
      </c>
      <c r="E163" s="642">
        <v>6</v>
      </c>
      <c r="F163" s="643">
        <v>0.4</v>
      </c>
      <c r="G163" s="506">
        <f t="shared" si="21"/>
        <v>0.46</v>
      </c>
      <c r="H163" s="550">
        <f t="shared" si="22"/>
        <v>2.76</v>
      </c>
      <c r="I163" s="833">
        <f t="shared" si="23"/>
        <v>8.520666041941312E-06</v>
      </c>
      <c r="J163" s="834"/>
      <c r="K163" s="834"/>
    </row>
    <row r="164" spans="1:11" s="71" customFormat="1" ht="28.5">
      <c r="A164" s="636" t="s">
        <v>611</v>
      </c>
      <c r="B164" s="650">
        <v>828</v>
      </c>
      <c r="C164" s="582" t="s">
        <v>343</v>
      </c>
      <c r="D164" s="36" t="s">
        <v>123</v>
      </c>
      <c r="E164" s="642">
        <v>3</v>
      </c>
      <c r="F164" s="643">
        <v>0.39</v>
      </c>
      <c r="G164" s="506">
        <f t="shared" si="21"/>
        <v>0.44</v>
      </c>
      <c r="H164" s="550">
        <f t="shared" si="22"/>
        <v>1.32</v>
      </c>
      <c r="I164" s="833">
        <f t="shared" si="23"/>
        <v>4.0751011504936714E-06</v>
      </c>
      <c r="J164" s="133"/>
      <c r="K164" s="133"/>
    </row>
    <row r="165" spans="1:9" s="54" customFormat="1" ht="28.5">
      <c r="A165" s="636" t="s">
        <v>612</v>
      </c>
      <c r="B165" s="650">
        <v>7138</v>
      </c>
      <c r="C165" s="582" t="s">
        <v>344</v>
      </c>
      <c r="D165" s="36" t="s">
        <v>123</v>
      </c>
      <c r="E165" s="642">
        <v>5</v>
      </c>
      <c r="F165" s="643">
        <v>0.72</v>
      </c>
      <c r="G165" s="506">
        <f t="shared" si="21"/>
        <v>0.82</v>
      </c>
      <c r="H165" s="550">
        <f t="shared" si="22"/>
        <v>4.1</v>
      </c>
      <c r="I165" s="59">
        <f t="shared" si="23"/>
        <v>1.2657511149260645E-05</v>
      </c>
    </row>
    <row r="166" spans="1:9" s="54" customFormat="1" ht="28.5">
      <c r="A166" s="636" t="s">
        <v>613</v>
      </c>
      <c r="B166" s="650">
        <v>7139</v>
      </c>
      <c r="C166" s="582" t="s">
        <v>345</v>
      </c>
      <c r="D166" s="36" t="s">
        <v>123</v>
      </c>
      <c r="E166" s="642">
        <v>2</v>
      </c>
      <c r="F166" s="643">
        <v>1</v>
      </c>
      <c r="G166" s="506">
        <f t="shared" si="21"/>
        <v>1.14</v>
      </c>
      <c r="H166" s="550">
        <f t="shared" si="22"/>
        <v>2.28</v>
      </c>
      <c r="I166" s="59">
        <f t="shared" si="23"/>
        <v>7.038811078125431E-06</v>
      </c>
    </row>
    <row r="167" spans="1:9" s="54" customFormat="1" ht="60" customHeight="1">
      <c r="A167" s="636" t="s">
        <v>614</v>
      </c>
      <c r="B167" s="650">
        <v>89986</v>
      </c>
      <c r="C167" s="663" t="s">
        <v>346</v>
      </c>
      <c r="D167" s="36" t="s">
        <v>123</v>
      </c>
      <c r="E167" s="642">
        <v>3</v>
      </c>
      <c r="F167" s="643">
        <v>66.08</v>
      </c>
      <c r="G167" s="506">
        <f t="shared" si="21"/>
        <v>75.34</v>
      </c>
      <c r="H167" s="550">
        <f t="shared" si="22"/>
        <v>226.02</v>
      </c>
      <c r="I167" s="59">
        <f t="shared" si="23"/>
        <v>0.0006977684560868027</v>
      </c>
    </row>
    <row r="168" spans="1:9" s="54" customFormat="1" ht="27.75" customHeight="1">
      <c r="A168" s="636" t="s">
        <v>615</v>
      </c>
      <c r="B168" s="392">
        <v>3903</v>
      </c>
      <c r="C168" s="656" t="s">
        <v>347</v>
      </c>
      <c r="D168" s="384" t="s">
        <v>123</v>
      </c>
      <c r="E168" s="653">
        <v>3</v>
      </c>
      <c r="F168" s="654">
        <v>1.11</v>
      </c>
      <c r="G168" s="506">
        <f t="shared" si="21"/>
        <v>1.27</v>
      </c>
      <c r="H168" s="550">
        <f aca="true" t="shared" si="24" ref="H168">ROUND((E168*G168),2)</f>
        <v>3.81</v>
      </c>
      <c r="I168" s="59">
        <f t="shared" si="23"/>
        <v>1.176222377528855E-05</v>
      </c>
    </row>
    <row r="169" spans="1:9" s="54" customFormat="1" ht="18" customHeight="1">
      <c r="A169" s="1107" t="s">
        <v>665</v>
      </c>
      <c r="B169" s="1107"/>
      <c r="C169" s="1107"/>
      <c r="D169" s="1107"/>
      <c r="E169" s="1107"/>
      <c r="F169" s="1107"/>
      <c r="G169" s="655"/>
      <c r="H169" s="890">
        <f>SUM(H157:H168)</f>
        <v>410.96</v>
      </c>
      <c r="I169" s="664"/>
    </row>
    <row r="170" spans="1:9" s="54" customFormat="1" ht="16.5" customHeight="1">
      <c r="A170" s="657" t="s">
        <v>616</v>
      </c>
      <c r="B170" s="658"/>
      <c r="C170" s="1112" t="s">
        <v>366</v>
      </c>
      <c r="D170" s="1112"/>
      <c r="E170" s="1112"/>
      <c r="F170" s="1112"/>
      <c r="G170" s="1112"/>
      <c r="H170" s="1112"/>
      <c r="I170" s="678"/>
    </row>
    <row r="171" spans="1:9" s="54" customFormat="1" ht="27.75" customHeight="1">
      <c r="A171" s="636" t="s">
        <v>617</v>
      </c>
      <c r="B171" s="681"/>
      <c r="C171" s="679" t="s">
        <v>365</v>
      </c>
      <c r="D171" s="680"/>
      <c r="E171" s="680"/>
      <c r="F171" s="680"/>
      <c r="G171" s="680"/>
      <c r="H171" s="872"/>
      <c r="I171" s="335"/>
    </row>
    <row r="172" spans="1:9" s="54" customFormat="1" ht="27.75" customHeight="1">
      <c r="A172" s="636" t="s">
        <v>618</v>
      </c>
      <c r="B172" s="650">
        <v>9836</v>
      </c>
      <c r="C172" s="668" t="s">
        <v>364</v>
      </c>
      <c r="D172" s="648" t="s">
        <v>81</v>
      </c>
      <c r="E172" s="661">
        <v>13</v>
      </c>
      <c r="F172" s="644">
        <v>6.67</v>
      </c>
      <c r="G172" s="506">
        <f aca="true" t="shared" si="25" ref="G172:G183">ROUND((F172*$J$10),2)</f>
        <v>7.6</v>
      </c>
      <c r="H172" s="894">
        <f aca="true" t="shared" si="26" ref="H172">ROUND((E172*G172),2)</f>
        <v>98.8</v>
      </c>
      <c r="I172" s="59">
        <f aca="true" t="shared" si="27" ref="I172:I183">H172/$H$219</f>
        <v>0.0003050151467187687</v>
      </c>
    </row>
    <row r="173" spans="1:9" s="54" customFormat="1" ht="27.75" customHeight="1">
      <c r="A173" s="636" t="s">
        <v>619</v>
      </c>
      <c r="B173" s="34">
        <v>9838</v>
      </c>
      <c r="C173" s="649" t="s">
        <v>363</v>
      </c>
      <c r="D173" s="383" t="s">
        <v>81</v>
      </c>
      <c r="E173" s="642">
        <v>17</v>
      </c>
      <c r="F173" s="643">
        <v>4.34</v>
      </c>
      <c r="G173" s="506">
        <f t="shared" si="25"/>
        <v>4.95</v>
      </c>
      <c r="H173" s="550">
        <f aca="true" t="shared" si="28" ref="H173:H183">ROUND((E173*G173),2)</f>
        <v>84.15</v>
      </c>
      <c r="I173" s="59">
        <f t="shared" si="27"/>
        <v>0.00025978769834397156</v>
      </c>
    </row>
    <row r="174" spans="1:9" s="54" customFormat="1" ht="27.75" customHeight="1">
      <c r="A174" s="636" t="s">
        <v>620</v>
      </c>
      <c r="B174" s="650">
        <v>9835</v>
      </c>
      <c r="C174" s="649" t="s">
        <v>362</v>
      </c>
      <c r="D174" s="383" t="s">
        <v>81</v>
      </c>
      <c r="E174" s="642">
        <v>3</v>
      </c>
      <c r="F174" s="643">
        <v>2.52</v>
      </c>
      <c r="G174" s="506">
        <f t="shared" si="25"/>
        <v>2.87</v>
      </c>
      <c r="H174" s="550">
        <f t="shared" si="28"/>
        <v>8.61</v>
      </c>
      <c r="I174" s="59">
        <f t="shared" si="27"/>
        <v>2.6580773413447353E-05</v>
      </c>
    </row>
    <row r="175" spans="1:9" s="54" customFormat="1" ht="27.75" customHeight="1">
      <c r="A175" s="636" t="s">
        <v>621</v>
      </c>
      <c r="B175" s="650">
        <v>20157</v>
      </c>
      <c r="C175" s="651" t="s">
        <v>361</v>
      </c>
      <c r="D175" s="383" t="s">
        <v>123</v>
      </c>
      <c r="E175" s="642">
        <v>5</v>
      </c>
      <c r="F175" s="643">
        <v>18.87</v>
      </c>
      <c r="G175" s="506">
        <f t="shared" si="25"/>
        <v>21.52</v>
      </c>
      <c r="H175" s="550">
        <f t="shared" si="28"/>
        <v>107.6</v>
      </c>
      <c r="I175" s="59">
        <f t="shared" si="27"/>
        <v>0.0003321824877220598</v>
      </c>
    </row>
    <row r="176" spans="1:9" s="54" customFormat="1" ht="27.75" customHeight="1">
      <c r="A176" s="636" t="s">
        <v>622</v>
      </c>
      <c r="B176" s="650">
        <v>20155</v>
      </c>
      <c r="C176" s="651" t="s">
        <v>360</v>
      </c>
      <c r="D176" s="383" t="s">
        <v>123</v>
      </c>
      <c r="E176" s="642">
        <v>2</v>
      </c>
      <c r="F176" s="643">
        <v>4.81</v>
      </c>
      <c r="G176" s="506">
        <f t="shared" si="25"/>
        <v>5.48</v>
      </c>
      <c r="H176" s="550">
        <f t="shared" si="28"/>
        <v>10.96</v>
      </c>
      <c r="I176" s="59">
        <f t="shared" si="27"/>
        <v>3.383568834046261E-05</v>
      </c>
    </row>
    <row r="177" spans="1:9" s="54" customFormat="1" ht="27.75" customHeight="1">
      <c r="A177" s="636" t="s">
        <v>623</v>
      </c>
      <c r="B177" s="650">
        <v>20154</v>
      </c>
      <c r="C177" s="651" t="s">
        <v>359</v>
      </c>
      <c r="D177" s="383" t="s">
        <v>123</v>
      </c>
      <c r="E177" s="642">
        <v>6</v>
      </c>
      <c r="F177" s="643">
        <v>3.07</v>
      </c>
      <c r="G177" s="506">
        <f t="shared" si="25"/>
        <v>3.5</v>
      </c>
      <c r="H177" s="550">
        <f t="shared" si="28"/>
        <v>21</v>
      </c>
      <c r="I177" s="59">
        <f t="shared" si="27"/>
        <v>6.483115466694477E-05</v>
      </c>
    </row>
    <row r="178" spans="1:9" s="54" customFormat="1" ht="27.75" customHeight="1">
      <c r="A178" s="636" t="s">
        <v>624</v>
      </c>
      <c r="B178" s="650">
        <v>20151</v>
      </c>
      <c r="C178" s="651" t="s">
        <v>358</v>
      </c>
      <c r="D178" s="383" t="s">
        <v>123</v>
      </c>
      <c r="E178" s="642">
        <v>2</v>
      </c>
      <c r="F178" s="643">
        <v>15.18</v>
      </c>
      <c r="G178" s="506">
        <f t="shared" si="25"/>
        <v>17.31</v>
      </c>
      <c r="H178" s="550">
        <f t="shared" si="28"/>
        <v>34.62</v>
      </c>
      <c r="I178" s="59">
        <f t="shared" si="27"/>
        <v>0.00010687878926522036</v>
      </c>
    </row>
    <row r="179" spans="1:9" s="54" customFormat="1" ht="27.75" customHeight="1">
      <c r="A179" s="636" t="s">
        <v>625</v>
      </c>
      <c r="B179" s="650">
        <v>20149</v>
      </c>
      <c r="C179" s="651" t="s">
        <v>357</v>
      </c>
      <c r="D179" s="383" t="s">
        <v>123</v>
      </c>
      <c r="E179" s="642">
        <v>1</v>
      </c>
      <c r="F179" s="643">
        <v>4.2</v>
      </c>
      <c r="G179" s="506">
        <f t="shared" si="25"/>
        <v>4.79</v>
      </c>
      <c r="H179" s="550">
        <f t="shared" si="28"/>
        <v>4.79</v>
      </c>
      <c r="I179" s="59">
        <f t="shared" si="27"/>
        <v>1.4787677659745973E-05</v>
      </c>
    </row>
    <row r="180" spans="1:9" s="54" customFormat="1" ht="28.5">
      <c r="A180" s="636" t="s">
        <v>626</v>
      </c>
      <c r="B180" s="650">
        <v>20148</v>
      </c>
      <c r="C180" s="651" t="s">
        <v>356</v>
      </c>
      <c r="D180" s="383" t="s">
        <v>123</v>
      </c>
      <c r="E180" s="642">
        <v>3</v>
      </c>
      <c r="F180" s="643">
        <v>2.79</v>
      </c>
      <c r="G180" s="506">
        <f t="shared" si="25"/>
        <v>3.18</v>
      </c>
      <c r="H180" s="550">
        <f t="shared" si="28"/>
        <v>9.54</v>
      </c>
      <c r="I180" s="59">
        <f t="shared" si="27"/>
        <v>2.9451867405840622E-05</v>
      </c>
    </row>
    <row r="181" spans="1:9" s="54" customFormat="1" ht="28.5">
      <c r="A181" s="636" t="s">
        <v>627</v>
      </c>
      <c r="B181" s="650">
        <v>3662</v>
      </c>
      <c r="C181" s="651" t="s">
        <v>355</v>
      </c>
      <c r="D181" s="383" t="s">
        <v>123</v>
      </c>
      <c r="E181" s="642">
        <v>1</v>
      </c>
      <c r="F181" s="643">
        <v>6.06</v>
      </c>
      <c r="G181" s="506">
        <f t="shared" si="25"/>
        <v>6.91</v>
      </c>
      <c r="H181" s="550">
        <f t="shared" si="28"/>
        <v>6.91</v>
      </c>
      <c r="I181" s="59">
        <f t="shared" si="27"/>
        <v>2.133253708326611E-05</v>
      </c>
    </row>
    <row r="182" spans="1:9" s="54" customFormat="1" ht="28.5">
      <c r="A182" s="636" t="s">
        <v>628</v>
      </c>
      <c r="B182" s="650">
        <v>20144</v>
      </c>
      <c r="C182" s="651" t="s">
        <v>354</v>
      </c>
      <c r="D182" s="383" t="s">
        <v>123</v>
      </c>
      <c r="E182" s="642">
        <v>1</v>
      </c>
      <c r="F182" s="643">
        <v>34.66</v>
      </c>
      <c r="G182" s="506">
        <f t="shared" si="25"/>
        <v>39.52</v>
      </c>
      <c r="H182" s="550">
        <f t="shared" si="28"/>
        <v>39.52</v>
      </c>
      <c r="I182" s="59">
        <f t="shared" si="27"/>
        <v>0.0001220060586875075</v>
      </c>
    </row>
    <row r="183" spans="1:9" s="54" customFormat="1" ht="28.5">
      <c r="A183" s="636" t="s">
        <v>629</v>
      </c>
      <c r="B183" s="650">
        <v>39319</v>
      </c>
      <c r="C183" s="666" t="s">
        <v>353</v>
      </c>
      <c r="D183" s="667" t="s">
        <v>123</v>
      </c>
      <c r="E183" s="653">
        <v>2</v>
      </c>
      <c r="F183" s="654">
        <v>4.34</v>
      </c>
      <c r="G183" s="506">
        <f t="shared" si="25"/>
        <v>4.95</v>
      </c>
      <c r="H183" s="543">
        <f t="shared" si="28"/>
        <v>9.9</v>
      </c>
      <c r="I183" s="523">
        <f t="shared" si="27"/>
        <v>3.056325862870253E-05</v>
      </c>
    </row>
    <row r="184" spans="1:9" s="54" customFormat="1" ht="15">
      <c r="A184" s="1107"/>
      <c r="B184" s="1107"/>
      <c r="C184" s="1107"/>
      <c r="D184" s="1107"/>
      <c r="E184" s="1107"/>
      <c r="F184" s="1107"/>
      <c r="G184" s="655"/>
      <c r="H184" s="890">
        <f>SUM(H172:H183)</f>
        <v>436.4</v>
      </c>
      <c r="I184" s="664"/>
    </row>
    <row r="185" spans="1:9" s="54" customFormat="1" ht="15">
      <c r="A185" s="636" t="s">
        <v>618</v>
      </c>
      <c r="B185" s="665"/>
      <c r="C185" s="645" t="s">
        <v>352</v>
      </c>
      <c r="D185" s="385"/>
      <c r="E185" s="669"/>
      <c r="F185" s="670"/>
      <c r="G185" s="670"/>
      <c r="H185" s="360"/>
      <c r="I185" s="335"/>
    </row>
    <row r="186" spans="1:9" s="54" customFormat="1" ht="28.5">
      <c r="A186" s="383" t="s">
        <v>630</v>
      </c>
      <c r="B186" s="34">
        <v>11717</v>
      </c>
      <c r="C186" s="668" t="s">
        <v>351</v>
      </c>
      <c r="D186" s="648" t="s">
        <v>123</v>
      </c>
      <c r="E186" s="661">
        <v>3</v>
      </c>
      <c r="F186" s="644">
        <v>25.75</v>
      </c>
      <c r="G186" s="506">
        <f>ROUND((F186*$J$10),2)</f>
        <v>29.36</v>
      </c>
      <c r="H186" s="543">
        <f aca="true" t="shared" si="29" ref="H186">ROUND((E186*G186),2)</f>
        <v>88.08</v>
      </c>
      <c r="I186" s="59">
        <f>H186/$H$219</f>
        <v>0.00027192038586021405</v>
      </c>
    </row>
    <row r="187" spans="1:9" s="54" customFormat="1" ht="12.75">
      <c r="A187" s="383" t="s">
        <v>631</v>
      </c>
      <c r="B187" s="34">
        <v>83447</v>
      </c>
      <c r="C187" s="491" t="s">
        <v>221</v>
      </c>
      <c r="D187" s="667" t="s">
        <v>123</v>
      </c>
      <c r="E187" s="653">
        <v>3</v>
      </c>
      <c r="F187" s="644">
        <v>26.75</v>
      </c>
      <c r="G187" s="506">
        <f>ROUND((F187*$J$10),2)</f>
        <v>30.5</v>
      </c>
      <c r="H187" s="100">
        <f>ROUND((E187*G187),2)</f>
        <v>91.5</v>
      </c>
      <c r="I187" s="523">
        <f>H187/$H$219</f>
        <v>0.0002824786024774022</v>
      </c>
    </row>
    <row r="188" spans="1:9" s="54" customFormat="1" ht="15">
      <c r="A188" s="1107" t="s">
        <v>664</v>
      </c>
      <c r="B188" s="1107"/>
      <c r="C188" s="1107"/>
      <c r="D188" s="1107"/>
      <c r="E188" s="1107"/>
      <c r="F188" s="1107"/>
      <c r="G188" s="655"/>
      <c r="H188" s="890">
        <f>SUM(H186:H187)</f>
        <v>179.57999999999998</v>
      </c>
      <c r="I188" s="664"/>
    </row>
    <row r="189" spans="1:9" s="54" customFormat="1" ht="15">
      <c r="A189" s="652" t="s">
        <v>632</v>
      </c>
      <c r="B189" s="665"/>
      <c r="C189" s="645" t="s">
        <v>350</v>
      </c>
      <c r="D189" s="646"/>
      <c r="E189" s="647"/>
      <c r="F189" s="671"/>
      <c r="G189" s="670"/>
      <c r="H189" s="360"/>
      <c r="I189" s="335"/>
    </row>
    <row r="190" spans="1:9" s="54" customFormat="1" ht="71.25">
      <c r="A190" s="383" t="s">
        <v>633</v>
      </c>
      <c r="B190" s="34">
        <v>95463</v>
      </c>
      <c r="C190" s="668" t="s">
        <v>248</v>
      </c>
      <c r="D190" s="648" t="s">
        <v>123</v>
      </c>
      <c r="E190" s="661">
        <v>1</v>
      </c>
      <c r="F190" s="644">
        <v>1313.71</v>
      </c>
      <c r="G190" s="507">
        <f>ROUND((F190*$J$9),2)</f>
        <v>1604.36</v>
      </c>
      <c r="H190" s="543">
        <f aca="true" t="shared" si="30" ref="H190:H192">ROUND((E190*G190),2)</f>
        <v>1604.36</v>
      </c>
      <c r="I190" s="59">
        <f>H190/$H$219</f>
        <v>0.004952976728640928</v>
      </c>
    </row>
    <row r="191" spans="1:9" s="54" customFormat="1" ht="28.5">
      <c r="A191" s="383" t="s">
        <v>634</v>
      </c>
      <c r="B191" s="384" t="s">
        <v>247</v>
      </c>
      <c r="C191" s="493" t="s">
        <v>349</v>
      </c>
      <c r="D191" s="384" t="s">
        <v>123</v>
      </c>
      <c r="E191" s="653">
        <v>2</v>
      </c>
      <c r="F191" s="654">
        <v>1204.9</v>
      </c>
      <c r="G191" s="507">
        <f>ROUND((F191*$J$9),2)</f>
        <v>1471.48</v>
      </c>
      <c r="H191" s="543">
        <f t="shared" si="30"/>
        <v>2942.96</v>
      </c>
      <c r="I191" s="59">
        <f>H191/$H$219</f>
        <v>0.009085499758982466</v>
      </c>
    </row>
    <row r="192" spans="1:9" s="54" customFormat="1" ht="28.5">
      <c r="A192" s="383" t="s">
        <v>635</v>
      </c>
      <c r="B192" s="37">
        <v>39367</v>
      </c>
      <c r="C192" s="493" t="s">
        <v>348</v>
      </c>
      <c r="D192" s="384" t="s">
        <v>123</v>
      </c>
      <c r="E192" s="653">
        <v>1</v>
      </c>
      <c r="F192" s="654">
        <v>2887.3</v>
      </c>
      <c r="G192" s="506">
        <f>ROUND((F192*$J$10),2)</f>
        <v>3292.03</v>
      </c>
      <c r="H192" s="543">
        <f t="shared" si="30"/>
        <v>3292.03</v>
      </c>
      <c r="I192" s="523">
        <f>H192/$H$219</f>
        <v>0.010163147909439152</v>
      </c>
    </row>
    <row r="193" spans="1:9" s="54" customFormat="1" ht="15">
      <c r="A193" s="1107" t="s">
        <v>667</v>
      </c>
      <c r="B193" s="1107"/>
      <c r="C193" s="1107"/>
      <c r="D193" s="1107"/>
      <c r="E193" s="1107"/>
      <c r="F193" s="1107"/>
      <c r="G193" s="655"/>
      <c r="H193" s="890">
        <f>SUM(H190:H192)</f>
        <v>7839.35</v>
      </c>
      <c r="I193" s="664"/>
    </row>
    <row r="194" spans="1:9" s="54" customFormat="1" ht="15">
      <c r="A194" s="555" t="s">
        <v>636</v>
      </c>
      <c r="B194" s="672"/>
      <c r="C194" s="1112" t="s">
        <v>367</v>
      </c>
      <c r="D194" s="1112"/>
      <c r="E194" s="1112"/>
      <c r="F194" s="1112"/>
      <c r="G194" s="1112"/>
      <c r="H194" s="1112"/>
      <c r="I194" s="678"/>
    </row>
    <row r="195" spans="1:9" s="54" customFormat="1" ht="15">
      <c r="A195" s="659"/>
      <c r="B195" s="677"/>
      <c r="C195" s="674" t="s">
        <v>368</v>
      </c>
      <c r="D195" s="675"/>
      <c r="E195" s="675"/>
      <c r="F195" s="675"/>
      <c r="G195" s="675"/>
      <c r="H195" s="873"/>
      <c r="I195" s="676"/>
    </row>
    <row r="196" spans="1:9" s="54" customFormat="1" ht="28.5">
      <c r="A196" s="36" t="s">
        <v>637</v>
      </c>
      <c r="B196" s="34">
        <v>86888</v>
      </c>
      <c r="C196" s="673" t="s">
        <v>369</v>
      </c>
      <c r="D196" s="356" t="s">
        <v>123</v>
      </c>
      <c r="E196" s="661">
        <v>5</v>
      </c>
      <c r="F196" s="644">
        <v>319.74</v>
      </c>
      <c r="G196" s="507">
        <f>ROUND((F196*$J$9),2)</f>
        <v>390.48</v>
      </c>
      <c r="H196" s="543">
        <f aca="true" t="shared" si="31" ref="H196">ROUND((E196*G196),2)</f>
        <v>1952.4</v>
      </c>
      <c r="I196" s="59">
        <f aca="true" t="shared" si="32" ref="I196:I206">H196/$H$219</f>
        <v>0.006027445065321094</v>
      </c>
    </row>
    <row r="197" spans="1:9" s="54" customFormat="1" ht="12.75">
      <c r="A197" s="36" t="s">
        <v>638</v>
      </c>
      <c r="B197" s="34">
        <v>86885</v>
      </c>
      <c r="C197" s="649" t="s">
        <v>370</v>
      </c>
      <c r="D197" s="36" t="s">
        <v>123</v>
      </c>
      <c r="E197" s="642">
        <v>8</v>
      </c>
      <c r="F197" s="643">
        <v>8.82</v>
      </c>
      <c r="G197" s="507">
        <f>ROUND((F197*$J$9),2)</f>
        <v>10.77</v>
      </c>
      <c r="H197" s="543">
        <f aca="true" t="shared" si="33" ref="H197:H206">ROUND((E197*G197),2)</f>
        <v>86.16</v>
      </c>
      <c r="I197" s="59">
        <f t="shared" si="32"/>
        <v>0.0002659929660049505</v>
      </c>
    </row>
    <row r="198" spans="1:9" s="54" customFormat="1" ht="12.75">
      <c r="A198" s="36" t="s">
        <v>639</v>
      </c>
      <c r="B198" s="34">
        <v>86879</v>
      </c>
      <c r="C198" s="649" t="s">
        <v>371</v>
      </c>
      <c r="D198" s="36" t="s">
        <v>123</v>
      </c>
      <c r="E198" s="642">
        <v>3</v>
      </c>
      <c r="F198" s="643">
        <v>5.5</v>
      </c>
      <c r="G198" s="507">
        <f>ROUND((F198*$J$9),2)</f>
        <v>6.72</v>
      </c>
      <c r="H198" s="543">
        <f t="shared" si="33"/>
        <v>20.16</v>
      </c>
      <c r="I198" s="59">
        <f t="shared" si="32"/>
        <v>6.223790848026697E-05</v>
      </c>
    </row>
    <row r="199" spans="1:9" s="54" customFormat="1" ht="71.25">
      <c r="A199" s="36" t="s">
        <v>640</v>
      </c>
      <c r="B199" s="34">
        <v>86939</v>
      </c>
      <c r="C199" s="494" t="s">
        <v>372</v>
      </c>
      <c r="D199" s="36" t="s">
        <v>123</v>
      </c>
      <c r="E199" s="642">
        <v>3</v>
      </c>
      <c r="F199" s="643">
        <v>245.64</v>
      </c>
      <c r="G199" s="507">
        <f>ROUND((F199*$J$9),2)</f>
        <v>299.99</v>
      </c>
      <c r="H199" s="543">
        <f t="shared" si="33"/>
        <v>899.97</v>
      </c>
      <c r="I199" s="59">
        <f t="shared" si="32"/>
        <v>0.0027783854412195374</v>
      </c>
    </row>
    <row r="200" spans="1:9" s="54" customFormat="1" ht="12.75">
      <c r="A200" s="36" t="s">
        <v>641</v>
      </c>
      <c r="B200" s="34">
        <v>377</v>
      </c>
      <c r="C200" s="660" t="s">
        <v>373</v>
      </c>
      <c r="D200" s="36" t="s">
        <v>123</v>
      </c>
      <c r="E200" s="661">
        <v>5</v>
      </c>
      <c r="F200" s="644">
        <v>23.15</v>
      </c>
      <c r="G200" s="506">
        <f aca="true" t="shared" si="34" ref="G200:G206">ROUND((F200*$J$10),2)</f>
        <v>26.4</v>
      </c>
      <c r="H200" s="543">
        <f t="shared" si="33"/>
        <v>132</v>
      </c>
      <c r="I200" s="59">
        <f t="shared" si="32"/>
        <v>0.0004075101150493671</v>
      </c>
    </row>
    <row r="201" spans="1:9" s="54" customFormat="1" ht="28.5">
      <c r="A201" s="36" t="s">
        <v>642</v>
      </c>
      <c r="B201" s="34">
        <v>13415</v>
      </c>
      <c r="C201" s="660" t="s">
        <v>374</v>
      </c>
      <c r="D201" s="36" t="s">
        <v>123</v>
      </c>
      <c r="E201" s="661">
        <v>3</v>
      </c>
      <c r="F201" s="644">
        <v>35.91</v>
      </c>
      <c r="G201" s="506">
        <f t="shared" si="34"/>
        <v>40.94</v>
      </c>
      <c r="H201" s="543">
        <f t="shared" si="33"/>
        <v>122.82</v>
      </c>
      <c r="I201" s="59">
        <f t="shared" si="32"/>
        <v>0.0003791696388663884</v>
      </c>
    </row>
    <row r="202" spans="1:9" s="54" customFormat="1" ht="28.5">
      <c r="A202" s="36" t="s">
        <v>643</v>
      </c>
      <c r="B202" s="34">
        <v>36211</v>
      </c>
      <c r="C202" s="660" t="s">
        <v>294</v>
      </c>
      <c r="D202" s="36" t="s">
        <v>123</v>
      </c>
      <c r="E202" s="661">
        <v>2</v>
      </c>
      <c r="F202" s="644">
        <v>346.12</v>
      </c>
      <c r="G202" s="506">
        <f t="shared" si="34"/>
        <v>394.64</v>
      </c>
      <c r="H202" s="543">
        <f t="shared" si="33"/>
        <v>789.28</v>
      </c>
      <c r="I202" s="59">
        <f t="shared" si="32"/>
        <v>0.0024366635121679126</v>
      </c>
    </row>
    <row r="203" spans="1:9" s="54" customFormat="1" ht="28.5">
      <c r="A203" s="36" t="s">
        <v>644</v>
      </c>
      <c r="B203" s="34">
        <v>36206</v>
      </c>
      <c r="C203" s="660" t="s">
        <v>375</v>
      </c>
      <c r="D203" s="36" t="s">
        <v>123</v>
      </c>
      <c r="E203" s="661">
        <v>3</v>
      </c>
      <c r="F203" s="644">
        <v>164.35</v>
      </c>
      <c r="G203" s="506">
        <f t="shared" si="34"/>
        <v>187.39</v>
      </c>
      <c r="H203" s="543">
        <f t="shared" si="33"/>
        <v>562.17</v>
      </c>
      <c r="I203" s="59">
        <f t="shared" si="32"/>
        <v>0.0017355300104341114</v>
      </c>
    </row>
    <row r="204" spans="1:9" s="54" customFormat="1" ht="12.75">
      <c r="A204" s="36" t="s">
        <v>645</v>
      </c>
      <c r="B204" s="34">
        <v>11703</v>
      </c>
      <c r="C204" s="582" t="s">
        <v>376</v>
      </c>
      <c r="D204" s="36" t="s">
        <v>123</v>
      </c>
      <c r="E204" s="642">
        <v>5</v>
      </c>
      <c r="F204" s="643">
        <v>18.4</v>
      </c>
      <c r="G204" s="506">
        <f t="shared" si="34"/>
        <v>20.98</v>
      </c>
      <c r="H204" s="543">
        <f t="shared" si="33"/>
        <v>104.9</v>
      </c>
      <c r="I204" s="59">
        <f t="shared" si="32"/>
        <v>0.00032384705355059554</v>
      </c>
    </row>
    <row r="205" spans="1:9" s="54" customFormat="1" ht="28.5">
      <c r="A205" s="36" t="s">
        <v>646</v>
      </c>
      <c r="B205" s="34">
        <v>37401</v>
      </c>
      <c r="C205" s="582" t="s">
        <v>377</v>
      </c>
      <c r="D205" s="36" t="s">
        <v>123</v>
      </c>
      <c r="E205" s="642">
        <v>3</v>
      </c>
      <c r="F205" s="643">
        <v>37.47</v>
      </c>
      <c r="G205" s="506">
        <f t="shared" si="34"/>
        <v>42.72</v>
      </c>
      <c r="H205" s="543">
        <f t="shared" si="33"/>
        <v>128.16</v>
      </c>
      <c r="I205" s="59">
        <f t="shared" si="32"/>
        <v>0.00039565527533884007</v>
      </c>
    </row>
    <row r="206" spans="1:9" s="54" customFormat="1" ht="28.5">
      <c r="A206" s="36" t="s">
        <v>647</v>
      </c>
      <c r="B206" s="34">
        <v>11758</v>
      </c>
      <c r="C206" s="494" t="s">
        <v>378</v>
      </c>
      <c r="D206" s="36" t="s">
        <v>123</v>
      </c>
      <c r="E206" s="642">
        <v>3</v>
      </c>
      <c r="F206" s="643">
        <v>35.96</v>
      </c>
      <c r="G206" s="506">
        <f t="shared" si="34"/>
        <v>41</v>
      </c>
      <c r="H206" s="543">
        <f t="shared" si="33"/>
        <v>123</v>
      </c>
      <c r="I206" s="59">
        <f t="shared" si="32"/>
        <v>0.00037972533447781933</v>
      </c>
    </row>
    <row r="207" spans="1:9" s="54" customFormat="1" ht="15">
      <c r="A207" s="1107" t="s">
        <v>666</v>
      </c>
      <c r="B207" s="1107"/>
      <c r="C207" s="1107"/>
      <c r="D207" s="1107"/>
      <c r="E207" s="1107"/>
      <c r="F207" s="1107"/>
      <c r="G207" s="655"/>
      <c r="H207" s="890">
        <f>SUM(H196:H206)</f>
        <v>4921.02</v>
      </c>
      <c r="I207" s="350"/>
    </row>
    <row r="208" spans="1:9" s="54" customFormat="1" ht="15">
      <c r="A208" s="555" t="s">
        <v>660</v>
      </c>
      <c r="B208" s="672"/>
      <c r="C208" s="887" t="s">
        <v>659</v>
      </c>
      <c r="D208" s="887"/>
      <c r="E208" s="887"/>
      <c r="F208" s="887"/>
      <c r="G208" s="887"/>
      <c r="H208" s="895"/>
      <c r="I208" s="523"/>
    </row>
    <row r="209" spans="1:9" s="54" customFormat="1" ht="42.75">
      <c r="A209" s="36" t="s">
        <v>661</v>
      </c>
      <c r="B209" s="34">
        <v>25976</v>
      </c>
      <c r="C209" s="494" t="s">
        <v>662</v>
      </c>
      <c r="D209" s="36" t="s">
        <v>123</v>
      </c>
      <c r="E209" s="642">
        <f>'Terminal Rodoviário. 5'!C648</f>
        <v>3</v>
      </c>
      <c r="F209" s="643">
        <v>294.4</v>
      </c>
      <c r="G209" s="506">
        <f aca="true" t="shared" si="35" ref="G209">ROUND((F209*$J$10),2)</f>
        <v>335.67</v>
      </c>
      <c r="H209" s="543">
        <f aca="true" t="shared" si="36" ref="H209">ROUND((E209*G209),2)</f>
        <v>1007.01</v>
      </c>
      <c r="I209" s="350">
        <f>H209/$H$219</f>
        <v>0.0031088390981504786</v>
      </c>
    </row>
    <row r="210" spans="1:9" s="54" customFormat="1" ht="42.75">
      <c r="A210" s="36" t="s">
        <v>683</v>
      </c>
      <c r="B210" s="34">
        <v>4911</v>
      </c>
      <c r="C210" s="494" t="s">
        <v>684</v>
      </c>
      <c r="D210" s="36" t="s">
        <v>123</v>
      </c>
      <c r="E210" s="642">
        <f>'Terminal Rodoviário. 5'!C656</f>
        <v>3</v>
      </c>
      <c r="F210" s="643">
        <v>132.5</v>
      </c>
      <c r="G210" s="506">
        <f aca="true" t="shared" si="37" ref="G210">ROUND((F210*$J$10),2)</f>
        <v>151.07</v>
      </c>
      <c r="H210" s="543">
        <f aca="true" t="shared" si="38" ref="H210">ROUND((E210*G210),2)</f>
        <v>453.21</v>
      </c>
      <c r="I210" s="350">
        <f aca="true" t="shared" si="39" ref="I210">H210/$H$219</f>
        <v>0.0013991489336479066</v>
      </c>
    </row>
    <row r="211" spans="1:9" s="54" customFormat="1" ht="15">
      <c r="A211" s="1107" t="s">
        <v>681</v>
      </c>
      <c r="B211" s="1107"/>
      <c r="C211" s="1107"/>
      <c r="D211" s="1107"/>
      <c r="E211" s="1107"/>
      <c r="F211" s="1107"/>
      <c r="G211" s="655"/>
      <c r="H211" s="890">
        <f>SUM(H209:H210)</f>
        <v>1460.22</v>
      </c>
      <c r="I211" s="350"/>
    </row>
    <row r="212" spans="8:9" s="54" customFormat="1" ht="15" thickBot="1">
      <c r="H212" s="96"/>
      <c r="I212" s="523"/>
    </row>
    <row r="213" spans="1:9" s="54" customFormat="1" ht="15.75" thickBot="1">
      <c r="A213" s="1100" t="s">
        <v>663</v>
      </c>
      <c r="B213" s="1101"/>
      <c r="C213" s="1101"/>
      <c r="D213" s="1101"/>
      <c r="E213" s="1101"/>
      <c r="F213" s="1101"/>
      <c r="G213" s="115"/>
      <c r="H213" s="103">
        <f>H207++H193+H188+H184+H169+H155+H93+H100+H96+H90+H86+H81+H75+H133+H130+H111+H106+H211</f>
        <v>257754.17</v>
      </c>
      <c r="I213" s="102">
        <f>SUM(I73:I212)</f>
        <v>0.7957381172057132</v>
      </c>
    </row>
    <row r="214" spans="1:9" s="54" customFormat="1" ht="15.75" thickBot="1">
      <c r="A214" s="107"/>
      <c r="B214" s="320"/>
      <c r="C214" s="107"/>
      <c r="D214" s="107"/>
      <c r="E214" s="107"/>
      <c r="F214" s="554"/>
      <c r="G214" s="104"/>
      <c r="H214" s="105"/>
      <c r="I214" s="106"/>
    </row>
    <row r="215" spans="1:9" s="54" customFormat="1" ht="15.75" thickBot="1">
      <c r="A215" s="99">
        <v>6</v>
      </c>
      <c r="B215" s="322"/>
      <c r="C215" s="1113" t="s">
        <v>75</v>
      </c>
      <c r="D215" s="1114"/>
      <c r="E215" s="1114"/>
      <c r="F215" s="1114"/>
      <c r="G215" s="1114"/>
      <c r="H215" s="1115"/>
      <c r="I215" s="108"/>
    </row>
    <row r="216" spans="1:9" s="54" customFormat="1" ht="15" thickBot="1">
      <c r="A216" s="36" t="s">
        <v>4</v>
      </c>
      <c r="B216" s="43">
        <v>9537</v>
      </c>
      <c r="C216" s="519" t="s">
        <v>76</v>
      </c>
      <c r="D216" s="44" t="s">
        <v>71</v>
      </c>
      <c r="E216" s="76">
        <f>'SERV. DIV. 6'!C18</f>
        <v>271.7</v>
      </c>
      <c r="F216" s="506">
        <v>2.27</v>
      </c>
      <c r="G216" s="58">
        <f>ROUND((F216*$J$9),2)</f>
        <v>2.77</v>
      </c>
      <c r="H216" s="58">
        <f>ROUND((E216*G216),2)</f>
        <v>752.61</v>
      </c>
      <c r="I216" s="59">
        <f>H216/$H$219</f>
        <v>0.002323455967328062</v>
      </c>
    </row>
    <row r="217" spans="1:9" s="54" customFormat="1" ht="15.75" thickBot="1">
      <c r="A217" s="1100" t="s">
        <v>185</v>
      </c>
      <c r="B217" s="1101"/>
      <c r="C217" s="1101"/>
      <c r="D217" s="1101"/>
      <c r="E217" s="1101"/>
      <c r="F217" s="1101"/>
      <c r="G217" s="115"/>
      <c r="H217" s="103">
        <f>ROUND(SUM(H216:H216),2)</f>
        <v>752.61</v>
      </c>
      <c r="I217" s="102">
        <f>SUM(I216)</f>
        <v>0.002323455967328062</v>
      </c>
    </row>
    <row r="218" spans="1:9" s="54" customFormat="1" ht="15.75" thickBot="1">
      <c r="A218" s="367"/>
      <c r="B218" s="77"/>
      <c r="C218" s="73"/>
      <c r="D218" s="73"/>
      <c r="E218" s="109"/>
      <c r="F218" s="104"/>
      <c r="G218" s="367"/>
      <c r="H218" s="101"/>
      <c r="I218" s="119"/>
    </row>
    <row r="219" spans="1:9" s="54" customFormat="1" ht="29.25" customHeight="1" thickBot="1">
      <c r="A219" s="1116" t="s">
        <v>73</v>
      </c>
      <c r="B219" s="1117"/>
      <c r="C219" s="1117"/>
      <c r="D219" s="1117"/>
      <c r="E219" s="1117"/>
      <c r="F219" s="1117"/>
      <c r="G219" s="1118"/>
      <c r="H219" s="116">
        <f>H217+H213+H70+H26+H20+H14</f>
        <v>323918.33999999997</v>
      </c>
      <c r="I219" s="117">
        <f>I217+I213++I70+I26+I20+I14</f>
        <v>1.0000000000000002</v>
      </c>
    </row>
    <row r="220" ht="12.75">
      <c r="K220" s="5">
        <v>323918.34</v>
      </c>
    </row>
    <row r="221" spans="6:7" ht="12.75">
      <c r="F221" s="547"/>
      <c r="G221" s="386"/>
    </row>
    <row r="222" ht="12.75">
      <c r="F222" s="548"/>
    </row>
    <row r="224" ht="15">
      <c r="F224" s="549"/>
    </row>
    <row r="225" ht="15">
      <c r="F225" s="549"/>
    </row>
    <row r="228" ht="12.75">
      <c r="H228" s="390"/>
    </row>
    <row r="229" spans="7:8" ht="12.75">
      <c r="G229" s="98" t="s">
        <v>84</v>
      </c>
      <c r="H229" s="387">
        <v>317567</v>
      </c>
    </row>
    <row r="230" spans="7:10" ht="12.75">
      <c r="G230" s="388" t="s">
        <v>163</v>
      </c>
      <c r="H230" s="387">
        <v>6351.34</v>
      </c>
      <c r="J230" s="5">
        <f>H230+H233</f>
        <v>6351.34</v>
      </c>
    </row>
    <row r="231" spans="7:8" ht="12.75">
      <c r="G231" s="96" t="s">
        <v>19</v>
      </c>
      <c r="H231" s="98">
        <f>SUM(H229:H230)</f>
        <v>323918.34</v>
      </c>
    </row>
    <row r="233" spans="6:8" ht="12.75">
      <c r="F233" s="540">
        <v>317567</v>
      </c>
      <c r="H233" s="98">
        <f>H219-H231</f>
        <v>0</v>
      </c>
    </row>
    <row r="236" spans="6:9" ht="12.75">
      <c r="F236" s="540">
        <v>6351.34</v>
      </c>
      <c r="H236" s="522"/>
      <c r="I236" s="98">
        <f>H219*0.02</f>
        <v>6478.3668</v>
      </c>
    </row>
    <row r="237" ht="12.75">
      <c r="I237" s="863">
        <v>7979.82</v>
      </c>
    </row>
    <row r="239" ht="12.75">
      <c r="I239" s="98">
        <f>I237-I236</f>
        <v>1501.4532</v>
      </c>
    </row>
    <row r="243" ht="12.75">
      <c r="I243" s="98"/>
    </row>
  </sheetData>
  <mergeCells count="51">
    <mergeCell ref="A90:F90"/>
    <mergeCell ref="A86:F86"/>
    <mergeCell ref="A81:F81"/>
    <mergeCell ref="A75:F75"/>
    <mergeCell ref="D3:E3"/>
    <mergeCell ref="F7:I7"/>
    <mergeCell ref="D6:I6"/>
    <mergeCell ref="A14:F14"/>
    <mergeCell ref="A20:F20"/>
    <mergeCell ref="A111:F111"/>
    <mergeCell ref="C194:H194"/>
    <mergeCell ref="A100:F100"/>
    <mergeCell ref="A193:F193"/>
    <mergeCell ref="A96:F96"/>
    <mergeCell ref="A155:F155"/>
    <mergeCell ref="A106:F106"/>
    <mergeCell ref="A188:F188"/>
    <mergeCell ref="A184:F184"/>
    <mergeCell ref="A169:F169"/>
    <mergeCell ref="A133:F133"/>
    <mergeCell ref="A130:F130"/>
    <mergeCell ref="A1:I1"/>
    <mergeCell ref="O28:T28"/>
    <mergeCell ref="L29:N42"/>
    <mergeCell ref="O29:T42"/>
    <mergeCell ref="J22:T22"/>
    <mergeCell ref="L28:N28"/>
    <mergeCell ref="J28:J42"/>
    <mergeCell ref="K28:K42"/>
    <mergeCell ref="C11:H11"/>
    <mergeCell ref="C22:H22"/>
    <mergeCell ref="A26:F26"/>
    <mergeCell ref="C28:H28"/>
    <mergeCell ref="A7:A8"/>
    <mergeCell ref="B2:I2"/>
    <mergeCell ref="A219:G219"/>
    <mergeCell ref="F3:I3"/>
    <mergeCell ref="D8:E8"/>
    <mergeCell ref="B7:C8"/>
    <mergeCell ref="B6:C6"/>
    <mergeCell ref="B4:I4"/>
    <mergeCell ref="B5:I5"/>
    <mergeCell ref="A213:F213"/>
    <mergeCell ref="A217:F217"/>
    <mergeCell ref="C215:H215"/>
    <mergeCell ref="F8:I8"/>
    <mergeCell ref="C16:H16"/>
    <mergeCell ref="C170:H170"/>
    <mergeCell ref="A211:F211"/>
    <mergeCell ref="A207:F207"/>
    <mergeCell ref="A93:F93"/>
  </mergeCells>
  <conditionalFormatting sqref="E218:G218 E14:G14 E10:G10 E76:G76">
    <cfRule type="cellIs" priority="810" dxfId="4" operator="equal" stopIfTrue="1">
      <formula>0</formula>
    </cfRule>
  </conditionalFormatting>
  <conditionalFormatting sqref="F17 B17 B23 F23">
    <cfRule type="expression" priority="793" dxfId="3">
      <formula>AND($M17="",$M16="",$C17=2)</formula>
    </cfRule>
    <cfRule type="expression" priority="794" dxfId="2">
      <formula>AND($M17="",$M16="",$C17=5)</formula>
    </cfRule>
    <cfRule type="expression" priority="795" dxfId="1">
      <formula>AND($M17="",$M16="",$C17=8)</formula>
    </cfRule>
    <cfRule type="expression" priority="796" dxfId="0">
      <formula>AND($M17="",$M16="",$C17=11)</formula>
    </cfRule>
  </conditionalFormatting>
  <conditionalFormatting sqref="C13">
    <cfRule type="expression" priority="835" dxfId="3">
      <formula>AND(#REF!="",#REF!="",$C13=2)</formula>
    </cfRule>
    <cfRule type="expression" priority="836" dxfId="2">
      <formula>AND(#REF!="",#REF!="",$C13=5)</formula>
    </cfRule>
    <cfRule type="expression" priority="837" dxfId="1">
      <formula>AND(#REF!="",#REF!="",$C13=8)</formula>
    </cfRule>
    <cfRule type="expression" priority="838" dxfId="0">
      <formula>AND(#REF!="",#REF!="",$C13=11)</formula>
    </cfRule>
  </conditionalFormatting>
  <conditionalFormatting sqref="B19 F19">
    <cfRule type="expression" priority="843" dxfId="3">
      <formula>AND($M19="",#REF!="",$C19=2)</formula>
    </cfRule>
    <cfRule type="expression" priority="844" dxfId="2">
      <formula>AND($M19="",#REF!="",$C19=5)</formula>
    </cfRule>
    <cfRule type="expression" priority="845" dxfId="1">
      <formula>AND($M19="",#REF!="",$C19=8)</formula>
    </cfRule>
    <cfRule type="expression" priority="846" dxfId="0">
      <formula>AND($M19="",#REF!="",$C19=11)</formula>
    </cfRule>
  </conditionalFormatting>
  <conditionalFormatting sqref="F18 B18">
    <cfRule type="expression" priority="851" dxfId="3">
      <formula>AND($M18="",#REF!="",$C18=2)</formula>
    </cfRule>
    <cfRule type="expression" priority="852" dxfId="2">
      <formula>AND($M18="",#REF!="",$C18=5)</formula>
    </cfRule>
    <cfRule type="expression" priority="853" dxfId="1">
      <formula>AND($M18="",#REF!="",$C18=8)</formula>
    </cfRule>
    <cfRule type="expression" priority="854" dxfId="0">
      <formula>AND($M18="",#REF!="",$C18=11)</formula>
    </cfRule>
  </conditionalFormatting>
  <conditionalFormatting sqref="C12">
    <cfRule type="expression" priority="576" dxfId="3">
      <formula>AND(#REF!="",#REF!="",$C12=2)</formula>
    </cfRule>
    <cfRule type="expression" priority="577" dxfId="2">
      <formula>AND(#REF!="",#REF!="",$C12=5)</formula>
    </cfRule>
    <cfRule type="expression" priority="578" dxfId="1">
      <formula>AND(#REF!="",#REF!="",$C12=8)</formula>
    </cfRule>
    <cfRule type="expression" priority="579" dxfId="0">
      <formula>AND(#REF!="",#REF!="",$C12=11)</formula>
    </cfRule>
  </conditionalFormatting>
  <conditionalFormatting sqref="B32">
    <cfRule type="expression" priority="555" dxfId="3">
      <formula>AND($M32="",#REF!="",$C32=2)</formula>
    </cfRule>
    <cfRule type="expression" priority="556" dxfId="2">
      <formula>AND($M32="",#REF!="",$C32=5)</formula>
    </cfRule>
    <cfRule type="expression" priority="557" dxfId="1">
      <formula>AND($M32="",#REF!="",$C32=8)</formula>
    </cfRule>
    <cfRule type="expression" priority="558" dxfId="0">
      <formula>AND($M32="",#REF!="",$C32=11)</formula>
    </cfRule>
  </conditionalFormatting>
  <conditionalFormatting sqref="E20:G21">
    <cfRule type="cellIs" priority="147" dxfId="4" operator="equal" stopIfTrue="1">
      <formula>0</formula>
    </cfRule>
  </conditionalFormatting>
  <conditionalFormatting sqref="E26:G27">
    <cfRule type="cellIs" priority="145" dxfId="4" operator="equal" stopIfTrue="1">
      <formula>0</formula>
    </cfRule>
  </conditionalFormatting>
  <conditionalFormatting sqref="E213:G213">
    <cfRule type="cellIs" priority="131" dxfId="4" operator="equal" stopIfTrue="1">
      <formula>0</formula>
    </cfRule>
  </conditionalFormatting>
  <conditionalFormatting sqref="E217:G217">
    <cfRule type="cellIs" priority="130" dxfId="4" operator="equal" stopIfTrue="1">
      <formula>0</formula>
    </cfRule>
  </conditionalFormatting>
  <conditionalFormatting sqref="E71:G71">
    <cfRule type="cellIs" priority="119" dxfId="4" operator="equal" stopIfTrue="1">
      <formula>0</formula>
    </cfRule>
  </conditionalFormatting>
  <conditionalFormatting sqref="E207:G207">
    <cfRule type="cellIs" priority="20" dxfId="4" operator="equal" stopIfTrue="1">
      <formula>0</formula>
    </cfRule>
  </conditionalFormatting>
  <conditionalFormatting sqref="E193:G193">
    <cfRule type="cellIs" priority="19" dxfId="4" operator="equal" stopIfTrue="1">
      <formula>0</formula>
    </cfRule>
  </conditionalFormatting>
  <conditionalFormatting sqref="E188:G188">
    <cfRule type="cellIs" priority="18" dxfId="4" operator="equal" stopIfTrue="1">
      <formula>0</formula>
    </cfRule>
  </conditionalFormatting>
  <conditionalFormatting sqref="E184:G184">
    <cfRule type="cellIs" priority="17" dxfId="4" operator="equal" stopIfTrue="1">
      <formula>0</formula>
    </cfRule>
  </conditionalFormatting>
  <conditionalFormatting sqref="E169:G169">
    <cfRule type="cellIs" priority="16" dxfId="4" operator="equal" stopIfTrue="1">
      <formula>0</formula>
    </cfRule>
  </conditionalFormatting>
  <conditionalFormatting sqref="E155:G155">
    <cfRule type="cellIs" priority="15" dxfId="4" operator="equal" stopIfTrue="1">
      <formula>0</formula>
    </cfRule>
  </conditionalFormatting>
  <conditionalFormatting sqref="E72:G72">
    <cfRule type="cellIs" priority="13" dxfId="4" operator="equal" stopIfTrue="1">
      <formula>0</formula>
    </cfRule>
  </conditionalFormatting>
  <conditionalFormatting sqref="E100:G100">
    <cfRule type="cellIs" priority="12" dxfId="4" operator="equal" stopIfTrue="1">
      <formula>0</formula>
    </cfRule>
  </conditionalFormatting>
  <conditionalFormatting sqref="E96:G96">
    <cfRule type="cellIs" priority="11" dxfId="4" operator="equal" stopIfTrue="1">
      <formula>0</formula>
    </cfRule>
  </conditionalFormatting>
  <conditionalFormatting sqref="E93:G93">
    <cfRule type="cellIs" priority="10" dxfId="4" operator="equal" stopIfTrue="1">
      <formula>0</formula>
    </cfRule>
  </conditionalFormatting>
  <conditionalFormatting sqref="E90:G90">
    <cfRule type="cellIs" priority="9" dxfId="4" operator="equal" stopIfTrue="1">
      <formula>0</formula>
    </cfRule>
  </conditionalFormatting>
  <conditionalFormatting sqref="E86:G86">
    <cfRule type="cellIs" priority="8" dxfId="4" operator="equal" stopIfTrue="1">
      <formula>0</formula>
    </cfRule>
  </conditionalFormatting>
  <conditionalFormatting sqref="E81:G81">
    <cfRule type="cellIs" priority="7" dxfId="4" operator="equal" stopIfTrue="1">
      <formula>0</formula>
    </cfRule>
  </conditionalFormatting>
  <conditionalFormatting sqref="E75:G75">
    <cfRule type="cellIs" priority="6" dxfId="4" operator="equal" stopIfTrue="1">
      <formula>0</formula>
    </cfRule>
  </conditionalFormatting>
  <conditionalFormatting sqref="E133:G133">
    <cfRule type="cellIs" priority="5" dxfId="4" operator="equal" stopIfTrue="1">
      <formula>0</formula>
    </cfRule>
  </conditionalFormatting>
  <conditionalFormatting sqref="E130:G130">
    <cfRule type="cellIs" priority="4" dxfId="4" operator="equal" stopIfTrue="1">
      <formula>0</formula>
    </cfRule>
  </conditionalFormatting>
  <conditionalFormatting sqref="E111:G111">
    <cfRule type="cellIs" priority="3" dxfId="4" operator="equal" stopIfTrue="1">
      <formula>0</formula>
    </cfRule>
  </conditionalFormatting>
  <conditionalFormatting sqref="E106:G106">
    <cfRule type="cellIs" priority="2" dxfId="4" operator="equal" stopIfTrue="1">
      <formula>0</formula>
    </cfRule>
  </conditionalFormatting>
  <conditionalFormatting sqref="B25 F25">
    <cfRule type="expression" priority="955" dxfId="3">
      <formula>AND($M25="",$M23="",$C25=2)</formula>
    </cfRule>
    <cfRule type="expression" priority="956" dxfId="2">
      <formula>AND($M25="",$M23="",$C25=5)</formula>
    </cfRule>
    <cfRule type="expression" priority="957" dxfId="1">
      <formula>AND($M25="",$M23="",$C25=8)</formula>
    </cfRule>
    <cfRule type="expression" priority="958" dxfId="0">
      <formula>AND($M25="",$M23="",$C25=11)</formula>
    </cfRule>
  </conditionalFormatting>
  <conditionalFormatting sqref="E211:G211">
    <cfRule type="cellIs" priority="1" dxfId="4" operator="equal" stopIfTrue="1">
      <formula>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paperSize="9" scale="47" r:id="rId2"/>
  <headerFooter alignWithMargins="0">
    <oddFooter>&amp;CPágina &amp;P de &amp;N</oddFooter>
  </headerFooter>
  <rowBreaks count="1" manualBreakCount="1">
    <brk id="49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9"/>
  <sheetViews>
    <sheetView view="pageBreakPreview" zoomScaleSheetLayoutView="100" workbookViewId="0" topLeftCell="A7">
      <selection activeCell="C24" sqref="C24"/>
    </sheetView>
  </sheetViews>
  <sheetFormatPr defaultColWidth="9.140625" defaultRowHeight="12.75"/>
  <cols>
    <col min="1" max="1" width="21.00390625" style="41" customWidth="1"/>
    <col min="2" max="2" width="13.140625" style="41" customWidth="1"/>
    <col min="3" max="3" width="12.7109375" style="41" customWidth="1"/>
    <col min="4" max="4" width="11.7109375" style="41" customWidth="1"/>
    <col min="5" max="5" width="9.57421875" style="41" customWidth="1"/>
    <col min="6" max="6" width="11.28125" style="41" customWidth="1"/>
    <col min="7" max="11" width="9.140625" style="41" customWidth="1"/>
    <col min="12" max="12" width="9.57421875" style="41" bestFit="1" customWidth="1"/>
    <col min="13" max="13" width="11.421875" style="41" bestFit="1" customWidth="1"/>
    <col min="14" max="14" width="15.421875" style="41" bestFit="1" customWidth="1"/>
  </cols>
  <sheetData>
    <row r="1" spans="1:14" s="5" customFormat="1" ht="87" customHeight="1">
      <c r="A1" s="929" t="s">
        <v>176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1"/>
      <c r="N1" s="54"/>
    </row>
    <row r="2" spans="1:13" s="54" customFormat="1" ht="15">
      <c r="A2" s="932" t="s">
        <v>171</v>
      </c>
      <c r="B2" s="932"/>
      <c r="C2" s="933" t="str">
        <f>'ORÇAMENTO NÃO DESONERADO'!B2</f>
        <v>863064/2017</v>
      </c>
      <c r="D2" s="933"/>
      <c r="E2" s="933"/>
      <c r="F2" s="933"/>
      <c r="G2" s="933"/>
      <c r="H2" s="933"/>
      <c r="I2" s="933"/>
      <c r="J2" s="933"/>
      <c r="K2" s="933"/>
      <c r="L2" s="933"/>
      <c r="M2" s="933"/>
    </row>
    <row r="3" spans="1:13" s="54" customFormat="1" ht="15">
      <c r="A3" s="927" t="s">
        <v>60</v>
      </c>
      <c r="B3" s="927"/>
      <c r="C3" s="955" t="str">
        <f>'ORÇAMENTO NÃO DESONERADO'!B3</f>
        <v>PREFEITURA MUNICIPAL DE OURÉM</v>
      </c>
      <c r="D3" s="956"/>
      <c r="E3" s="956"/>
      <c r="F3" s="956"/>
      <c r="G3" s="957"/>
      <c r="H3" s="18" t="s">
        <v>116</v>
      </c>
      <c r="I3" s="18"/>
      <c r="J3" s="1051" t="s">
        <v>300</v>
      </c>
      <c r="K3" s="1051"/>
      <c r="L3" s="1051"/>
      <c r="M3" s="1051"/>
    </row>
    <row r="4" spans="1:13" s="54" customFormat="1" ht="27.75" customHeight="1">
      <c r="A4" s="927" t="s">
        <v>61</v>
      </c>
      <c r="B4" s="927"/>
      <c r="C4" s="918" t="str">
        <f>'ORÇAMENTO NÃO DESONERADO'!B4</f>
        <v>CONSTRUÇÃO DE TERMINAL RODOVIÁRIO ETAPA-01</v>
      </c>
      <c r="D4" s="918"/>
      <c r="E4" s="918"/>
      <c r="F4" s="918"/>
      <c r="G4" s="918"/>
      <c r="H4" s="918"/>
      <c r="I4" s="918"/>
      <c r="J4" s="918"/>
      <c r="K4" s="918"/>
      <c r="L4" s="918"/>
      <c r="M4" s="918"/>
    </row>
    <row r="5" spans="1:13" s="54" customFormat="1" ht="15">
      <c r="A5" s="928" t="s">
        <v>62</v>
      </c>
      <c r="B5" s="928"/>
      <c r="C5" s="924" t="str">
        <f>'ORÇAMENTO NÃO DESONERADO'!B5</f>
        <v>RUA JOAQUIM DIONISIO COM RUA PERSEVERANDO S/N. PRAÇA DO TERMINAL OURÉM/PA</v>
      </c>
      <c r="D5" s="924"/>
      <c r="E5" s="924"/>
      <c r="F5" s="924"/>
      <c r="G5" s="924"/>
      <c r="H5" s="924"/>
      <c r="I5" s="924"/>
      <c r="J5" s="924"/>
      <c r="K5" s="924"/>
      <c r="L5" s="924"/>
      <c r="M5" s="924"/>
    </row>
    <row r="6" spans="1:13" s="54" customFormat="1" ht="15" customHeight="1">
      <c r="A6" s="927" t="s">
        <v>67</v>
      </c>
      <c r="B6" s="927"/>
      <c r="C6" s="925">
        <f>'BDI NÃO DESONERADO'!I27</f>
        <v>0.2212455334054051</v>
      </c>
      <c r="D6" s="925"/>
      <c r="E6" s="925"/>
      <c r="F6" s="925"/>
      <c r="G6" s="925"/>
      <c r="H6" s="928" t="s">
        <v>39</v>
      </c>
      <c r="I6" s="928"/>
      <c r="J6" s="1056" t="str">
        <f>'ORÇAMENTO NÃO DESONERADO'!F7</f>
        <v>SINAPI ABRIL 2018 - NÃO DESONERADA</v>
      </c>
      <c r="K6" s="1056"/>
      <c r="L6" s="1056"/>
      <c r="M6" s="1056"/>
    </row>
    <row r="7" spans="1:13" s="54" customFormat="1" ht="33" customHeight="1">
      <c r="A7" s="928" t="s">
        <v>117</v>
      </c>
      <c r="B7" s="928"/>
      <c r="C7" s="926" t="str">
        <f>'ORÇAMENTO NÃO DESONERADO'!B7</f>
        <v xml:space="preserve"> MARUZA BAPTISTA </v>
      </c>
      <c r="D7" s="926"/>
      <c r="E7" s="926"/>
      <c r="F7" s="926"/>
      <c r="G7" s="926"/>
      <c r="H7" s="928"/>
      <c r="I7" s="928"/>
      <c r="J7" s="1056"/>
      <c r="K7" s="1056"/>
      <c r="L7" s="1056"/>
      <c r="M7" s="1056"/>
    </row>
    <row r="8" spans="1:13" s="54" customFormat="1" ht="15" customHeight="1">
      <c r="A8" s="928"/>
      <c r="B8" s="928"/>
      <c r="C8" s="926"/>
      <c r="D8" s="926"/>
      <c r="E8" s="926"/>
      <c r="F8" s="926"/>
      <c r="G8" s="926"/>
      <c r="H8" s="1123" t="s">
        <v>119</v>
      </c>
      <c r="I8" s="1123"/>
      <c r="J8" s="1057" t="s">
        <v>120</v>
      </c>
      <c r="K8" s="1057"/>
      <c r="L8" s="1057"/>
      <c r="M8" s="1057"/>
    </row>
    <row r="9" spans="1:13" s="54" customFormat="1" ht="15" customHeight="1">
      <c r="A9" s="928"/>
      <c r="B9" s="928"/>
      <c r="C9" s="926"/>
      <c r="D9" s="926"/>
      <c r="E9" s="926"/>
      <c r="F9" s="926"/>
      <c r="G9" s="926"/>
      <c r="H9" s="1123"/>
      <c r="I9" s="1123"/>
      <c r="J9" s="1057"/>
      <c r="K9" s="1057"/>
      <c r="L9" s="1057"/>
      <c r="M9" s="1057"/>
    </row>
    <row r="10" spans="1:13" s="133" customFormat="1" ht="15" customHeight="1">
      <c r="A10" s="122"/>
      <c r="B10" s="122"/>
      <c r="C10" s="123"/>
      <c r="D10" s="123"/>
      <c r="E10" s="123"/>
      <c r="F10" s="123"/>
      <c r="G10" s="123"/>
      <c r="H10" s="125"/>
      <c r="I10" s="125"/>
      <c r="J10" s="125"/>
      <c r="K10" s="125"/>
      <c r="L10" s="125"/>
      <c r="M10" s="125"/>
    </row>
    <row r="11" spans="1:14" s="41" customFormat="1" ht="15" customHeight="1">
      <c r="A11" s="1120" t="str">
        <f>'ORÇAMENTO NÃO DESONERADO'!C11</f>
        <v>ADMINISTRAÇÃO LOCAL</v>
      </c>
      <c r="B11" s="1121"/>
      <c r="C11" s="1121"/>
      <c r="D11" s="1121"/>
      <c r="E11" s="1121"/>
      <c r="F11" s="1121"/>
      <c r="G11" s="1121"/>
      <c r="H11" s="1121"/>
      <c r="I11" s="1121"/>
      <c r="J11" s="1121"/>
      <c r="K11" s="1121"/>
      <c r="L11" s="1121"/>
      <c r="M11" s="1122"/>
      <c r="N11" s="134"/>
    </row>
    <row r="12" spans="1:14" s="41" customFormat="1" ht="15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4"/>
    </row>
    <row r="13" spans="1:14" s="41" customFormat="1" ht="15">
      <c r="A13" s="137" t="str">
        <f>'ORÇAMENTO NÃO DESONERADO'!A12</f>
        <v>1.1</v>
      </c>
      <c r="B13" s="138" t="str">
        <f>'ORÇAMENTO NÃO DESONERADO'!C12</f>
        <v>ENGENHEIRO CIVIL DE OBRA JUNIOR COM ENCARGOS COMPLEMENTARES</v>
      </c>
      <c r="C13" s="138"/>
      <c r="D13" s="138"/>
      <c r="E13" s="139"/>
      <c r="F13" s="140"/>
      <c r="G13" s="141"/>
      <c r="H13" s="141"/>
      <c r="I13" s="141"/>
      <c r="J13" s="141"/>
      <c r="K13" s="141"/>
      <c r="L13" s="141"/>
      <c r="M13" s="141"/>
      <c r="N13" s="141"/>
    </row>
    <row r="14" spans="1:14" s="41" customFormat="1" ht="15">
      <c r="A14" s="137"/>
      <c r="B14" s="138"/>
      <c r="C14" s="138"/>
      <c r="D14" s="138"/>
      <c r="E14" s="139"/>
      <c r="F14" s="140"/>
      <c r="G14" s="141"/>
      <c r="H14" s="141"/>
      <c r="I14" s="141"/>
      <c r="J14" s="141"/>
      <c r="K14" s="141"/>
      <c r="L14" s="141"/>
      <c r="M14" s="141"/>
      <c r="N14" s="141"/>
    </row>
    <row r="15" spans="1:14" s="41" customFormat="1" ht="15">
      <c r="A15" s="137"/>
      <c r="B15" s="138"/>
      <c r="C15" s="142" t="s">
        <v>164</v>
      </c>
      <c r="D15" s="143"/>
      <c r="E15" s="144" t="s">
        <v>165</v>
      </c>
      <c r="F15" s="140"/>
      <c r="G15" s="144" t="s">
        <v>166</v>
      </c>
      <c r="H15" s="141"/>
      <c r="I15" s="141"/>
      <c r="J15" s="141"/>
      <c r="K15" s="141"/>
      <c r="L15" s="141"/>
      <c r="M15" s="141"/>
      <c r="N15" s="141"/>
    </row>
    <row r="16" spans="1:14" s="41" customFormat="1" ht="15">
      <c r="A16" s="137"/>
      <c r="B16" s="142" t="s">
        <v>167</v>
      </c>
      <c r="C16" s="145">
        <v>1</v>
      </c>
      <c r="D16" s="146" t="s">
        <v>29</v>
      </c>
      <c r="E16" s="147">
        <v>5</v>
      </c>
      <c r="F16" s="148" t="s">
        <v>29</v>
      </c>
      <c r="G16" s="162">
        <v>7</v>
      </c>
      <c r="H16" s="141"/>
      <c r="I16" s="141"/>
      <c r="J16" s="141"/>
      <c r="K16" s="141"/>
      <c r="L16" s="141"/>
      <c r="M16" s="141"/>
      <c r="N16" s="141"/>
    </row>
    <row r="17" spans="1:14" s="41" customFormat="1" ht="15">
      <c r="A17" s="137"/>
      <c r="B17" s="142"/>
      <c r="C17" s="145"/>
      <c r="D17" s="146"/>
      <c r="E17" s="147"/>
      <c r="F17" s="148"/>
      <c r="G17" s="162"/>
      <c r="H17" s="141"/>
      <c r="I17" s="141"/>
      <c r="J17" s="141"/>
      <c r="K17" s="141"/>
      <c r="L17" s="141"/>
      <c r="M17" s="141"/>
      <c r="N17" s="141"/>
    </row>
    <row r="18" spans="1:14" s="41" customFormat="1" ht="15">
      <c r="A18" s="137"/>
      <c r="B18" s="25" t="s">
        <v>28</v>
      </c>
      <c r="C18" s="26">
        <f>ROUND((C16*E16*G16),2)</f>
        <v>35</v>
      </c>
      <c r="D18" s="27" t="s">
        <v>78</v>
      </c>
      <c r="E18" s="147"/>
      <c r="F18" s="148"/>
      <c r="G18" s="162"/>
      <c r="H18" s="141"/>
      <c r="I18" s="141"/>
      <c r="J18" s="141"/>
      <c r="K18" s="141"/>
      <c r="L18" s="141"/>
      <c r="M18" s="141"/>
      <c r="N18" s="141"/>
    </row>
    <row r="19" spans="1:14" s="41" customFormat="1" ht="15">
      <c r="A19" s="149"/>
      <c r="B19" s="48"/>
      <c r="C19" s="48"/>
      <c r="D19" s="48"/>
      <c r="E19" s="33"/>
      <c r="F19" s="33"/>
      <c r="G19" s="479"/>
      <c r="H19" s="141"/>
      <c r="I19" s="141"/>
      <c r="J19" s="141"/>
      <c r="K19" s="141"/>
      <c r="L19" s="141"/>
      <c r="M19" s="141"/>
      <c r="N19" s="141"/>
    </row>
    <row r="20" spans="1:14" s="41" customFormat="1" ht="13.5" customHeight="1">
      <c r="A20" s="1119" t="str">
        <f>'ORÇAMENTO NÃO DESONERADO'!A13</f>
        <v>1.2</v>
      </c>
      <c r="B20" s="138" t="str">
        <f>'ORÇAMENTO NÃO DESONERADO'!C13</f>
        <v>ENCARREGADO GERAL COM ENCARGOS COMPLEMENTARES</v>
      </c>
      <c r="C20" s="138"/>
      <c r="D20" s="138"/>
      <c r="E20" s="139"/>
      <c r="F20" s="140"/>
      <c r="G20" s="479"/>
      <c r="H20" s="141"/>
      <c r="I20" s="141"/>
      <c r="J20" s="141"/>
      <c r="K20" s="141"/>
      <c r="L20" s="141"/>
      <c r="M20" s="141"/>
      <c r="N20" s="141"/>
    </row>
    <row r="21" spans="1:14" s="41" customFormat="1" ht="13.5" customHeight="1">
      <c r="A21" s="1119"/>
      <c r="B21" s="150"/>
      <c r="C21" s="150"/>
      <c r="D21" s="150"/>
      <c r="E21" s="151"/>
      <c r="F21" s="140"/>
      <c r="G21" s="479"/>
      <c r="H21" s="141"/>
      <c r="I21" s="141"/>
      <c r="J21" s="141"/>
      <c r="K21" s="141"/>
      <c r="L21" s="141"/>
      <c r="M21" s="141"/>
      <c r="N21" s="141"/>
    </row>
    <row r="22" spans="1:14" s="41" customFormat="1" ht="13.5" customHeight="1">
      <c r="A22" s="557"/>
      <c r="B22" s="138"/>
      <c r="C22" s="142" t="s">
        <v>164</v>
      </c>
      <c r="D22" s="143"/>
      <c r="E22" s="144" t="s">
        <v>165</v>
      </c>
      <c r="F22" s="140"/>
      <c r="G22" s="144" t="s">
        <v>166</v>
      </c>
      <c r="H22" s="141"/>
      <c r="I22" s="141"/>
      <c r="J22" s="141"/>
      <c r="K22" s="141"/>
      <c r="L22" s="141"/>
      <c r="M22" s="141"/>
      <c r="N22" s="141"/>
    </row>
    <row r="23" spans="1:14" s="41" customFormat="1" ht="13.5" customHeight="1">
      <c r="A23" s="557"/>
      <c r="B23" s="142" t="s">
        <v>167</v>
      </c>
      <c r="C23" s="145">
        <v>6</v>
      </c>
      <c r="D23" s="146" t="s">
        <v>29</v>
      </c>
      <c r="E23" s="147">
        <v>20</v>
      </c>
      <c r="F23" s="148" t="s">
        <v>29</v>
      </c>
      <c r="G23" s="162">
        <v>7</v>
      </c>
      <c r="H23" s="141"/>
      <c r="I23" s="141"/>
      <c r="J23" s="141"/>
      <c r="K23" s="141"/>
      <c r="L23" s="141"/>
      <c r="M23" s="141"/>
      <c r="N23" s="141"/>
    </row>
    <row r="24" spans="1:14" s="41" customFormat="1" ht="13.5" customHeight="1">
      <c r="A24" s="557"/>
      <c r="B24" s="142"/>
      <c r="C24" s="145"/>
      <c r="D24" s="146"/>
      <c r="E24" s="147"/>
      <c r="F24" s="148"/>
      <c r="G24" s="162"/>
      <c r="H24" s="141"/>
      <c r="I24" s="141"/>
      <c r="J24" s="141"/>
      <c r="K24" s="141"/>
      <c r="L24" s="141"/>
      <c r="M24" s="141"/>
      <c r="N24" s="141"/>
    </row>
    <row r="25" spans="1:14" s="41" customFormat="1" ht="15">
      <c r="A25" s="152"/>
      <c r="B25" s="25" t="s">
        <v>28</v>
      </c>
      <c r="C25" s="26">
        <f>ROUND((C23*E23*G23),2)</f>
        <v>840</v>
      </c>
      <c r="D25" s="27" t="s">
        <v>78</v>
      </c>
      <c r="E25" s="147"/>
      <c r="F25" s="148"/>
      <c r="G25" s="162"/>
      <c r="H25" s="141"/>
      <c r="I25" s="141"/>
      <c r="J25" s="141"/>
      <c r="K25" s="141"/>
      <c r="L25" s="141"/>
      <c r="M25" s="141"/>
      <c r="N25" s="141"/>
    </row>
    <row r="26" spans="1:14" s="41" customFormat="1" ht="15">
      <c r="A26" s="152"/>
      <c r="B26" s="153"/>
      <c r="C26" s="153"/>
      <c r="D26" s="153"/>
      <c r="E26" s="154"/>
      <c r="F26" s="154"/>
      <c r="G26" s="154"/>
      <c r="H26" s="154"/>
      <c r="I26" s="154"/>
      <c r="J26" s="154"/>
      <c r="K26" s="154"/>
      <c r="L26" s="154"/>
      <c r="M26" s="141"/>
      <c r="N26" s="141"/>
    </row>
    <row r="27" spans="1:14" s="41" customFormat="1" ht="15">
      <c r="A27" s="152"/>
      <c r="B27" s="153"/>
      <c r="C27" s="153"/>
      <c r="D27" s="153"/>
      <c r="E27" s="154"/>
      <c r="F27" s="154"/>
      <c r="G27" s="154"/>
      <c r="H27" s="154"/>
      <c r="I27" s="154"/>
      <c r="J27" s="154"/>
      <c r="K27" s="154"/>
      <c r="L27" s="154"/>
      <c r="M27" s="141"/>
      <c r="N27" s="141"/>
    </row>
    <row r="28" spans="1:14" s="41" customFormat="1" ht="15">
      <c r="A28" s="152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</row>
    <row r="29" spans="1:14" s="41" customFormat="1" ht="15">
      <c r="A29" s="15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</row>
    <row r="30" spans="1:14" s="41" customFormat="1" ht="12.75" customHeight="1">
      <c r="A30" s="152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14" s="41" customFormat="1" ht="12.75" customHeight="1">
      <c r="A31" s="152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</row>
    <row r="32" spans="1:14" s="41" customFormat="1" ht="1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</row>
    <row r="33" spans="1:14" s="41" customFormat="1" ht="1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</row>
    <row r="34" spans="1:14" s="41" customFormat="1" ht="1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</row>
    <row r="35" spans="1:14" s="41" customFormat="1" ht="1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</row>
    <row r="36" spans="1:14" s="41" customFormat="1" ht="1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</row>
    <row r="37" spans="1:14" s="41" customFormat="1" ht="1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</row>
    <row r="38" spans="1:14" s="41" customFormat="1" ht="1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</row>
    <row r="39" spans="1:14" s="41" customFormat="1" ht="15">
      <c r="A39" s="155"/>
      <c r="B39" s="156"/>
      <c r="C39" s="156"/>
      <c r="D39" s="156"/>
      <c r="E39" s="156"/>
      <c r="F39" s="156"/>
      <c r="G39" s="156"/>
      <c r="H39" s="156"/>
      <c r="I39" s="156"/>
      <c r="J39" s="156"/>
      <c r="K39" s="157"/>
      <c r="L39" s="157"/>
      <c r="M39" s="158"/>
      <c r="N39" s="159"/>
    </row>
    <row r="40" spans="1:14" s="41" customFormat="1" ht="26.25" customHeight="1">
      <c r="A40" s="160"/>
      <c r="B40" s="161"/>
      <c r="C40" s="161"/>
      <c r="D40" s="161"/>
      <c r="E40" s="161"/>
      <c r="F40" s="161"/>
      <c r="G40" s="161"/>
      <c r="H40" s="161"/>
      <c r="I40" s="161"/>
      <c r="J40" s="161"/>
      <c r="K40" s="162"/>
      <c r="L40" s="162"/>
      <c r="M40" s="163"/>
      <c r="N40" s="163"/>
    </row>
    <row r="41" spans="1:14" s="41" customFormat="1" ht="26.25" customHeight="1">
      <c r="A41" s="160"/>
      <c r="B41" s="164"/>
      <c r="C41" s="164"/>
      <c r="D41" s="164"/>
      <c r="E41" s="164"/>
      <c r="F41" s="164"/>
      <c r="G41" s="164"/>
      <c r="H41" s="164"/>
      <c r="I41" s="164"/>
      <c r="J41" s="164"/>
      <c r="K41" s="165"/>
      <c r="L41" s="165"/>
      <c r="M41" s="163"/>
      <c r="N41" s="163"/>
    </row>
    <row r="42" spans="1:14" s="41" customFormat="1" ht="12.75">
      <c r="A42" s="166"/>
      <c r="B42" s="167"/>
      <c r="C42" s="167"/>
      <c r="D42" s="167"/>
      <c r="E42" s="167"/>
      <c r="F42" s="167"/>
      <c r="G42" s="167"/>
      <c r="H42" s="167"/>
      <c r="I42" s="167"/>
      <c r="J42" s="167"/>
      <c r="K42" s="165"/>
      <c r="L42" s="165"/>
      <c r="M42" s="163"/>
      <c r="N42" s="163"/>
    </row>
    <row r="43" spans="1:14" s="41" customFormat="1" ht="26.25" customHeight="1">
      <c r="A43" s="166"/>
      <c r="B43" s="164"/>
      <c r="C43" s="164"/>
      <c r="D43" s="164"/>
      <c r="E43" s="164"/>
      <c r="F43" s="164"/>
      <c r="G43" s="164"/>
      <c r="H43" s="164"/>
      <c r="I43" s="164"/>
      <c r="J43" s="164"/>
      <c r="K43" s="165"/>
      <c r="L43" s="162"/>
      <c r="M43" s="163"/>
      <c r="N43" s="163"/>
    </row>
    <row r="44" spans="1:14" s="41" customFormat="1" ht="15">
      <c r="A44" s="168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7"/>
      <c r="M44" s="169"/>
      <c r="N44" s="170"/>
    </row>
    <row r="45" spans="1:14" s="41" customFormat="1" ht="12.7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</row>
    <row r="46" spans="1:14" s="41" customFormat="1" ht="12.7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</row>
    <row r="47" spans="1:14" s="41" customFormat="1" ht="15">
      <c r="A47" s="157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5"/>
    </row>
    <row r="48" spans="1:14" s="41" customFormat="1" ht="12.75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</row>
    <row r="49" spans="1:14" s="41" customFormat="1" ht="15">
      <c r="A49" s="174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55"/>
    </row>
    <row r="50" spans="1:14" s="41" customFormat="1" ht="15">
      <c r="A50" s="155"/>
      <c r="B50" s="156"/>
      <c r="C50" s="156"/>
      <c r="D50" s="156"/>
      <c r="E50" s="156"/>
      <c r="F50" s="156"/>
      <c r="G50" s="156"/>
      <c r="H50" s="156"/>
      <c r="I50" s="156"/>
      <c r="J50" s="156"/>
      <c r="K50" s="157"/>
      <c r="L50" s="157"/>
      <c r="M50" s="158"/>
      <c r="N50" s="159"/>
    </row>
    <row r="51" spans="1:14" s="41" customFormat="1" ht="15">
      <c r="A51" s="160"/>
      <c r="B51" s="167"/>
      <c r="C51" s="167"/>
      <c r="D51" s="167"/>
      <c r="E51" s="156"/>
      <c r="F51" s="156"/>
      <c r="G51" s="156"/>
      <c r="H51" s="156"/>
      <c r="I51" s="156"/>
      <c r="J51" s="156"/>
      <c r="K51" s="166"/>
      <c r="L51" s="162"/>
      <c r="M51" s="163"/>
      <c r="N51" s="163"/>
    </row>
    <row r="52" spans="1:14" s="41" customFormat="1" ht="15">
      <c r="A52" s="160"/>
      <c r="B52" s="167"/>
      <c r="C52" s="167"/>
      <c r="D52" s="167"/>
      <c r="E52" s="156"/>
      <c r="F52" s="156"/>
      <c r="G52" s="156"/>
      <c r="H52" s="156"/>
      <c r="I52" s="156"/>
      <c r="J52" s="156"/>
      <c r="K52" s="166"/>
      <c r="L52" s="162"/>
      <c r="M52" s="163"/>
      <c r="N52" s="163"/>
    </row>
    <row r="53" spans="1:14" s="41" customFormat="1" ht="26.25" customHeight="1">
      <c r="A53" s="165"/>
      <c r="B53" s="176"/>
      <c r="C53" s="176"/>
      <c r="D53" s="176"/>
      <c r="E53" s="176"/>
      <c r="F53" s="176"/>
      <c r="G53" s="176"/>
      <c r="H53" s="176"/>
      <c r="I53" s="176"/>
      <c r="J53" s="176"/>
      <c r="K53" s="165"/>
      <c r="L53" s="162"/>
      <c r="M53" s="163"/>
      <c r="N53" s="163"/>
    </row>
    <row r="54" spans="1:14" s="41" customFormat="1" ht="12.75">
      <c r="A54" s="165"/>
      <c r="B54" s="177"/>
      <c r="C54" s="177"/>
      <c r="D54" s="177"/>
      <c r="E54" s="177"/>
      <c r="F54" s="177"/>
      <c r="G54" s="177"/>
      <c r="H54" s="177"/>
      <c r="I54" s="177"/>
      <c r="J54" s="177"/>
      <c r="K54" s="166"/>
      <c r="L54" s="178"/>
      <c r="M54" s="163"/>
      <c r="N54" s="163"/>
    </row>
    <row r="55" spans="1:14" s="41" customFormat="1" ht="24.75" customHeight="1">
      <c r="A55" s="165"/>
      <c r="B55" s="177"/>
      <c r="C55" s="177"/>
      <c r="D55" s="177"/>
      <c r="E55" s="177"/>
      <c r="F55" s="177"/>
      <c r="G55" s="177"/>
      <c r="H55" s="177"/>
      <c r="I55" s="177"/>
      <c r="J55" s="177"/>
      <c r="K55" s="166"/>
      <c r="L55" s="178"/>
      <c r="M55" s="163"/>
      <c r="N55" s="163"/>
    </row>
    <row r="56" spans="1:14" s="41" customFormat="1" ht="27.75" customHeight="1">
      <c r="A56" s="165"/>
      <c r="B56" s="179"/>
      <c r="C56" s="179"/>
      <c r="D56" s="179"/>
      <c r="E56" s="179"/>
      <c r="F56" s="179"/>
      <c r="G56" s="179"/>
      <c r="H56" s="179"/>
      <c r="I56" s="179"/>
      <c r="J56" s="179"/>
      <c r="K56" s="166"/>
      <c r="L56" s="178"/>
      <c r="M56" s="163"/>
      <c r="N56" s="163"/>
    </row>
    <row r="57" spans="1:14" s="41" customFormat="1" ht="26.25" customHeight="1">
      <c r="A57" s="165"/>
      <c r="B57" s="177"/>
      <c r="C57" s="177"/>
      <c r="D57" s="177"/>
      <c r="E57" s="177"/>
      <c r="F57" s="177"/>
      <c r="G57" s="177"/>
      <c r="H57" s="177"/>
      <c r="I57" s="177"/>
      <c r="J57" s="177"/>
      <c r="K57" s="166"/>
      <c r="L57" s="178"/>
      <c r="M57" s="163"/>
      <c r="N57" s="163"/>
    </row>
    <row r="58" spans="1:14" s="41" customFormat="1" ht="12.75">
      <c r="A58" s="165"/>
      <c r="B58" s="180"/>
      <c r="C58" s="180"/>
      <c r="D58" s="180"/>
      <c r="E58" s="176"/>
      <c r="F58" s="176"/>
      <c r="G58" s="176"/>
      <c r="H58" s="176"/>
      <c r="I58" s="176"/>
      <c r="J58" s="176"/>
      <c r="K58" s="166"/>
      <c r="L58" s="178"/>
      <c r="M58" s="163"/>
      <c r="N58" s="163"/>
    </row>
    <row r="59" spans="1:14" s="41" customFormat="1" ht="12.75">
      <c r="A59" s="181"/>
      <c r="B59" s="182"/>
      <c r="C59" s="182"/>
      <c r="D59" s="182"/>
      <c r="E59" s="182"/>
      <c r="F59" s="182"/>
      <c r="G59" s="182"/>
      <c r="H59" s="182"/>
      <c r="I59" s="182"/>
      <c r="J59" s="182"/>
      <c r="K59" s="166"/>
      <c r="L59" s="178"/>
      <c r="M59" s="163"/>
      <c r="N59" s="163"/>
    </row>
    <row r="60" spans="1:14" s="41" customFormat="1" ht="15">
      <c r="A60" s="168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7"/>
      <c r="M60" s="169"/>
      <c r="N60" s="170"/>
    </row>
    <row r="61" spans="1:14" s="41" customFormat="1" ht="12.75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</row>
    <row r="62" spans="1:14" s="41" customFormat="1" ht="15">
      <c r="A62" s="157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5"/>
    </row>
    <row r="63" spans="1:14" s="41" customFormat="1" ht="12.75">
      <c r="A63" s="183"/>
      <c r="B63" s="184"/>
      <c r="C63" s="184"/>
      <c r="D63" s="184"/>
      <c r="E63" s="173"/>
      <c r="F63" s="173"/>
      <c r="G63" s="173"/>
      <c r="H63" s="173"/>
      <c r="I63" s="173"/>
      <c r="J63" s="173"/>
      <c r="K63" s="173"/>
      <c r="L63" s="173"/>
      <c r="M63" s="173"/>
      <c r="N63" s="173"/>
    </row>
    <row r="64" spans="1:14" s="41" customFormat="1" ht="15">
      <c r="A64" s="174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55"/>
    </row>
    <row r="65" spans="1:14" s="41" customFormat="1" ht="15">
      <c r="A65" s="155"/>
      <c r="B65" s="156"/>
      <c r="C65" s="156"/>
      <c r="D65" s="156"/>
      <c r="E65" s="156"/>
      <c r="F65" s="156"/>
      <c r="G65" s="156"/>
      <c r="H65" s="156"/>
      <c r="I65" s="156"/>
      <c r="J65" s="156"/>
      <c r="K65" s="157"/>
      <c r="L65" s="157"/>
      <c r="M65" s="158"/>
      <c r="N65" s="159"/>
    </row>
    <row r="66" spans="1:14" s="41" customFormat="1" ht="15">
      <c r="A66" s="160"/>
      <c r="B66" s="167"/>
      <c r="C66" s="167"/>
      <c r="D66" s="167"/>
      <c r="E66" s="156"/>
      <c r="F66" s="156"/>
      <c r="G66" s="156"/>
      <c r="H66" s="156"/>
      <c r="I66" s="156"/>
      <c r="J66" s="156"/>
      <c r="K66" s="165"/>
      <c r="L66" s="162"/>
      <c r="M66" s="163"/>
      <c r="N66" s="163"/>
    </row>
    <row r="67" spans="1:14" s="41" customFormat="1" ht="15">
      <c r="A67" s="160"/>
      <c r="B67" s="167"/>
      <c r="C67" s="167"/>
      <c r="D67" s="167"/>
      <c r="E67" s="156"/>
      <c r="F67" s="156"/>
      <c r="G67" s="156"/>
      <c r="H67" s="156"/>
      <c r="I67" s="156"/>
      <c r="J67" s="156"/>
      <c r="K67" s="165"/>
      <c r="L67" s="162"/>
      <c r="M67" s="163"/>
      <c r="N67" s="163"/>
    </row>
    <row r="68" spans="1:14" s="41" customFormat="1" ht="12.75">
      <c r="A68" s="165"/>
      <c r="B68" s="164"/>
      <c r="C68" s="164"/>
      <c r="D68" s="164"/>
      <c r="E68" s="164"/>
      <c r="F68" s="164"/>
      <c r="G68" s="164"/>
      <c r="H68" s="164"/>
      <c r="I68" s="164"/>
      <c r="J68" s="164"/>
      <c r="K68" s="165"/>
      <c r="L68" s="162"/>
      <c r="M68" s="163"/>
      <c r="N68" s="163"/>
    </row>
    <row r="69" spans="1:14" s="41" customFormat="1" ht="24" customHeight="1">
      <c r="A69" s="165"/>
      <c r="B69" s="177"/>
      <c r="C69" s="177"/>
      <c r="D69" s="177"/>
      <c r="E69" s="177"/>
      <c r="F69" s="177"/>
      <c r="G69" s="177"/>
      <c r="H69" s="177"/>
      <c r="I69" s="177"/>
      <c r="J69" s="177"/>
      <c r="K69" s="165"/>
      <c r="L69" s="178"/>
      <c r="M69" s="163"/>
      <c r="N69" s="163"/>
    </row>
    <row r="70" spans="1:14" s="41" customFormat="1" ht="15">
      <c r="A70" s="168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7"/>
      <c r="M70" s="169"/>
      <c r="N70" s="170"/>
    </row>
    <row r="71" spans="1:14" s="41" customFormat="1" ht="12.75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</row>
    <row r="72" spans="1:14" s="41" customFormat="1" ht="12.7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</row>
    <row r="73" spans="1:14" s="41" customFormat="1" ht="15">
      <c r="A73" s="157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5"/>
    </row>
    <row r="74" spans="1:14" s="41" customFormat="1" ht="12.75">
      <c r="A74" s="183"/>
      <c r="B74" s="184"/>
      <c r="C74" s="184"/>
      <c r="D74" s="184"/>
      <c r="E74" s="173"/>
      <c r="F74" s="173"/>
      <c r="G74" s="173"/>
      <c r="H74" s="173"/>
      <c r="I74" s="173"/>
      <c r="J74" s="173"/>
      <c r="K74" s="173"/>
      <c r="L74" s="173"/>
      <c r="M74" s="173"/>
      <c r="N74" s="173"/>
    </row>
    <row r="75" spans="1:14" s="41" customFormat="1" ht="15">
      <c r="A75" s="174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55"/>
    </row>
    <row r="76" spans="1:14" s="41" customFormat="1" ht="15">
      <c r="A76" s="155"/>
      <c r="B76" s="156"/>
      <c r="C76" s="156"/>
      <c r="D76" s="156"/>
      <c r="E76" s="156"/>
      <c r="F76" s="156"/>
      <c r="G76" s="156"/>
      <c r="H76" s="156"/>
      <c r="I76" s="156"/>
      <c r="J76" s="156"/>
      <c r="K76" s="157"/>
      <c r="L76" s="157"/>
      <c r="M76" s="158"/>
      <c r="N76" s="159"/>
    </row>
    <row r="77" spans="1:14" s="41" customFormat="1" ht="15">
      <c r="A77" s="160"/>
      <c r="B77" s="167"/>
      <c r="C77" s="167"/>
      <c r="D77" s="167"/>
      <c r="E77" s="156"/>
      <c r="F77" s="156"/>
      <c r="G77" s="156"/>
      <c r="H77" s="156"/>
      <c r="I77" s="156"/>
      <c r="J77" s="156"/>
      <c r="K77" s="166"/>
      <c r="L77" s="162"/>
      <c r="M77" s="163"/>
      <c r="N77" s="159"/>
    </row>
    <row r="78" spans="1:14" s="41" customFormat="1" ht="15">
      <c r="A78" s="160"/>
      <c r="B78" s="167"/>
      <c r="C78" s="167"/>
      <c r="D78" s="167"/>
      <c r="E78" s="156"/>
      <c r="F78" s="156"/>
      <c r="G78" s="156"/>
      <c r="H78" s="156"/>
      <c r="I78" s="156"/>
      <c r="J78" s="156"/>
      <c r="K78" s="166"/>
      <c r="L78" s="162"/>
      <c r="M78" s="163"/>
      <c r="N78" s="159"/>
    </row>
    <row r="79" spans="1:14" s="41" customFormat="1" ht="24" customHeight="1">
      <c r="A79" s="166"/>
      <c r="B79" s="164"/>
      <c r="C79" s="164"/>
      <c r="D79" s="164"/>
      <c r="E79" s="164"/>
      <c r="F79" s="164"/>
      <c r="G79" s="164"/>
      <c r="H79" s="164"/>
      <c r="I79" s="164"/>
      <c r="J79" s="164"/>
      <c r="K79" s="166"/>
      <c r="L79" s="162"/>
      <c r="M79" s="163"/>
      <c r="N79" s="159"/>
    </row>
    <row r="80" spans="1:14" s="41" customFormat="1" ht="25.5" customHeight="1">
      <c r="A80" s="166"/>
      <c r="B80" s="164"/>
      <c r="C80" s="164"/>
      <c r="D80" s="164"/>
      <c r="E80" s="164"/>
      <c r="F80" s="164"/>
      <c r="G80" s="164"/>
      <c r="H80" s="164"/>
      <c r="I80" s="164"/>
      <c r="J80" s="164"/>
      <c r="K80" s="166"/>
      <c r="L80" s="162"/>
      <c r="M80" s="163"/>
      <c r="N80" s="159"/>
    </row>
    <row r="81" spans="1:14" s="41" customFormat="1" ht="24.75" customHeight="1">
      <c r="A81" s="165"/>
      <c r="B81" s="164"/>
      <c r="C81" s="164"/>
      <c r="D81" s="164"/>
      <c r="E81" s="164"/>
      <c r="F81" s="164"/>
      <c r="G81" s="164"/>
      <c r="H81" s="164"/>
      <c r="I81" s="164"/>
      <c r="J81" s="164"/>
      <c r="K81" s="165"/>
      <c r="L81" s="162"/>
      <c r="M81" s="163"/>
      <c r="N81" s="159"/>
    </row>
    <row r="82" spans="1:14" s="41" customFormat="1" ht="22.5" customHeight="1">
      <c r="A82" s="165"/>
      <c r="B82" s="177"/>
      <c r="C82" s="177"/>
      <c r="D82" s="177"/>
      <c r="E82" s="177"/>
      <c r="F82" s="177"/>
      <c r="G82" s="177"/>
      <c r="H82" s="177"/>
      <c r="I82" s="177"/>
      <c r="J82" s="177"/>
      <c r="K82" s="166"/>
      <c r="L82" s="178"/>
      <c r="M82" s="163"/>
      <c r="N82" s="185"/>
    </row>
    <row r="83" spans="1:14" s="41" customFormat="1" ht="15">
      <c r="A83" s="168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7"/>
      <c r="M83" s="169"/>
      <c r="N83" s="170"/>
    </row>
    <row r="84" spans="1:14" s="41" customFormat="1" ht="12.75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</row>
    <row r="85" spans="1:14" s="41" customFormat="1" ht="15">
      <c r="A85" s="157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5"/>
    </row>
    <row r="86" spans="1:14" s="41" customFormat="1" ht="12.75">
      <c r="A86" s="183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</row>
    <row r="87" spans="1:14" s="41" customFormat="1" ht="15">
      <c r="A87" s="174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55"/>
    </row>
    <row r="88" spans="1:14" s="41" customFormat="1" ht="15">
      <c r="A88" s="155"/>
      <c r="B88" s="156"/>
      <c r="C88" s="156"/>
      <c r="D88" s="156"/>
      <c r="E88" s="156"/>
      <c r="F88" s="156"/>
      <c r="G88" s="156"/>
      <c r="H88" s="156"/>
      <c r="I88" s="156"/>
      <c r="J88" s="156"/>
      <c r="K88" s="157"/>
      <c r="L88" s="157"/>
      <c r="M88" s="158"/>
      <c r="N88" s="159"/>
    </row>
    <row r="89" spans="1:14" s="41" customFormat="1" ht="12.75">
      <c r="A89" s="160"/>
      <c r="B89" s="38"/>
      <c r="C89" s="38"/>
      <c r="D89" s="38"/>
      <c r="E89" s="38"/>
      <c r="F89" s="38"/>
      <c r="G89" s="38"/>
      <c r="H89" s="38"/>
      <c r="I89" s="38"/>
      <c r="J89" s="38"/>
      <c r="K89" s="166"/>
      <c r="L89" s="162"/>
      <c r="M89" s="159"/>
      <c r="N89" s="159"/>
    </row>
    <row r="90" spans="1:14" s="41" customFormat="1" ht="12.75">
      <c r="A90" s="160"/>
      <c r="B90" s="175"/>
      <c r="C90" s="175"/>
      <c r="D90" s="175"/>
      <c r="E90" s="175"/>
      <c r="F90" s="175"/>
      <c r="G90" s="175"/>
      <c r="H90" s="175"/>
      <c r="I90" s="175"/>
      <c r="J90" s="175"/>
      <c r="K90" s="166"/>
      <c r="L90" s="162"/>
      <c r="M90" s="159"/>
      <c r="N90" s="159"/>
    </row>
    <row r="91" spans="1:14" s="41" customFormat="1" ht="35.25" customHeight="1">
      <c r="A91" s="165"/>
      <c r="B91" s="164"/>
      <c r="C91" s="164"/>
      <c r="D91" s="164"/>
      <c r="E91" s="164"/>
      <c r="F91" s="164"/>
      <c r="G91" s="164"/>
      <c r="H91" s="164"/>
      <c r="I91" s="164"/>
      <c r="J91" s="164"/>
      <c r="K91" s="165"/>
      <c r="L91" s="162"/>
      <c r="M91" s="159"/>
      <c r="N91" s="159"/>
    </row>
    <row r="92" spans="1:14" s="41" customFormat="1" ht="12.75">
      <c r="A92" s="165"/>
      <c r="B92" s="177"/>
      <c r="C92" s="177"/>
      <c r="D92" s="177"/>
      <c r="E92" s="177"/>
      <c r="F92" s="177"/>
      <c r="G92" s="177"/>
      <c r="H92" s="177"/>
      <c r="I92" s="177"/>
      <c r="J92" s="177"/>
      <c r="K92" s="166"/>
      <c r="L92" s="178"/>
      <c r="M92" s="163"/>
      <c r="N92" s="163"/>
    </row>
    <row r="93" spans="1:14" s="41" customFormat="1" ht="15">
      <c r="A93" s="168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7"/>
      <c r="M93" s="169"/>
      <c r="N93" s="170"/>
    </row>
    <row r="94" spans="1:14" s="41" customFormat="1" ht="12.75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</row>
    <row r="95" spans="1:14" s="41" customFormat="1" ht="15">
      <c r="A95" s="157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5"/>
    </row>
    <row r="96" spans="1:14" s="41" customFormat="1" ht="12.75">
      <c r="A96" s="183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</row>
    <row r="97" spans="1:14" s="41" customFormat="1" ht="15">
      <c r="A97" s="174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55"/>
    </row>
    <row r="98" spans="1:14" s="41" customFormat="1" ht="15">
      <c r="A98" s="155"/>
      <c r="B98" s="156"/>
      <c r="C98" s="156"/>
      <c r="D98" s="156"/>
      <c r="E98" s="156"/>
      <c r="F98" s="156"/>
      <c r="G98" s="156"/>
      <c r="H98" s="156"/>
      <c r="I98" s="156"/>
      <c r="J98" s="156"/>
      <c r="K98" s="157"/>
      <c r="L98" s="157"/>
      <c r="M98" s="158"/>
      <c r="N98" s="159"/>
    </row>
    <row r="99" spans="1:14" s="41" customFormat="1" ht="12.75">
      <c r="A99" s="160"/>
      <c r="B99" s="161"/>
      <c r="C99" s="161"/>
      <c r="D99" s="161"/>
      <c r="E99" s="161"/>
      <c r="F99" s="161"/>
      <c r="G99" s="161"/>
      <c r="H99" s="161"/>
      <c r="I99" s="161"/>
      <c r="J99" s="161"/>
      <c r="K99" s="162"/>
      <c r="L99" s="162"/>
      <c r="M99" s="163"/>
      <c r="N99" s="163"/>
    </row>
    <row r="100" spans="1:14" s="41" customFormat="1" ht="12.75">
      <c r="A100" s="160"/>
      <c r="B100" s="164"/>
      <c r="C100" s="164"/>
      <c r="D100" s="164"/>
      <c r="E100" s="164"/>
      <c r="F100" s="164"/>
      <c r="G100" s="164"/>
      <c r="H100" s="164"/>
      <c r="I100" s="164"/>
      <c r="J100" s="164"/>
      <c r="K100" s="165"/>
      <c r="L100" s="162"/>
      <c r="M100" s="163"/>
      <c r="N100" s="163"/>
    </row>
    <row r="101" spans="1:14" s="41" customFormat="1" ht="12.75">
      <c r="A101" s="166"/>
      <c r="B101" s="164"/>
      <c r="C101" s="164"/>
      <c r="D101" s="164"/>
      <c r="E101" s="164"/>
      <c r="F101" s="164"/>
      <c r="G101" s="164"/>
      <c r="H101" s="164"/>
      <c r="I101" s="164"/>
      <c r="J101" s="164"/>
      <c r="K101" s="165"/>
      <c r="L101" s="162"/>
      <c r="M101" s="163"/>
      <c r="N101" s="163"/>
    </row>
    <row r="102" spans="1:14" s="41" customFormat="1" ht="25.5" customHeight="1">
      <c r="A102" s="165"/>
      <c r="B102" s="164"/>
      <c r="C102" s="164"/>
      <c r="D102" s="164"/>
      <c r="E102" s="164"/>
      <c r="F102" s="164"/>
      <c r="G102" s="164"/>
      <c r="H102" s="164"/>
      <c r="I102" s="164"/>
      <c r="J102" s="164"/>
      <c r="K102" s="165"/>
      <c r="L102" s="162"/>
      <c r="M102" s="163"/>
      <c r="N102" s="163"/>
    </row>
    <row r="103" spans="1:14" s="41" customFormat="1" ht="27" customHeight="1">
      <c r="A103" s="166"/>
      <c r="B103" s="164"/>
      <c r="C103" s="164"/>
      <c r="D103" s="164"/>
      <c r="E103" s="164"/>
      <c r="F103" s="164"/>
      <c r="G103" s="164"/>
      <c r="H103" s="164"/>
      <c r="I103" s="164"/>
      <c r="J103" s="164"/>
      <c r="K103" s="165"/>
      <c r="L103" s="162"/>
      <c r="M103" s="163"/>
      <c r="N103" s="163"/>
    </row>
    <row r="104" spans="1:14" s="41" customFormat="1" ht="26.25" customHeight="1">
      <c r="A104" s="165"/>
      <c r="B104" s="164"/>
      <c r="C104" s="164"/>
      <c r="D104" s="164"/>
      <c r="E104" s="164"/>
      <c r="F104" s="164"/>
      <c r="G104" s="164"/>
      <c r="H104" s="164"/>
      <c r="I104" s="164"/>
      <c r="J104" s="164"/>
      <c r="K104" s="165"/>
      <c r="L104" s="162"/>
      <c r="M104" s="163"/>
      <c r="N104" s="163"/>
    </row>
    <row r="105" spans="1:14" s="41" customFormat="1" ht="12.75">
      <c r="A105" s="165"/>
      <c r="B105" s="177"/>
      <c r="C105" s="177"/>
      <c r="D105" s="177"/>
      <c r="E105" s="177"/>
      <c r="F105" s="177"/>
      <c r="G105" s="177"/>
      <c r="H105" s="177"/>
      <c r="I105" s="177"/>
      <c r="J105" s="177"/>
      <c r="K105" s="166"/>
      <c r="L105" s="186"/>
      <c r="M105" s="163"/>
      <c r="N105" s="163"/>
    </row>
    <row r="106" spans="1:14" s="41" customFormat="1" ht="15">
      <c r="A106" s="168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7"/>
      <c r="M106" s="169"/>
      <c r="N106" s="170"/>
    </row>
    <row r="107" spans="1:14" s="41" customFormat="1" ht="12.75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</row>
    <row r="108" spans="1:14" s="41" customFormat="1" ht="15">
      <c r="A108" s="157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5"/>
    </row>
    <row r="109" spans="1:14" s="41" customFormat="1" ht="12.75">
      <c r="A109" s="183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</row>
    <row r="110" spans="1:14" s="41" customFormat="1" ht="15">
      <c r="A110" s="174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55"/>
    </row>
    <row r="111" spans="1:14" s="41" customFormat="1" ht="15">
      <c r="A111" s="155"/>
      <c r="B111" s="156"/>
      <c r="C111" s="156"/>
      <c r="D111" s="156"/>
      <c r="E111" s="156"/>
      <c r="F111" s="156"/>
      <c r="G111" s="156"/>
      <c r="H111" s="156"/>
      <c r="I111" s="156"/>
      <c r="J111" s="156"/>
      <c r="K111" s="157"/>
      <c r="L111" s="157"/>
      <c r="M111" s="158"/>
      <c r="N111" s="159"/>
    </row>
    <row r="112" spans="1:14" s="41" customFormat="1" ht="15">
      <c r="A112" s="160"/>
      <c r="B112" s="167"/>
      <c r="C112" s="167"/>
      <c r="D112" s="167"/>
      <c r="E112" s="156"/>
      <c r="F112" s="156"/>
      <c r="G112" s="156"/>
      <c r="H112" s="156"/>
      <c r="I112" s="156"/>
      <c r="J112" s="156"/>
      <c r="K112" s="165"/>
      <c r="L112" s="162"/>
      <c r="M112" s="163"/>
      <c r="N112" s="163"/>
    </row>
    <row r="113" spans="1:14" s="41" customFormat="1" ht="15">
      <c r="A113" s="160"/>
      <c r="B113" s="167"/>
      <c r="C113" s="167"/>
      <c r="D113" s="167"/>
      <c r="E113" s="156"/>
      <c r="F113" s="156"/>
      <c r="G113" s="156"/>
      <c r="H113" s="156"/>
      <c r="I113" s="156"/>
      <c r="J113" s="156"/>
      <c r="K113" s="165"/>
      <c r="L113" s="162"/>
      <c r="M113" s="163"/>
      <c r="N113" s="163"/>
    </row>
    <row r="114" spans="1:14" s="41" customFormat="1" ht="15">
      <c r="A114" s="166"/>
      <c r="B114" s="167"/>
      <c r="C114" s="167"/>
      <c r="D114" s="167"/>
      <c r="E114" s="156"/>
      <c r="F114" s="156"/>
      <c r="G114" s="156"/>
      <c r="H114" s="156"/>
      <c r="I114" s="156"/>
      <c r="J114" s="156"/>
      <c r="K114" s="165"/>
      <c r="L114" s="162"/>
      <c r="M114" s="163"/>
      <c r="N114" s="163"/>
    </row>
    <row r="115" spans="1:14" s="41" customFormat="1" ht="12.75">
      <c r="A115" s="160"/>
      <c r="B115" s="164"/>
      <c r="C115" s="164"/>
      <c r="D115" s="164"/>
      <c r="E115" s="164"/>
      <c r="F115" s="164"/>
      <c r="G115" s="164"/>
      <c r="H115" s="164"/>
      <c r="I115" s="164"/>
      <c r="J115" s="164"/>
      <c r="K115" s="165"/>
      <c r="L115" s="187"/>
      <c r="M115" s="163"/>
      <c r="N115" s="163"/>
    </row>
    <row r="116" spans="1:14" s="41" customFormat="1" ht="15">
      <c r="A116" s="168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7"/>
      <c r="M116" s="169"/>
      <c r="N116" s="170"/>
    </row>
    <row r="117" spans="1:14" s="41" customFormat="1" ht="12.75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</row>
    <row r="118" spans="1:14" s="41" customFormat="1" ht="15">
      <c r="A118" s="157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5"/>
    </row>
    <row r="119" spans="1:14" s="41" customFormat="1" ht="12.75">
      <c r="A119" s="183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</row>
    <row r="120" spans="1:14" s="41" customFormat="1" ht="15">
      <c r="A120" s="174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55"/>
    </row>
    <row r="121" spans="1:14" s="41" customFormat="1" ht="15">
      <c r="A121" s="155"/>
      <c r="B121" s="156"/>
      <c r="C121" s="156"/>
      <c r="D121" s="156"/>
      <c r="E121" s="156"/>
      <c r="F121" s="156"/>
      <c r="G121" s="156"/>
      <c r="H121" s="156"/>
      <c r="I121" s="156"/>
      <c r="J121" s="156"/>
      <c r="K121" s="157"/>
      <c r="L121" s="157"/>
      <c r="M121" s="158"/>
      <c r="N121" s="159"/>
    </row>
    <row r="122" spans="1:14" s="41" customFormat="1" ht="15">
      <c r="A122" s="160"/>
      <c r="B122" s="167"/>
      <c r="C122" s="167"/>
      <c r="D122" s="167"/>
      <c r="E122" s="156"/>
      <c r="F122" s="156"/>
      <c r="G122" s="156"/>
      <c r="H122" s="156"/>
      <c r="I122" s="156"/>
      <c r="J122" s="156"/>
      <c r="K122" s="166"/>
      <c r="L122" s="188"/>
      <c r="M122" s="163"/>
      <c r="N122" s="163"/>
    </row>
    <row r="123" spans="1:14" s="41" customFormat="1" ht="15">
      <c r="A123" s="160"/>
      <c r="B123" s="167"/>
      <c r="C123" s="167"/>
      <c r="D123" s="167"/>
      <c r="E123" s="156"/>
      <c r="F123" s="156"/>
      <c r="G123" s="156"/>
      <c r="H123" s="156"/>
      <c r="I123" s="156"/>
      <c r="J123" s="156"/>
      <c r="K123" s="166"/>
      <c r="L123" s="188"/>
      <c r="M123" s="163"/>
      <c r="N123" s="163"/>
    </row>
    <row r="124" spans="1:17" s="41" customFormat="1" ht="24.75" customHeight="1">
      <c r="A124" s="165"/>
      <c r="B124" s="164"/>
      <c r="C124" s="164"/>
      <c r="D124" s="164"/>
      <c r="E124" s="164"/>
      <c r="F124" s="164"/>
      <c r="G124" s="164"/>
      <c r="H124" s="164"/>
      <c r="I124" s="164"/>
      <c r="J124" s="164"/>
      <c r="K124" s="165"/>
      <c r="L124" s="162"/>
      <c r="M124" s="163"/>
      <c r="N124" s="163"/>
      <c r="O124" s="216"/>
      <c r="P124" s="216"/>
      <c r="Q124" s="216"/>
    </row>
    <row r="125" spans="1:14" s="41" customFormat="1" ht="12.75">
      <c r="A125" s="160"/>
      <c r="B125" s="164"/>
      <c r="C125" s="164"/>
      <c r="D125" s="164"/>
      <c r="E125" s="164"/>
      <c r="F125" s="164"/>
      <c r="G125" s="164"/>
      <c r="H125" s="164"/>
      <c r="I125" s="164"/>
      <c r="J125" s="164"/>
      <c r="K125" s="166"/>
      <c r="L125" s="189"/>
      <c r="M125" s="163"/>
      <c r="N125" s="163"/>
    </row>
    <row r="126" spans="1:14" s="41" customFormat="1" ht="15">
      <c r="A126" s="168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7"/>
      <c r="M126" s="169"/>
      <c r="N126" s="170"/>
    </row>
    <row r="127" spans="1:14" s="41" customFormat="1" ht="12.75">
      <c r="A127" s="171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</row>
    <row r="128" spans="1:14" s="41" customFormat="1" ht="12.7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</row>
    <row r="129" spans="1:14" s="41" customFormat="1" ht="15">
      <c r="A129" s="157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5"/>
    </row>
    <row r="130" spans="1:14" s="41" customFormat="1" ht="12.75">
      <c r="A130" s="183"/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</row>
    <row r="131" spans="1:14" s="41" customFormat="1" ht="15">
      <c r="A131" s="174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55"/>
    </row>
    <row r="132" spans="1:14" s="41" customFormat="1" ht="15">
      <c r="A132" s="155"/>
      <c r="B132" s="156"/>
      <c r="C132" s="156"/>
      <c r="D132" s="156"/>
      <c r="E132" s="156"/>
      <c r="F132" s="156"/>
      <c r="G132" s="156"/>
      <c r="H132" s="156"/>
      <c r="I132" s="156"/>
      <c r="J132" s="156"/>
      <c r="K132" s="157"/>
      <c r="L132" s="157"/>
      <c r="M132" s="158"/>
      <c r="N132" s="159"/>
    </row>
    <row r="133" spans="1:14" s="41" customFormat="1" ht="15">
      <c r="A133" s="160"/>
      <c r="B133" s="167"/>
      <c r="C133" s="167"/>
      <c r="D133" s="167"/>
      <c r="E133" s="156"/>
      <c r="F133" s="156"/>
      <c r="G133" s="156"/>
      <c r="H133" s="156"/>
      <c r="I133" s="156"/>
      <c r="J133" s="156"/>
      <c r="K133" s="166"/>
      <c r="L133" s="162"/>
      <c r="M133" s="163"/>
      <c r="N133" s="163"/>
    </row>
    <row r="134" spans="1:14" s="41" customFormat="1" ht="15">
      <c r="A134" s="160"/>
      <c r="B134" s="167"/>
      <c r="C134" s="167"/>
      <c r="D134" s="167"/>
      <c r="E134" s="156"/>
      <c r="F134" s="156"/>
      <c r="G134" s="156"/>
      <c r="H134" s="156"/>
      <c r="I134" s="156"/>
      <c r="J134" s="156"/>
      <c r="K134" s="166"/>
      <c r="L134" s="162"/>
      <c r="M134" s="163"/>
      <c r="N134" s="163"/>
    </row>
    <row r="135" spans="1:14" s="41" customFormat="1" ht="12.75" customHeight="1">
      <c r="A135" s="166"/>
      <c r="B135" s="167"/>
      <c r="C135" s="167"/>
      <c r="D135" s="167"/>
      <c r="E135" s="156"/>
      <c r="F135" s="156"/>
      <c r="G135" s="156"/>
      <c r="H135" s="156"/>
      <c r="I135" s="156"/>
      <c r="J135" s="156"/>
      <c r="K135" s="166"/>
      <c r="L135" s="162"/>
      <c r="M135" s="163"/>
      <c r="N135" s="163"/>
    </row>
    <row r="136" spans="1:14" s="41" customFormat="1" ht="12.75">
      <c r="A136" s="160"/>
      <c r="B136" s="164"/>
      <c r="C136" s="164"/>
      <c r="D136" s="164"/>
      <c r="E136" s="164"/>
      <c r="F136" s="164"/>
      <c r="G136" s="164"/>
      <c r="H136" s="164"/>
      <c r="I136" s="164"/>
      <c r="J136" s="164"/>
      <c r="K136" s="166"/>
      <c r="L136" s="187"/>
      <c r="M136" s="163"/>
      <c r="N136" s="163"/>
    </row>
    <row r="137" spans="1:14" s="41" customFormat="1" ht="15">
      <c r="A137" s="168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7"/>
      <c r="M137" s="169"/>
      <c r="N137" s="170"/>
    </row>
    <row r="138" spans="1:14" s="41" customFormat="1" ht="12.75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</row>
    <row r="139" spans="1:14" s="41" customFormat="1" ht="12.75">
      <c r="A139" s="171"/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</row>
    <row r="140" spans="1:14" s="41" customFormat="1" ht="15">
      <c r="A140" s="157"/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5"/>
    </row>
    <row r="141" spans="1:14" s="41" customFormat="1" ht="12.75">
      <c r="A141" s="183"/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</row>
    <row r="142" spans="1:14" s="41" customFormat="1" ht="15">
      <c r="A142" s="174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55"/>
    </row>
    <row r="143" spans="1:14" s="41" customFormat="1" ht="15">
      <c r="A143" s="155"/>
      <c r="B143" s="156"/>
      <c r="C143" s="156"/>
      <c r="D143" s="156"/>
      <c r="E143" s="156"/>
      <c r="F143" s="156"/>
      <c r="G143" s="156"/>
      <c r="H143" s="156"/>
      <c r="I143" s="156"/>
      <c r="J143" s="156"/>
      <c r="K143" s="157"/>
      <c r="L143" s="157"/>
      <c r="M143" s="158"/>
      <c r="N143" s="159"/>
    </row>
    <row r="144" spans="1:14" s="41" customFormat="1" ht="15">
      <c r="A144" s="160"/>
      <c r="B144" s="167"/>
      <c r="C144" s="167"/>
      <c r="D144" s="167"/>
      <c r="E144" s="156"/>
      <c r="F144" s="156"/>
      <c r="G144" s="156"/>
      <c r="H144" s="156"/>
      <c r="I144" s="156"/>
      <c r="J144" s="156"/>
      <c r="K144" s="166"/>
      <c r="L144" s="162"/>
      <c r="M144" s="163"/>
      <c r="N144" s="163"/>
    </row>
    <row r="145" spans="1:14" s="41" customFormat="1" ht="15">
      <c r="A145" s="160"/>
      <c r="B145" s="167"/>
      <c r="C145" s="167"/>
      <c r="D145" s="167"/>
      <c r="E145" s="156"/>
      <c r="F145" s="156"/>
      <c r="G145" s="156"/>
      <c r="H145" s="156"/>
      <c r="I145" s="156"/>
      <c r="J145" s="156"/>
      <c r="K145" s="166"/>
      <c r="L145" s="162"/>
      <c r="M145" s="163"/>
      <c r="N145" s="163"/>
    </row>
    <row r="146" spans="1:14" s="41" customFormat="1" ht="12.75" customHeight="1">
      <c r="A146" s="166"/>
      <c r="B146" s="167"/>
      <c r="C146" s="167"/>
      <c r="D146" s="167"/>
      <c r="E146" s="156"/>
      <c r="F146" s="156"/>
      <c r="G146" s="156"/>
      <c r="H146" s="156"/>
      <c r="I146" s="156"/>
      <c r="J146" s="156"/>
      <c r="K146" s="166"/>
      <c r="L146" s="162"/>
      <c r="M146" s="163"/>
      <c r="N146" s="163"/>
    </row>
    <row r="147" spans="1:14" s="41" customFormat="1" ht="24.75" customHeight="1">
      <c r="A147" s="160"/>
      <c r="B147" s="164"/>
      <c r="C147" s="164"/>
      <c r="D147" s="164"/>
      <c r="E147" s="164"/>
      <c r="F147" s="164"/>
      <c r="G147" s="164"/>
      <c r="H147" s="164"/>
      <c r="I147" s="164"/>
      <c r="J147" s="164"/>
      <c r="K147" s="166"/>
      <c r="L147" s="187"/>
      <c r="M147" s="163"/>
      <c r="N147" s="163"/>
    </row>
    <row r="148" spans="1:14" s="41" customFormat="1" ht="15">
      <c r="A148" s="168"/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7"/>
      <c r="M148" s="169"/>
      <c r="N148" s="170"/>
    </row>
    <row r="149" spans="1:14" s="41" customFormat="1" ht="12.75">
      <c r="A149" s="171"/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</row>
    <row r="150" spans="1:14" s="41" customFormat="1" ht="12.75">
      <c r="A150" s="171"/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</row>
    <row r="151" spans="1:14" s="41" customFormat="1" ht="15">
      <c r="A151" s="157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5"/>
    </row>
    <row r="152" spans="1:14" s="41" customFormat="1" ht="12.75">
      <c r="A152" s="183"/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</row>
    <row r="153" spans="1:14" s="41" customFormat="1" ht="15">
      <c r="A153" s="174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55"/>
    </row>
    <row r="154" spans="1:14" s="41" customFormat="1" ht="15">
      <c r="A154" s="155"/>
      <c r="B154" s="156"/>
      <c r="C154" s="156"/>
      <c r="D154" s="156"/>
      <c r="E154" s="156"/>
      <c r="F154" s="156"/>
      <c r="G154" s="156"/>
      <c r="H154" s="156"/>
      <c r="I154" s="156"/>
      <c r="J154" s="156"/>
      <c r="K154" s="157"/>
      <c r="L154" s="157"/>
      <c r="M154" s="158"/>
      <c r="N154" s="159"/>
    </row>
    <row r="155" spans="1:14" s="41" customFormat="1" ht="15">
      <c r="A155" s="160"/>
      <c r="B155" s="167"/>
      <c r="C155" s="167"/>
      <c r="D155" s="167"/>
      <c r="E155" s="156"/>
      <c r="F155" s="156"/>
      <c r="G155" s="156"/>
      <c r="H155" s="156"/>
      <c r="I155" s="156"/>
      <c r="J155" s="156"/>
      <c r="K155" s="166"/>
      <c r="L155" s="162"/>
      <c r="M155" s="163"/>
      <c r="N155" s="163"/>
    </row>
    <row r="156" spans="1:14" s="41" customFormat="1" ht="15">
      <c r="A156" s="160"/>
      <c r="B156" s="167"/>
      <c r="C156" s="167"/>
      <c r="D156" s="167"/>
      <c r="E156" s="156"/>
      <c r="F156" s="156"/>
      <c r="G156" s="156"/>
      <c r="H156" s="156"/>
      <c r="I156" s="156"/>
      <c r="J156" s="156"/>
      <c r="K156" s="166"/>
      <c r="L156" s="162"/>
      <c r="M156" s="163"/>
      <c r="N156" s="163"/>
    </row>
    <row r="157" spans="1:14" s="41" customFormat="1" ht="27" customHeight="1">
      <c r="A157" s="165"/>
      <c r="B157" s="164"/>
      <c r="C157" s="164"/>
      <c r="D157" s="164"/>
      <c r="E157" s="164"/>
      <c r="F157" s="164"/>
      <c r="G157" s="164"/>
      <c r="H157" s="164"/>
      <c r="I157" s="164"/>
      <c r="J157" s="164"/>
      <c r="K157" s="165"/>
      <c r="L157" s="162"/>
      <c r="M157" s="163"/>
      <c r="N157" s="163"/>
    </row>
    <row r="158" spans="1:14" s="41" customFormat="1" ht="38.25" customHeight="1">
      <c r="A158" s="165"/>
      <c r="B158" s="177"/>
      <c r="C158" s="177"/>
      <c r="D158" s="177"/>
      <c r="E158" s="177"/>
      <c r="F158" s="177"/>
      <c r="G158" s="177"/>
      <c r="H158" s="177"/>
      <c r="I158" s="177"/>
      <c r="J158" s="177"/>
      <c r="K158" s="166"/>
      <c r="L158" s="178"/>
      <c r="M158" s="163"/>
      <c r="N158" s="163"/>
    </row>
    <row r="159" spans="1:14" s="41" customFormat="1" ht="15">
      <c r="A159" s="168"/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7"/>
      <c r="M159" s="169"/>
      <c r="N159" s="170"/>
    </row>
    <row r="160" s="41" customFormat="1" ht="12.75"/>
    <row r="161" s="41" customFormat="1" ht="12.75"/>
    <row r="162" s="41" customFormat="1" ht="12.75"/>
    <row r="163" s="41" customFormat="1" ht="12.75"/>
    <row r="164" s="41" customFormat="1" ht="12.75"/>
    <row r="217" ht="23.25" customHeight="1"/>
    <row r="218" ht="21.75" customHeight="1"/>
    <row r="219" ht="25.5" customHeight="1"/>
    <row r="231" ht="28.5" customHeight="1"/>
    <row r="232" ht="24.75" customHeight="1"/>
  </sheetData>
  <mergeCells count="20">
    <mergeCell ref="A2:B2"/>
    <mergeCell ref="A3:B3"/>
    <mergeCell ref="C2:M2"/>
    <mergeCell ref="A1:M1"/>
    <mergeCell ref="J3:M3"/>
    <mergeCell ref="C3:G3"/>
    <mergeCell ref="A4:B4"/>
    <mergeCell ref="A5:B5"/>
    <mergeCell ref="A6:B6"/>
    <mergeCell ref="A7:B9"/>
    <mergeCell ref="A20:A21"/>
    <mergeCell ref="A11:M11"/>
    <mergeCell ref="C4:M4"/>
    <mergeCell ref="C5:M5"/>
    <mergeCell ref="C6:G6"/>
    <mergeCell ref="H8:I9"/>
    <mergeCell ref="H6:I7"/>
    <mergeCell ref="J8:M9"/>
    <mergeCell ref="J6:M7"/>
    <mergeCell ref="C7:G9"/>
  </mergeCells>
  <printOptions/>
  <pageMargins left="0.7" right="0.7" top="0.75" bottom="0.75" header="0.3" footer="0.3"/>
  <pageSetup fitToHeight="0" fitToWidth="1" horizontalDpi="600" verticalDpi="600" orientation="portrait" paperSize="9" scale="60" r:id="rId2"/>
  <rowBreaks count="2" manualBreakCount="2">
    <brk id="51" max="16383" man="1"/>
    <brk id="115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6"/>
  <sheetViews>
    <sheetView view="pageBreakPreview" zoomScaleSheetLayoutView="100" workbookViewId="0" topLeftCell="A16">
      <selection activeCell="B19" sqref="B18:K19"/>
    </sheetView>
  </sheetViews>
  <sheetFormatPr defaultColWidth="9.140625" defaultRowHeight="12.75"/>
  <cols>
    <col min="1" max="1" width="20.57421875" style="8" customWidth="1"/>
    <col min="2" max="2" width="15.28125" style="8" customWidth="1"/>
    <col min="3" max="3" width="17.421875" style="8" customWidth="1"/>
    <col min="4" max="8" width="9.140625" style="8" customWidth="1"/>
    <col min="9" max="9" width="8.00390625" style="8" customWidth="1"/>
  </cols>
  <sheetData>
    <row r="1" spans="1:11" s="5" customFormat="1" ht="87" customHeight="1">
      <c r="A1" s="1124" t="s">
        <v>176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</row>
    <row r="2" spans="1:11" s="54" customFormat="1" ht="15">
      <c r="A2" s="131" t="s">
        <v>171</v>
      </c>
      <c r="B2" s="1125" t="str">
        <f>'ORÇAMENTO NÃO DESONERADO'!B2</f>
        <v>863064/2017</v>
      </c>
      <c r="C2" s="1125"/>
      <c r="D2" s="1125"/>
      <c r="E2" s="1125"/>
      <c r="F2" s="1125"/>
      <c r="G2" s="1125"/>
      <c r="H2" s="1125"/>
      <c r="I2" s="1125"/>
      <c r="J2" s="1125"/>
      <c r="K2" s="1125"/>
    </row>
    <row r="3" spans="1:11" s="54" customFormat="1" ht="15">
      <c r="A3" s="120" t="s">
        <v>60</v>
      </c>
      <c r="B3" s="1126" t="str">
        <f>'ORÇAMENTO NÃO DESONERADO'!B3</f>
        <v>PREFEITURA MUNICIPAL DE OURÉM</v>
      </c>
      <c r="C3" s="1126"/>
      <c r="D3" s="1126"/>
      <c r="E3" s="1126"/>
      <c r="F3" s="120" t="s">
        <v>116</v>
      </c>
      <c r="G3" s="120"/>
      <c r="H3" s="1128" t="s">
        <v>300</v>
      </c>
      <c r="I3" s="1128"/>
      <c r="J3" s="1128"/>
      <c r="K3" s="1128"/>
    </row>
    <row r="4" spans="1:11" s="54" customFormat="1" ht="29.25" customHeight="1">
      <c r="A4" s="120" t="s">
        <v>61</v>
      </c>
      <c r="B4" s="1127" t="str">
        <f>'ORÇAMENTO NÃO DESONERADO'!B4</f>
        <v>CONSTRUÇÃO DE TERMINAL RODOVIÁRIO ETAPA-01</v>
      </c>
      <c r="C4" s="1127"/>
      <c r="D4" s="1127"/>
      <c r="E4" s="1127"/>
      <c r="F4" s="1127"/>
      <c r="G4" s="1127"/>
      <c r="H4" s="1127"/>
      <c r="I4" s="1127"/>
      <c r="J4" s="1127"/>
      <c r="K4" s="1127"/>
    </row>
    <row r="5" spans="1:11" s="54" customFormat="1" ht="15" customHeight="1">
      <c r="A5" s="121" t="s">
        <v>62</v>
      </c>
      <c r="B5" s="1126" t="str">
        <f>'ORÇAMENTO NÃO DESONERADO'!B5</f>
        <v>RUA JOAQUIM DIONISIO COM RUA PERSEVERANDO S/N. PRAÇA DO TERMINAL OURÉM/PA</v>
      </c>
      <c r="C5" s="1126"/>
      <c r="D5" s="1126"/>
      <c r="E5" s="1126"/>
      <c r="F5" s="1126"/>
      <c r="G5" s="1126"/>
      <c r="H5" s="1126"/>
      <c r="I5" s="1126"/>
      <c r="J5" s="1126"/>
      <c r="K5" s="1126"/>
    </row>
    <row r="6" spans="1:11" s="54" customFormat="1" ht="41.25" customHeight="1">
      <c r="A6" s="784" t="s">
        <v>67</v>
      </c>
      <c r="B6" s="925">
        <f>'BDI NÃO DESONERADO'!I27</f>
        <v>0.2212455334054051</v>
      </c>
      <c r="C6" s="925"/>
      <c r="D6" s="925"/>
      <c r="E6" s="925"/>
      <c r="F6" s="1134" t="s">
        <v>39</v>
      </c>
      <c r="G6" s="1134"/>
      <c r="H6" s="1132" t="str">
        <f>'ORÇAMENTO NÃO DESONERADO'!F7</f>
        <v>SINAPI ABRIL 2018 - NÃO DESONERADA</v>
      </c>
      <c r="I6" s="1132"/>
      <c r="J6" s="1132"/>
      <c r="K6" s="1132"/>
    </row>
    <row r="7" spans="1:11" s="54" customFormat="1" ht="15" customHeight="1">
      <c r="A7" s="920" t="s">
        <v>117</v>
      </c>
      <c r="B7" s="1133" t="str">
        <f>'ORÇAMENTO NÃO DESONERADO'!B7</f>
        <v xml:space="preserve"> MARUZA BAPTISTA </v>
      </c>
      <c r="C7" s="1133"/>
      <c r="D7" s="1133"/>
      <c r="E7" s="1133"/>
      <c r="F7" s="1135" t="s">
        <v>119</v>
      </c>
      <c r="G7" s="1135"/>
      <c r="H7" s="1131" t="s">
        <v>120</v>
      </c>
      <c r="I7" s="1131"/>
      <c r="J7" s="1131"/>
      <c r="K7" s="1131"/>
    </row>
    <row r="8" spans="1:11" s="54" customFormat="1" ht="15" customHeight="1">
      <c r="A8" s="920"/>
      <c r="B8" s="1133"/>
      <c r="C8" s="1133"/>
      <c r="D8" s="1133"/>
      <c r="E8" s="1133"/>
      <c r="F8" s="1135"/>
      <c r="G8" s="1135"/>
      <c r="H8" s="1131"/>
      <c r="I8" s="1131"/>
      <c r="J8" s="1131"/>
      <c r="K8" s="1131"/>
    </row>
    <row r="9" spans="1:11" s="133" customFormat="1" ht="15" customHeight="1">
      <c r="A9" s="122"/>
      <c r="B9" s="122"/>
      <c r="C9" s="123"/>
      <c r="D9" s="123"/>
      <c r="E9" s="123"/>
      <c r="F9" s="123"/>
      <c r="G9" s="123"/>
      <c r="H9" s="125"/>
      <c r="I9" s="125"/>
      <c r="J9" s="125"/>
      <c r="K9" s="125"/>
    </row>
    <row r="10" spans="1:11" s="41" customFormat="1" ht="15" customHeight="1">
      <c r="A10" s="1120" t="str">
        <f>'ORÇAMENTO NÃO DESONERADO'!C16</f>
        <v xml:space="preserve">SERVIÇOS PRELIMINARES </v>
      </c>
      <c r="B10" s="1121"/>
      <c r="C10" s="1121"/>
      <c r="D10" s="1121"/>
      <c r="E10" s="1121"/>
      <c r="F10" s="1121"/>
      <c r="G10" s="1121"/>
      <c r="H10" s="1121"/>
      <c r="I10" s="1121"/>
      <c r="J10" s="1121"/>
      <c r="K10" s="1121"/>
    </row>
    <row r="11" spans="1:11" s="41" customFormat="1" ht="15">
      <c r="A11" s="21"/>
      <c r="B11" s="517"/>
      <c r="C11" s="47"/>
      <c r="D11" s="47"/>
      <c r="E11" s="47"/>
      <c r="F11" s="516"/>
      <c r="G11" s="516"/>
      <c r="H11" s="516"/>
      <c r="I11" s="516"/>
      <c r="J11" s="516"/>
      <c r="K11" s="516"/>
    </row>
    <row r="12" spans="1:10" s="41" customFormat="1" ht="15">
      <c r="A12" s="239" t="str">
        <f>'ORÇAMENTO NÃO DESONERADO'!A17</f>
        <v>2.1</v>
      </c>
      <c r="B12" s="52" t="str">
        <f>'ORÇAMENTO NÃO DESONERADO'!C17</f>
        <v>PLACA DE OBRA EM CHAPA DE ACO GALVANIZADO</v>
      </c>
      <c r="C12" s="50"/>
      <c r="D12" s="50"/>
      <c r="E12" s="50"/>
      <c r="F12" s="50"/>
      <c r="G12" s="50"/>
      <c r="H12" s="50"/>
      <c r="I12" s="50"/>
      <c r="J12" s="393"/>
    </row>
    <row r="13" spans="1:10" s="41" customFormat="1" ht="15">
      <c r="A13" s="51"/>
      <c r="B13" s="48"/>
      <c r="C13" s="48"/>
      <c r="D13" s="48"/>
      <c r="E13" s="48"/>
      <c r="F13" s="48"/>
      <c r="G13" s="48"/>
      <c r="H13" s="48"/>
      <c r="I13" s="48"/>
      <c r="J13" s="393"/>
    </row>
    <row r="14" spans="1:10" s="41" customFormat="1" ht="15">
      <c r="A14" s="51"/>
      <c r="B14" s="48"/>
      <c r="C14" s="48" t="s">
        <v>37</v>
      </c>
      <c r="D14" s="48"/>
      <c r="E14" s="48" t="s">
        <v>74</v>
      </c>
      <c r="F14" s="48"/>
      <c r="G14" s="48"/>
      <c r="H14" s="48"/>
      <c r="I14" s="48"/>
      <c r="J14" s="393"/>
    </row>
    <row r="15" spans="1:10" s="41" customFormat="1" ht="13.5" customHeight="1">
      <c r="A15" s="51"/>
      <c r="B15" s="48" t="s">
        <v>28</v>
      </c>
      <c r="C15" s="48">
        <v>2</v>
      </c>
      <c r="D15" s="48" t="s">
        <v>29</v>
      </c>
      <c r="E15" s="48">
        <v>3</v>
      </c>
      <c r="F15" s="48"/>
      <c r="G15" s="48"/>
      <c r="H15" s="48"/>
      <c r="I15" s="48"/>
      <c r="J15" s="393"/>
    </row>
    <row r="16" spans="1:10" s="41" customFormat="1" ht="13.5" customHeight="1">
      <c r="A16" s="51"/>
      <c r="B16" s="48"/>
      <c r="C16" s="48"/>
      <c r="D16" s="48"/>
      <c r="E16" s="48"/>
      <c r="F16" s="48"/>
      <c r="G16" s="48"/>
      <c r="H16" s="48"/>
      <c r="I16" s="48"/>
      <c r="J16" s="393"/>
    </row>
    <row r="17" spans="1:10" s="41" customFormat="1" ht="15">
      <c r="A17" s="51"/>
      <c r="B17" s="25" t="s">
        <v>28</v>
      </c>
      <c r="C17" s="26">
        <f>ROUND((C15*E15),2)</f>
        <v>6</v>
      </c>
      <c r="D17" s="27" t="s">
        <v>3</v>
      </c>
      <c r="E17" s="48"/>
      <c r="F17" s="48"/>
      <c r="G17" s="48"/>
      <c r="H17" s="48"/>
      <c r="I17" s="48"/>
      <c r="J17" s="393"/>
    </row>
    <row r="18" spans="1:10" s="41" customFormat="1" ht="15">
      <c r="A18" s="51"/>
      <c r="B18" s="48"/>
      <c r="C18" s="48"/>
      <c r="D18" s="48"/>
      <c r="E18" s="48"/>
      <c r="F18" s="48"/>
      <c r="G18" s="48"/>
      <c r="H18" s="48"/>
      <c r="I18" s="48"/>
      <c r="J18" s="393"/>
    </row>
    <row r="19" spans="1:11" s="41" customFormat="1" ht="32.25" customHeight="1">
      <c r="A19" s="213" t="str">
        <f>'ORÇAMENTO NÃO DESONERADO'!A18</f>
        <v>2.2</v>
      </c>
      <c r="B19" s="1137" t="str">
        <f>'ORÇAMENTO NÃO DESONERADO'!C18</f>
        <v>LOCACAO CONVENCIONAL DE OBRA, ATRAVÉS DE GABARITO DE TABUAS CORRIDAS PONTALETADAS A CADA 1,50M, SEM REAPROVEITAMENTO</v>
      </c>
      <c r="C19" s="1137"/>
      <c r="D19" s="1137"/>
      <c r="E19" s="1137"/>
      <c r="F19" s="1137"/>
      <c r="G19" s="1137"/>
      <c r="H19" s="1137"/>
      <c r="I19" s="1137"/>
      <c r="J19" s="1137"/>
      <c r="K19" s="1137"/>
    </row>
    <row r="20" spans="1:10" s="41" customFormat="1" ht="15">
      <c r="A20" s="578" t="s">
        <v>202</v>
      </c>
      <c r="B20" s="41" t="s">
        <v>32</v>
      </c>
      <c r="C20" s="393"/>
      <c r="D20" s="565" t="s">
        <v>36</v>
      </c>
      <c r="E20" s="323"/>
      <c r="F20" s="28"/>
      <c r="G20" s="28"/>
      <c r="H20" s="28"/>
      <c r="I20" s="35"/>
      <c r="J20" s="393"/>
    </row>
    <row r="21" spans="1:10" s="41" customFormat="1" ht="15">
      <c r="A21" s="49" t="s">
        <v>304</v>
      </c>
      <c r="B21" s="566">
        <v>19</v>
      </c>
      <c r="C21" s="373" t="s">
        <v>29</v>
      </c>
      <c r="D21" s="373">
        <v>14.3</v>
      </c>
      <c r="E21" s="373" t="s">
        <v>30</v>
      </c>
      <c r="F21" s="28">
        <f>B21*D21</f>
        <v>271.7</v>
      </c>
      <c r="G21" s="28" t="s">
        <v>3</v>
      </c>
      <c r="H21" s="28"/>
      <c r="I21" s="35"/>
      <c r="J21" s="393"/>
    </row>
    <row r="22" spans="1:10" s="41" customFormat="1" ht="15">
      <c r="A22" s="51"/>
      <c r="B22" s="46"/>
      <c r="C22" s="323"/>
      <c r="D22" s="323"/>
      <c r="E22" s="323"/>
      <c r="F22" s="28"/>
      <c r="G22" s="28"/>
      <c r="H22" s="28"/>
      <c r="I22" s="35"/>
      <c r="J22" s="393"/>
    </row>
    <row r="23" spans="1:10" s="41" customFormat="1" ht="15">
      <c r="A23" s="51"/>
      <c r="B23" s="1136" t="s">
        <v>182</v>
      </c>
      <c r="C23" s="1136"/>
      <c r="D23" s="1136"/>
      <c r="E23" s="323"/>
      <c r="F23" s="28"/>
      <c r="G23" s="28"/>
      <c r="H23" s="28"/>
      <c r="I23" s="35"/>
      <c r="J23" s="393"/>
    </row>
    <row r="24" spans="1:10" s="41" customFormat="1" ht="15">
      <c r="A24" s="51"/>
      <c r="B24" s="25" t="s">
        <v>28</v>
      </c>
      <c r="C24" s="26">
        <f>SUM(F21:F21)</f>
        <v>271.7</v>
      </c>
      <c r="D24" s="27" t="s">
        <v>3</v>
      </c>
      <c r="E24" s="48"/>
      <c r="F24" s="28"/>
      <c r="G24" s="28"/>
      <c r="H24" s="28"/>
      <c r="I24" s="35"/>
      <c r="J24" s="393"/>
    </row>
    <row r="25" spans="1:10" s="41" customFormat="1" ht="15">
      <c r="A25" s="51"/>
      <c r="B25" s="48"/>
      <c r="C25" s="48"/>
      <c r="D25" s="48"/>
      <c r="E25" s="48"/>
      <c r="F25" s="35"/>
      <c r="G25" s="35"/>
      <c r="H25" s="35"/>
      <c r="I25" s="35"/>
      <c r="J25" s="393"/>
    </row>
    <row r="26" spans="1:10" s="41" customFormat="1" ht="30.75" customHeight="1">
      <c r="A26" s="213" t="str">
        <f>'ORÇAMENTO NÃO DESONERADO'!A19</f>
        <v>2.3</v>
      </c>
      <c r="B26" s="1130" t="str">
        <f>'ORÇAMENTO NÃO DESONERADO'!C19</f>
        <v>EXECUÇÃO DE ALMOXARIFADO EM CANTEIRO DE OBRA EM CHAPA DE MADEIRA COMPENSADA, INCLUSO PRATELEIRAS. AF_02/2016</v>
      </c>
      <c r="C26" s="1130"/>
      <c r="D26" s="1130"/>
      <c r="E26" s="1130"/>
      <c r="F26" s="1130"/>
      <c r="G26" s="1130"/>
      <c r="H26" s="1130"/>
      <c r="I26" s="1130"/>
      <c r="J26" s="393"/>
    </row>
    <row r="27" spans="1:10" s="41" customFormat="1" ht="15">
      <c r="A27" s="51"/>
      <c r="B27" s="48"/>
      <c r="C27" s="48" t="s">
        <v>36</v>
      </c>
      <c r="D27" s="48"/>
      <c r="E27" s="48" t="s">
        <v>32</v>
      </c>
      <c r="F27" s="48"/>
      <c r="G27" s="48"/>
      <c r="H27" s="48"/>
      <c r="I27" s="48"/>
      <c r="J27" s="393"/>
    </row>
    <row r="28" spans="1:10" s="41" customFormat="1" ht="15">
      <c r="A28" s="51"/>
      <c r="B28" s="48" t="s">
        <v>28</v>
      </c>
      <c r="C28" s="48">
        <v>3</v>
      </c>
      <c r="D28" s="48" t="s">
        <v>29</v>
      </c>
      <c r="E28" s="48">
        <v>4</v>
      </c>
      <c r="F28" s="48"/>
      <c r="G28" s="48"/>
      <c r="H28" s="1129"/>
      <c r="I28" s="1129"/>
      <c r="J28" s="393"/>
    </row>
    <row r="29" spans="1:10" s="41" customFormat="1" ht="15">
      <c r="A29" s="51"/>
      <c r="B29" s="48"/>
      <c r="C29" s="48"/>
      <c r="D29" s="48"/>
      <c r="E29" s="48"/>
      <c r="F29" s="48"/>
      <c r="G29" s="48"/>
      <c r="H29" s="48"/>
      <c r="I29" s="48"/>
      <c r="J29" s="393"/>
    </row>
    <row r="30" spans="1:10" s="41" customFormat="1" ht="15">
      <c r="A30" s="51"/>
      <c r="B30" s="25" t="s">
        <v>28</v>
      </c>
      <c r="C30" s="39">
        <f>ROUND((C28*E28),2)</f>
        <v>12</v>
      </c>
      <c r="D30" s="40" t="s">
        <v>3</v>
      </c>
      <c r="E30" s="48"/>
      <c r="F30" s="48"/>
      <c r="G30" s="48"/>
      <c r="H30" s="29"/>
      <c r="I30" s="29"/>
      <c r="J30" s="393"/>
    </row>
    <row r="31" spans="1:10" s="41" customFormat="1" ht="15">
      <c r="A31" s="51"/>
      <c r="B31" s="28"/>
      <c r="C31" s="28"/>
      <c r="D31" s="28"/>
      <c r="E31" s="48"/>
      <c r="F31" s="48"/>
      <c r="G31" s="48"/>
      <c r="H31" s="48"/>
      <c r="I31" s="48"/>
      <c r="J31" s="393"/>
    </row>
    <row r="32" spans="1:10" s="41" customFormat="1" ht="15">
      <c r="A32" s="51"/>
      <c r="B32" s="28"/>
      <c r="C32" s="28"/>
      <c r="D32" s="28"/>
      <c r="E32" s="48"/>
      <c r="F32" s="48"/>
      <c r="G32" s="48"/>
      <c r="H32" s="48"/>
      <c r="I32" s="48"/>
      <c r="J32" s="393"/>
    </row>
    <row r="33" spans="1:10" s="41" customFormat="1" ht="15">
      <c r="A33" s="51"/>
      <c r="B33" s="28"/>
      <c r="C33" s="28"/>
      <c r="D33" s="28"/>
      <c r="E33" s="48"/>
      <c r="F33" s="48"/>
      <c r="G33" s="48"/>
      <c r="H33" s="48"/>
      <c r="I33" s="48"/>
      <c r="J33" s="393"/>
    </row>
    <row r="34" spans="1:11" s="41" customFormat="1" ht="15">
      <c r="A34" s="51"/>
      <c r="B34" s="28"/>
      <c r="C34" s="28"/>
      <c r="D34" s="28"/>
      <c r="E34" s="48"/>
      <c r="F34" s="48"/>
      <c r="G34" s="48"/>
      <c r="H34" s="48"/>
      <c r="I34" s="48"/>
      <c r="J34" s="48"/>
      <c r="K34" s="24"/>
    </row>
    <row r="35" spans="1:11" s="41" customFormat="1" ht="15">
      <c r="A35" s="52"/>
      <c r="B35" s="28"/>
      <c r="C35" s="28"/>
      <c r="D35" s="28"/>
      <c r="E35" s="48"/>
      <c r="F35" s="48"/>
      <c r="G35" s="48"/>
      <c r="H35" s="48"/>
      <c r="I35" s="48"/>
      <c r="J35" s="48"/>
      <c r="K35" s="24"/>
    </row>
    <row r="36" spans="1:10" s="41" customFormat="1" ht="15">
      <c r="A36" s="1048"/>
      <c r="B36" s="1048"/>
      <c r="C36" s="1048"/>
      <c r="D36" s="1048"/>
      <c r="E36" s="1048"/>
      <c r="F36" s="1048"/>
      <c r="G36" s="1048"/>
      <c r="H36" s="1048"/>
      <c r="I36" s="1048"/>
      <c r="J36" s="154"/>
    </row>
    <row r="37" spans="1:10" s="41" customFormat="1" ht="15">
      <c r="A37" s="1048"/>
      <c r="B37" s="1048"/>
      <c r="C37" s="1048"/>
      <c r="D37" s="1048"/>
      <c r="E37" s="1048"/>
      <c r="F37" s="1048"/>
      <c r="G37" s="1048"/>
      <c r="H37" s="1048"/>
      <c r="I37" s="1048"/>
      <c r="J37" s="154"/>
    </row>
    <row r="38" spans="1:10" s="41" customFormat="1" ht="15">
      <c r="A38" s="210"/>
      <c r="B38" s="210"/>
      <c r="C38" s="212"/>
      <c r="D38" s="212"/>
      <c r="E38" s="212"/>
      <c r="F38" s="212"/>
      <c r="G38" s="35"/>
      <c r="H38" s="35"/>
      <c r="I38" s="48"/>
      <c r="J38" s="197"/>
    </row>
    <row r="39" spans="1:10" s="41" customFormat="1" ht="15">
      <c r="A39" s="210"/>
      <c r="B39" s="28"/>
      <c r="C39" s="28"/>
      <c r="D39" s="28"/>
      <c r="E39" s="212"/>
      <c r="F39" s="212"/>
      <c r="G39" s="35"/>
      <c r="H39" s="35"/>
      <c r="I39" s="48"/>
      <c r="J39" s="197"/>
    </row>
    <row r="40" spans="1:9" s="41" customFormat="1" ht="52.5" customHeight="1">
      <c r="A40" s="24"/>
      <c r="B40" s="24"/>
      <c r="C40" s="24"/>
      <c r="D40" s="24"/>
      <c r="E40" s="24"/>
      <c r="F40" s="24"/>
      <c r="G40" s="24"/>
      <c r="H40" s="24"/>
      <c r="I40" s="24"/>
    </row>
    <row r="41" s="41" customFormat="1" ht="14.25"/>
    <row r="42" s="41" customFormat="1" ht="14.25"/>
    <row r="43" s="41" customFormat="1" ht="14.25"/>
    <row r="44" s="41" customFormat="1" ht="14.25"/>
    <row r="45" s="41" customFormat="1" ht="14.25"/>
    <row r="46" s="41" customFormat="1" ht="14.25"/>
    <row r="47" s="41" customFormat="1" ht="14.25"/>
    <row r="48" s="41" customFormat="1" ht="14.25"/>
    <row r="49" spans="16:17" s="41" customFormat="1" ht="14.25">
      <c r="P49" s="197"/>
      <c r="Q49" s="197"/>
    </row>
    <row r="50" s="41" customFormat="1" ht="14.25"/>
    <row r="51" s="41" customFormat="1" ht="14.25"/>
    <row r="52" s="41" customFormat="1" ht="14.25"/>
    <row r="53" s="41" customFormat="1" ht="14.25"/>
    <row r="54" s="41" customFormat="1" ht="14.25"/>
    <row r="55" s="41" customFormat="1" ht="14.25"/>
    <row r="56" s="41" customFormat="1" ht="14.25"/>
    <row r="57" s="41" customFormat="1" ht="14.25"/>
    <row r="58" s="41" customFormat="1" ht="14.25"/>
    <row r="59" s="41" customFormat="1" ht="14.25"/>
    <row r="60" s="41" customFormat="1" ht="14.25"/>
    <row r="61" s="41" customFormat="1" ht="14.25"/>
    <row r="62" s="41" customFormat="1" ht="14.25"/>
    <row r="63" s="41" customFormat="1" ht="14.25"/>
    <row r="64" s="41" customFormat="1" ht="14.25"/>
    <row r="65" s="41" customFormat="1" ht="14.25"/>
    <row r="66" s="41" customFormat="1" ht="14.25"/>
    <row r="67" s="41" customFormat="1" ht="14.25"/>
    <row r="68" s="41" customFormat="1" ht="14.25"/>
    <row r="69" s="41" customFormat="1" ht="14.25"/>
    <row r="70" s="41" customFormat="1" ht="14.25"/>
    <row r="71" s="41" customFormat="1" ht="14.25"/>
    <row r="72" s="41" customFormat="1" ht="14.25"/>
    <row r="73" s="41" customFormat="1" ht="14.25"/>
    <row r="74" s="41" customFormat="1" ht="14.25"/>
    <row r="75" s="41" customFormat="1" ht="14.25"/>
    <row r="76" s="41" customFormat="1" ht="14.25"/>
    <row r="77" s="41" customFormat="1" ht="14.25"/>
    <row r="78" s="41" customFormat="1" ht="14.25"/>
    <row r="79" s="41" customFormat="1" ht="14.25"/>
    <row r="80" s="41" customFormat="1" ht="14.25"/>
    <row r="81" s="41" customFormat="1" ht="14.25"/>
    <row r="82" s="41" customFormat="1" ht="14.25"/>
    <row r="83" s="41" customFormat="1" ht="14.25"/>
    <row r="84" s="41" customFormat="1" ht="14.25"/>
    <row r="85" s="41" customFormat="1" ht="14.25"/>
    <row r="86" s="41" customFormat="1" ht="14.25"/>
    <row r="87" s="41" customFormat="1" ht="14.25"/>
    <row r="88" s="41" customFormat="1" ht="14.25"/>
    <row r="89" s="41" customFormat="1" ht="14.25"/>
    <row r="90" s="41" customFormat="1" ht="14.25"/>
    <row r="91" s="41" customFormat="1" ht="14.25"/>
    <row r="92" s="41" customFormat="1" ht="14.25"/>
    <row r="93" spans="1:11" ht="12.75">
      <c r="A93" s="9"/>
      <c r="B93" s="10"/>
      <c r="C93" s="10"/>
      <c r="D93" s="10"/>
      <c r="E93" s="10"/>
      <c r="F93" s="10"/>
      <c r="G93" s="10"/>
      <c r="H93" s="10"/>
      <c r="I93" s="10"/>
      <c r="J93" s="1"/>
      <c r="K93" s="1"/>
    </row>
    <row r="94" spans="1:11" ht="12.75">
      <c r="A94" s="9"/>
      <c r="B94" s="10"/>
      <c r="C94" s="10"/>
      <c r="D94" s="10"/>
      <c r="E94" s="10"/>
      <c r="F94" s="10"/>
      <c r="G94" s="10"/>
      <c r="H94" s="10"/>
      <c r="I94" s="10"/>
      <c r="J94" s="1"/>
      <c r="K94" s="1"/>
    </row>
    <row r="95" spans="1:11" ht="12.75">
      <c r="A95" s="9"/>
      <c r="B95" s="10"/>
      <c r="C95" s="10"/>
      <c r="D95" s="10"/>
      <c r="E95" s="10"/>
      <c r="F95" s="10"/>
      <c r="G95" s="10"/>
      <c r="H95" s="10"/>
      <c r="I95" s="10"/>
      <c r="J95" s="1"/>
      <c r="K95" s="1"/>
    </row>
    <row r="96" spans="1:11" ht="12.75">
      <c r="A96" s="9"/>
      <c r="B96" s="10"/>
      <c r="C96" s="10"/>
      <c r="D96" s="10"/>
      <c r="E96" s="10"/>
      <c r="F96" s="10"/>
      <c r="G96" s="10"/>
      <c r="H96" s="10"/>
      <c r="I96" s="10"/>
      <c r="J96" s="1"/>
      <c r="K96" s="1"/>
    </row>
  </sheetData>
  <mergeCells count="20">
    <mergeCell ref="A37:I37"/>
    <mergeCell ref="H28:I28"/>
    <mergeCell ref="B26:I26"/>
    <mergeCell ref="H7:K8"/>
    <mergeCell ref="H6:K6"/>
    <mergeCell ref="A10:K10"/>
    <mergeCell ref="A36:I36"/>
    <mergeCell ref="B6:E6"/>
    <mergeCell ref="B7:E8"/>
    <mergeCell ref="A7:A8"/>
    <mergeCell ref="F6:G6"/>
    <mergeCell ref="F7:G8"/>
    <mergeCell ref="B23:D23"/>
    <mergeCell ref="B19:K19"/>
    <mergeCell ref="A1:K1"/>
    <mergeCell ref="B2:K2"/>
    <mergeCell ref="B3:E3"/>
    <mergeCell ref="B4:K4"/>
    <mergeCell ref="B5:K5"/>
    <mergeCell ref="H3:K3"/>
  </mergeCells>
  <conditionalFormatting sqref="A36">
    <cfRule type="expression" priority="946" dxfId="3">
      <formula>AND(#REF!="",#REF!="",$C36=2)</formula>
    </cfRule>
    <cfRule type="expression" priority="947" dxfId="2">
      <formula>AND(#REF!="",#REF!="",$C36=5)</formula>
    </cfRule>
    <cfRule type="expression" priority="948" dxfId="1">
      <formula>AND(#REF!="",#REF!="",$C36=8)</formula>
    </cfRule>
    <cfRule type="expression" priority="949" dxfId="0">
      <formula>AND(#REF!="",#REF!="",$C36=11)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SheetLayoutView="100" workbookViewId="0" topLeftCell="A16">
      <selection activeCell="K20" sqref="K19:K20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21.140625" style="0" customWidth="1"/>
    <col min="4" max="4" width="11.00390625" style="0" customWidth="1"/>
    <col min="5" max="5" width="9.8515625" style="0" customWidth="1"/>
    <col min="7" max="7" width="11.8515625" style="0" customWidth="1"/>
  </cols>
  <sheetData>
    <row r="1" spans="1:11" s="5" customFormat="1" ht="87" customHeight="1">
      <c r="A1" s="1124" t="s">
        <v>176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</row>
    <row r="2" spans="1:11" s="5" customFormat="1" ht="15">
      <c r="A2" s="1141" t="s">
        <v>171</v>
      </c>
      <c r="B2" s="1141"/>
      <c r="C2" s="1125" t="str">
        <f>'ORÇAMENTO NÃO DESONERADO'!B2</f>
        <v>863064/2017</v>
      </c>
      <c r="D2" s="1125"/>
      <c r="E2" s="1125"/>
      <c r="F2" s="1125"/>
      <c r="G2" s="1125"/>
      <c r="H2" s="1125"/>
      <c r="I2" s="1125"/>
      <c r="J2" s="1125"/>
      <c r="K2" s="1125"/>
    </row>
    <row r="3" spans="1:11" s="5" customFormat="1" ht="15">
      <c r="A3" s="1142" t="s">
        <v>60</v>
      </c>
      <c r="B3" s="1142"/>
      <c r="C3" s="1126" t="str">
        <f>'ORÇAMENTO NÃO DESONERADO'!B3</f>
        <v>PREFEITURA MUNICIPAL DE OURÉM</v>
      </c>
      <c r="D3" s="1126"/>
      <c r="E3" s="1126"/>
      <c r="F3" s="120" t="s">
        <v>116</v>
      </c>
      <c r="G3" s="120"/>
      <c r="H3" s="1128" t="s">
        <v>685</v>
      </c>
      <c r="I3" s="1128"/>
      <c r="J3" s="1128"/>
      <c r="K3" s="1128"/>
    </row>
    <row r="4" spans="1:11" s="5" customFormat="1" ht="30.75" customHeight="1">
      <c r="A4" s="1142" t="s">
        <v>61</v>
      </c>
      <c r="B4" s="1142"/>
      <c r="C4" s="1127" t="str">
        <f>'ORÇAMENTO NÃO DESONERADO'!B4</f>
        <v>CONSTRUÇÃO DE TERMINAL RODOVIÁRIO ETAPA-01</v>
      </c>
      <c r="D4" s="1127"/>
      <c r="E4" s="1127"/>
      <c r="F4" s="1127"/>
      <c r="G4" s="1127"/>
      <c r="H4" s="1127"/>
      <c r="I4" s="1127"/>
      <c r="J4" s="1127"/>
      <c r="K4" s="1127"/>
    </row>
    <row r="5" spans="1:11" s="5" customFormat="1" ht="15" customHeight="1">
      <c r="A5" s="1134" t="s">
        <v>62</v>
      </c>
      <c r="B5" s="1134"/>
      <c r="C5" s="1126" t="str">
        <f>'ORÇAMENTO NÃO DESONERADO'!B5</f>
        <v>RUA JOAQUIM DIONISIO COM RUA PERSEVERANDO S/N. PRAÇA DO TERMINAL OURÉM/PA</v>
      </c>
      <c r="D5" s="1126"/>
      <c r="E5" s="1126"/>
      <c r="F5" s="1126"/>
      <c r="G5" s="1126"/>
      <c r="H5" s="1126"/>
      <c r="I5" s="1126"/>
      <c r="J5" s="1126"/>
      <c r="K5" s="1126"/>
    </row>
    <row r="6" spans="1:11" s="5" customFormat="1" ht="51.75" customHeight="1">
      <c r="A6" s="1142" t="s">
        <v>67</v>
      </c>
      <c r="B6" s="1142"/>
      <c r="C6" s="925">
        <f>'BDI NÃO DESONERADO'!I27</f>
        <v>0.2212455334054051</v>
      </c>
      <c r="D6" s="925"/>
      <c r="E6" s="925"/>
      <c r="F6" s="920" t="s">
        <v>39</v>
      </c>
      <c r="G6" s="920"/>
      <c r="H6" s="1132" t="str">
        <f>'ORÇAMENTO NÃO DESONERADO'!F7</f>
        <v>SINAPI ABRIL 2018 - NÃO DESONERADA</v>
      </c>
      <c r="I6" s="1132"/>
      <c r="J6" s="1132"/>
      <c r="K6" s="1132"/>
    </row>
    <row r="7" spans="1:11" s="5" customFormat="1" ht="15" customHeight="1">
      <c r="A7" s="1134" t="s">
        <v>117</v>
      </c>
      <c r="B7" s="1134"/>
      <c r="C7" s="1133" t="str">
        <f>'ORÇAMENTO NÃO DESONERADO'!B7</f>
        <v xml:space="preserve"> MARUZA BAPTISTA </v>
      </c>
      <c r="D7" s="1133"/>
      <c r="E7" s="1133"/>
      <c r="F7" s="921" t="s">
        <v>119</v>
      </c>
      <c r="G7" s="921"/>
      <c r="H7" s="1131" t="s">
        <v>120</v>
      </c>
      <c r="I7" s="1131"/>
      <c r="J7" s="1131"/>
      <c r="K7" s="1131"/>
    </row>
    <row r="8" spans="1:11" s="5" customFormat="1" ht="15" customHeight="1">
      <c r="A8" s="1134"/>
      <c r="B8" s="1134"/>
      <c r="C8" s="1133"/>
      <c r="D8" s="1133"/>
      <c r="E8" s="1133"/>
      <c r="F8" s="921"/>
      <c r="G8" s="921"/>
      <c r="H8" s="1131"/>
      <c r="I8" s="1131"/>
      <c r="J8" s="1131"/>
      <c r="K8" s="1131"/>
    </row>
    <row r="9" spans="1:11" s="132" customFormat="1" ht="15" customHeight="1">
      <c r="A9" s="122"/>
      <c r="B9" s="122"/>
      <c r="C9" s="123"/>
      <c r="D9" s="123"/>
      <c r="E9" s="123"/>
      <c r="F9" s="123"/>
      <c r="G9" s="123"/>
      <c r="H9" s="125"/>
      <c r="I9" s="125"/>
      <c r="J9" s="125"/>
      <c r="K9" s="125"/>
    </row>
    <row r="10" spans="1:11" s="41" customFormat="1" ht="15" customHeight="1">
      <c r="A10" s="920" t="str">
        <f>'ORÇAMENTO NÃO DESONERADO'!C22</f>
        <v xml:space="preserve">PAVIMENTAÇÃO EXTERNA </v>
      </c>
      <c r="B10" s="920"/>
      <c r="C10" s="920"/>
      <c r="D10" s="920"/>
      <c r="E10" s="920"/>
      <c r="F10" s="920"/>
      <c r="G10" s="920"/>
      <c r="H10" s="920"/>
      <c r="I10" s="920"/>
      <c r="J10" s="920"/>
      <c r="K10" s="920"/>
    </row>
    <row r="11" s="41" customFormat="1" ht="14.25"/>
    <row r="12" spans="1:11" s="41" customFormat="1" ht="15">
      <c r="A12" s="200">
        <f>'ORÇAMENTO NÃO DESONERADO'!A22</f>
        <v>3</v>
      </c>
      <c r="B12" s="203" t="str">
        <f>'ORÇAMENTO NÃO DESONERADO'!C22</f>
        <v xml:space="preserve">PAVIMENTAÇÃO EXTERNA </v>
      </c>
      <c r="C12" s="204"/>
      <c r="D12" s="204"/>
      <c r="E12" s="204"/>
      <c r="F12" s="204"/>
      <c r="G12" s="204"/>
      <c r="H12" s="204"/>
      <c r="I12" s="204"/>
      <c r="J12" s="204"/>
      <c r="K12" s="204"/>
    </row>
    <row r="13" spans="1:11" s="41" customFormat="1" ht="28.5" customHeight="1">
      <c r="A13" s="200" t="str">
        <f>'ORÇAMENTO NÃO DESONERADO'!A23</f>
        <v>3.1</v>
      </c>
      <c r="B13" s="1143" t="str">
        <f>'ORÇAMENTO NÃO DESONERADO'!C23</f>
        <v>EXECUÇÃO DE PASSEIO (CALÇADA) OU PISO DE CONCRETO COM CONCRETO MOLDADO IN LOCO, FEITO EM OBRA, ACABAMENTO CONVENCIONAL, ESPESSURA 6 CM, ARMA
DO. AF_07/2016</v>
      </c>
      <c r="C13" s="1143"/>
      <c r="D13" s="1143"/>
      <c r="E13" s="1143"/>
      <c r="F13" s="1143"/>
      <c r="G13" s="1143"/>
      <c r="H13" s="1143"/>
      <c r="I13" s="1143"/>
      <c r="J13" s="1143"/>
      <c r="K13" s="1143"/>
    </row>
    <row r="14" spans="1:11" s="41" customFormat="1" ht="14.25">
      <c r="A14" s="204"/>
      <c r="H14" s="204"/>
      <c r="I14" s="204"/>
      <c r="J14" s="204"/>
      <c r="K14" s="204"/>
    </row>
    <row r="15" spans="1:8" s="41" customFormat="1" ht="15">
      <c r="A15" s="204"/>
      <c r="B15" s="1129" t="s">
        <v>202</v>
      </c>
      <c r="C15" s="1139"/>
      <c r="D15" s="1139"/>
      <c r="E15" s="373"/>
      <c r="F15" s="28"/>
      <c r="G15" s="28"/>
      <c r="H15" s="204"/>
    </row>
    <row r="16" spans="1:8" s="41" customFormat="1" ht="14.25">
      <c r="A16" s="33"/>
      <c r="B16" s="49" t="s">
        <v>306</v>
      </c>
      <c r="C16" s="373"/>
      <c r="D16" s="373" t="s">
        <v>30</v>
      </c>
      <c r="E16" s="28">
        <v>108</v>
      </c>
      <c r="F16" s="28" t="s">
        <v>3</v>
      </c>
      <c r="H16" s="204"/>
    </row>
    <row r="17" spans="1:8" s="41" customFormat="1" ht="14.25">
      <c r="A17" s="394"/>
      <c r="B17" s="374"/>
      <c r="C17" s="373"/>
      <c r="D17" s="373"/>
      <c r="E17" s="373"/>
      <c r="F17" s="28"/>
      <c r="G17" s="28"/>
      <c r="H17" s="204"/>
    </row>
    <row r="18" spans="1:11" s="41" customFormat="1" ht="14.25">
      <c r="A18" s="204"/>
      <c r="B18" s="1140" t="s">
        <v>182</v>
      </c>
      <c r="C18" s="1140"/>
      <c r="D18" s="1140"/>
      <c r="E18" s="373"/>
      <c r="F18" s="28"/>
      <c r="G18" s="28"/>
      <c r="H18" s="204"/>
      <c r="I18" s="204"/>
      <c r="J18" s="204"/>
      <c r="K18" s="204"/>
    </row>
    <row r="19" spans="1:11" s="41" customFormat="1" ht="14.25">
      <c r="A19" s="204"/>
      <c r="B19" s="25" t="s">
        <v>129</v>
      </c>
      <c r="C19" s="39">
        <f>SUM(E16:E16)</f>
        <v>108</v>
      </c>
      <c r="D19" s="40" t="s">
        <v>3</v>
      </c>
      <c r="H19" s="204"/>
      <c r="I19" s="204"/>
      <c r="J19" s="204"/>
      <c r="K19" s="204"/>
    </row>
    <row r="20" spans="1:11" s="41" customFormat="1" ht="14.25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</row>
    <row r="21" ht="12.75">
      <c r="B21" s="880" t="str">
        <f>'ORÇAMENTO NÃO DESONERADO'!C24</f>
        <v>PISO TATIL</v>
      </c>
    </row>
    <row r="22" spans="1:11" ht="12.75">
      <c r="A22" s="879" t="str">
        <f>'ORÇAMENTO NÃO DESONERADO'!A25</f>
        <v>3.2</v>
      </c>
      <c r="B22" s="1138" t="str">
        <f>'ORÇAMENTO NÃO DESONERADO'!C25</f>
        <v>PISO TÁTIL EM LADRILHO HIDRÁULICO DIRECIONAL E ALERTA, DIMENSÕES 20X20CM, E=2CM. INCL. PERDAS.</v>
      </c>
      <c r="C22" s="1138"/>
      <c r="D22" s="1138"/>
      <c r="E22" s="1138"/>
      <c r="F22" s="1138"/>
      <c r="G22" s="1138"/>
      <c r="H22" s="1138"/>
      <c r="I22" s="1138"/>
      <c r="J22" s="1138"/>
      <c r="K22" s="1138"/>
    </row>
    <row r="23" spans="2:11" ht="12.75">
      <c r="B23" s="1138"/>
      <c r="C23" s="1138"/>
      <c r="D23" s="1138"/>
      <c r="E23" s="1138"/>
      <c r="F23" s="1138"/>
      <c r="G23" s="1138"/>
      <c r="H23" s="1138"/>
      <c r="I23" s="1138"/>
      <c r="J23" s="1138"/>
      <c r="K23" s="1138"/>
    </row>
    <row r="25" spans="2:6" ht="15">
      <c r="B25" s="1129" t="s">
        <v>654</v>
      </c>
      <c r="C25" s="1139"/>
      <c r="D25" s="1139"/>
      <c r="E25" s="874"/>
      <c r="F25" s="28"/>
    </row>
    <row r="26" spans="2:6" ht="14.25">
      <c r="B26" s="49" t="s">
        <v>652</v>
      </c>
      <c r="C26" s="874"/>
      <c r="D26" s="874" t="s">
        <v>653</v>
      </c>
      <c r="E26" s="28"/>
      <c r="F26" s="28"/>
    </row>
    <row r="27" spans="2:6" ht="14.25">
      <c r="B27" s="874">
        <v>70.4</v>
      </c>
      <c r="C27" s="874" t="s">
        <v>29</v>
      </c>
      <c r="D27" s="874">
        <v>0.2</v>
      </c>
      <c r="E27" s="28"/>
      <c r="F27" s="28"/>
    </row>
    <row r="28" spans="2:6" ht="14.25">
      <c r="B28" s="786"/>
      <c r="C28" s="874"/>
      <c r="D28" s="874"/>
      <c r="E28" s="874"/>
      <c r="F28" s="28"/>
    </row>
    <row r="29" spans="2:6" ht="14.25">
      <c r="B29" s="1140" t="s">
        <v>182</v>
      </c>
      <c r="C29" s="1140"/>
      <c r="D29" s="1140"/>
      <c r="E29" s="874"/>
      <c r="F29" s="28"/>
    </row>
    <row r="30" spans="2:6" ht="14.25">
      <c r="B30" s="25" t="s">
        <v>129</v>
      </c>
      <c r="C30" s="39">
        <f>B27*D27</f>
        <v>14.080000000000002</v>
      </c>
      <c r="D30" s="40" t="s">
        <v>3</v>
      </c>
      <c r="E30" s="41"/>
      <c r="F30" s="41"/>
    </row>
  </sheetData>
  <mergeCells count="25">
    <mergeCell ref="A10:K10"/>
    <mergeCell ref="A4:B4"/>
    <mergeCell ref="C4:K4"/>
    <mergeCell ref="A5:B5"/>
    <mergeCell ref="C5:K5"/>
    <mergeCell ref="A6:B6"/>
    <mergeCell ref="C6:E6"/>
    <mergeCell ref="F6:G6"/>
    <mergeCell ref="H6:K6"/>
    <mergeCell ref="B22:K23"/>
    <mergeCell ref="B25:D25"/>
    <mergeCell ref="B29:D29"/>
    <mergeCell ref="A1:K1"/>
    <mergeCell ref="A2:B2"/>
    <mergeCell ref="C2:K2"/>
    <mergeCell ref="A3:B3"/>
    <mergeCell ref="C3:E3"/>
    <mergeCell ref="H3:K3"/>
    <mergeCell ref="B18:D18"/>
    <mergeCell ref="A7:B8"/>
    <mergeCell ref="C7:E8"/>
    <mergeCell ref="F7:G8"/>
    <mergeCell ref="H7:K8"/>
    <mergeCell ref="B15:D15"/>
    <mergeCell ref="B13:K13"/>
  </mergeCells>
  <printOptions/>
  <pageMargins left="0.511811024" right="0.511811024" top="0.787401575" bottom="0.787401575" header="0.31496062" footer="0.31496062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0"/>
  <sheetViews>
    <sheetView view="pageBreakPreview" zoomScaleSheetLayoutView="100" workbookViewId="0" topLeftCell="A1">
      <selection activeCell="I20" sqref="I19:I20"/>
    </sheetView>
  </sheetViews>
  <sheetFormatPr defaultColWidth="9.140625" defaultRowHeight="12.75"/>
  <cols>
    <col min="1" max="1" width="22.140625" style="41" bestFit="1" customWidth="1"/>
    <col min="2" max="2" width="11.57421875" style="41" customWidth="1"/>
    <col min="3" max="3" width="18.7109375" style="41" customWidth="1"/>
    <col min="4" max="4" width="9.140625" style="41" customWidth="1"/>
    <col min="5" max="5" width="14.00390625" style="41" bestFit="1" customWidth="1"/>
    <col min="6" max="6" width="13.140625" style="41" customWidth="1"/>
    <col min="7" max="7" width="10.421875" style="41" customWidth="1"/>
    <col min="8" max="10" width="9.140625" style="41" customWidth="1"/>
    <col min="11" max="11" width="9.8515625" style="41" bestFit="1" customWidth="1"/>
    <col min="12" max="15" width="9.140625" style="41" customWidth="1"/>
  </cols>
  <sheetData>
    <row r="1" spans="1:15" s="5" customFormat="1" ht="87" customHeight="1">
      <c r="A1" s="1151" t="s">
        <v>176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151"/>
      <c r="N1" s="1151"/>
      <c r="O1" s="1151"/>
    </row>
    <row r="2" spans="1:15" s="5" customFormat="1" ht="15">
      <c r="A2" s="932" t="s">
        <v>171</v>
      </c>
      <c r="B2" s="932"/>
      <c r="C2" s="933" t="str">
        <f>'ORÇAMENTO NÃO DESONERADO'!B2</f>
        <v>863064/2017</v>
      </c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</row>
    <row r="3" spans="1:15" s="5" customFormat="1" ht="15">
      <c r="A3" s="927" t="s">
        <v>60</v>
      </c>
      <c r="B3" s="927"/>
      <c r="C3" s="924" t="str">
        <f>'ORÇAMENTO NÃO DESONERADO'!B3</f>
        <v>PREFEITURA MUNICIPAL DE OURÉM</v>
      </c>
      <c r="D3" s="924"/>
      <c r="E3" s="924"/>
      <c r="F3" s="518" t="s">
        <v>116</v>
      </c>
      <c r="G3" s="518"/>
      <c r="H3" s="1051" t="s">
        <v>300</v>
      </c>
      <c r="I3" s="1051"/>
      <c r="J3" s="1051"/>
      <c r="K3" s="1051"/>
      <c r="L3" s="1051"/>
      <c r="M3" s="1051"/>
      <c r="N3" s="1051"/>
      <c r="O3" s="1051"/>
    </row>
    <row r="4" spans="1:15" s="5" customFormat="1" ht="15">
      <c r="A4" s="927" t="s">
        <v>61</v>
      </c>
      <c r="B4" s="927"/>
      <c r="C4" s="1152" t="str">
        <f>'ORÇAMENTO NÃO DESONERADO'!B4</f>
        <v>CONSTRUÇÃO DE TERMINAL RODOVIÁRIO ETAPA-01</v>
      </c>
      <c r="D4" s="1152"/>
      <c r="E4" s="1152"/>
      <c r="F4" s="1152"/>
      <c r="G4" s="1152"/>
      <c r="H4" s="1152"/>
      <c r="I4" s="1152"/>
      <c r="J4" s="1152"/>
      <c r="K4" s="1152"/>
      <c r="L4" s="1152"/>
      <c r="M4" s="1152"/>
      <c r="N4" s="1152"/>
      <c r="O4" s="1152"/>
    </row>
    <row r="5" spans="1:15" s="5" customFormat="1" ht="15" customHeight="1">
      <c r="A5" s="928" t="s">
        <v>62</v>
      </c>
      <c r="B5" s="928"/>
      <c r="C5" s="924" t="str">
        <f>'ORÇAMENTO NÃO DESONERADO'!B5</f>
        <v>RUA JOAQUIM DIONISIO COM RUA PERSEVERANDO S/N. PRAÇA DO TERMINAL OURÉM/PA</v>
      </c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</row>
    <row r="6" spans="1:15" s="5" customFormat="1" ht="36" customHeight="1">
      <c r="A6" s="927" t="s">
        <v>67</v>
      </c>
      <c r="B6" s="927"/>
      <c r="C6" s="925">
        <f>'BDI NÃO DESONERADO'!I27</f>
        <v>0.2212455334054051</v>
      </c>
      <c r="D6" s="925"/>
      <c r="E6" s="925"/>
      <c r="F6" s="928" t="s">
        <v>39</v>
      </c>
      <c r="G6" s="928"/>
      <c r="H6" s="1056" t="str">
        <f>'ORÇAMENTO NÃO DESONERADO'!F7</f>
        <v>SINAPI ABRIL 2018 - NÃO DESONERADA</v>
      </c>
      <c r="I6" s="1056"/>
      <c r="J6" s="1056"/>
      <c r="K6" s="1056"/>
      <c r="L6" s="1056"/>
      <c r="M6" s="1056"/>
      <c r="N6" s="1056"/>
      <c r="O6" s="1056"/>
    </row>
    <row r="7" spans="1:15" s="5" customFormat="1" ht="15" customHeight="1">
      <c r="A7" s="928" t="s">
        <v>117</v>
      </c>
      <c r="B7" s="928"/>
      <c r="C7" s="926" t="str">
        <f>'ORÇAMENTO NÃO DESONERADO'!B7</f>
        <v xml:space="preserve"> MARUZA BAPTISTA </v>
      </c>
      <c r="D7" s="926"/>
      <c r="E7" s="926"/>
      <c r="F7" s="1123" t="s">
        <v>119</v>
      </c>
      <c r="G7" s="1123"/>
      <c r="H7" s="1057" t="s">
        <v>120</v>
      </c>
      <c r="I7" s="1057"/>
      <c r="J7" s="1057"/>
      <c r="K7" s="1057"/>
      <c r="L7" s="1057"/>
      <c r="M7" s="1057"/>
      <c r="N7" s="1057"/>
      <c r="O7" s="1057"/>
    </row>
    <row r="8" spans="1:15" s="5" customFormat="1" ht="15" customHeight="1">
      <c r="A8" s="928"/>
      <c r="B8" s="928"/>
      <c r="C8" s="926"/>
      <c r="D8" s="926"/>
      <c r="E8" s="926"/>
      <c r="F8" s="1123"/>
      <c r="G8" s="1123"/>
      <c r="H8" s="1057"/>
      <c r="I8" s="1057"/>
      <c r="J8" s="1057"/>
      <c r="K8" s="1057"/>
      <c r="L8" s="1057"/>
      <c r="M8" s="1057"/>
      <c r="N8" s="1057"/>
      <c r="O8" s="1057"/>
    </row>
    <row r="9" spans="1:15" s="132" customFormat="1" ht="15" customHeight="1">
      <c r="A9" s="122"/>
      <c r="B9" s="122"/>
      <c r="C9" s="123"/>
      <c r="D9" s="123"/>
      <c r="E9" s="123"/>
      <c r="F9" s="123"/>
      <c r="G9" s="123"/>
      <c r="H9" s="125"/>
      <c r="I9" s="125"/>
      <c r="J9" s="125"/>
      <c r="K9" s="125"/>
      <c r="L9" s="133"/>
      <c r="M9" s="133"/>
      <c r="N9" s="133"/>
      <c r="O9" s="133"/>
    </row>
    <row r="10" spans="1:15" s="41" customFormat="1" ht="15" customHeight="1">
      <c r="A10" s="920" t="str">
        <f>'ORÇAMENTO NÃO DESONERADO'!C28</f>
        <v xml:space="preserve">URBANIZAÇÃO </v>
      </c>
      <c r="B10" s="920"/>
      <c r="C10" s="920"/>
      <c r="D10" s="920"/>
      <c r="E10" s="920"/>
      <c r="F10" s="920"/>
      <c r="G10" s="920"/>
      <c r="H10" s="920"/>
      <c r="I10" s="920"/>
      <c r="J10" s="920"/>
      <c r="K10" s="920"/>
      <c r="L10" s="920"/>
      <c r="M10" s="920"/>
      <c r="N10" s="920"/>
      <c r="O10" s="920"/>
    </row>
    <row r="11" s="41" customFormat="1" ht="12.75"/>
    <row r="12" spans="1:2" s="41" customFormat="1" ht="15">
      <c r="A12" s="45" t="str">
        <f>'ORÇAMENTO NÃO DESONERADO'!A29</f>
        <v>4.1</v>
      </c>
      <c r="B12" s="201" t="str">
        <f>'ORÇAMENTO NÃO DESONERADO'!C29</f>
        <v>PLANTIO DE GRAMA ESMERALDA EM ROLO</v>
      </c>
    </row>
    <row r="13" spans="1:2" s="41" customFormat="1" ht="15">
      <c r="A13" s="45"/>
      <c r="B13" s="201"/>
    </row>
    <row r="14" spans="1:7" s="41" customFormat="1" ht="15">
      <c r="A14" s="45"/>
      <c r="B14" s="201"/>
      <c r="C14" s="130" t="s">
        <v>203</v>
      </c>
      <c r="E14" s="1144" t="s">
        <v>308</v>
      </c>
      <c r="F14" s="1144"/>
      <c r="G14" s="1144"/>
    </row>
    <row r="15" spans="1:7" s="41" customFormat="1" ht="15">
      <c r="A15" s="45"/>
      <c r="B15" s="41" t="s">
        <v>307</v>
      </c>
      <c r="C15" s="324">
        <v>13.12</v>
      </c>
      <c r="E15" s="1144"/>
      <c r="F15" s="1144"/>
      <c r="G15" s="1144"/>
    </row>
    <row r="16" spans="1:7" s="41" customFormat="1" ht="15">
      <c r="A16" s="45"/>
      <c r="B16" s="41" t="s">
        <v>307</v>
      </c>
      <c r="C16" s="324">
        <v>13.12</v>
      </c>
      <c r="E16" s="1146"/>
      <c r="F16" s="1146"/>
      <c r="G16" s="1146"/>
    </row>
    <row r="17" spans="1:7" s="41" customFormat="1" ht="15">
      <c r="A17" s="45"/>
      <c r="B17" s="41" t="s">
        <v>307</v>
      </c>
      <c r="C17" s="324">
        <v>13.12</v>
      </c>
      <c r="E17" s="1146"/>
      <c r="F17" s="1146"/>
      <c r="G17" s="1146"/>
    </row>
    <row r="18" spans="1:7" s="41" customFormat="1" ht="15">
      <c r="A18" s="45"/>
      <c r="B18" s="41" t="s">
        <v>307</v>
      </c>
      <c r="C18" s="324">
        <v>13.12</v>
      </c>
      <c r="D18" s="24"/>
      <c r="E18" s="1146"/>
      <c r="F18" s="1146"/>
      <c r="G18" s="1146"/>
    </row>
    <row r="19" spans="1:7" s="41" customFormat="1" ht="15">
      <c r="A19" s="45"/>
      <c r="B19" s="41" t="s">
        <v>307</v>
      </c>
      <c r="C19" s="324">
        <v>0.95</v>
      </c>
      <c r="D19" s="24"/>
      <c r="E19" s="1146"/>
      <c r="F19" s="1146"/>
      <c r="G19" s="1146"/>
    </row>
    <row r="20" spans="1:7" s="41" customFormat="1" ht="15">
      <c r="A20" s="45"/>
      <c r="B20" s="41" t="s">
        <v>307</v>
      </c>
      <c r="C20" s="324">
        <v>0.95</v>
      </c>
      <c r="D20" s="24"/>
      <c r="E20" s="1146"/>
      <c r="F20" s="1146"/>
      <c r="G20" s="1146"/>
    </row>
    <row r="21" spans="1:7" s="41" customFormat="1" ht="15">
      <c r="A21" s="45"/>
      <c r="B21" s="41" t="s">
        <v>307</v>
      </c>
      <c r="C21" s="324">
        <v>0.95</v>
      </c>
      <c r="D21" s="24"/>
      <c r="E21" s="567"/>
      <c r="F21" s="567"/>
      <c r="G21" s="567"/>
    </row>
    <row r="22" spans="1:7" s="41" customFormat="1" ht="15">
      <c r="A22" s="45"/>
      <c r="B22" s="41" t="s">
        <v>307</v>
      </c>
      <c r="C22" s="324">
        <v>0.95</v>
      </c>
      <c r="D22" s="24"/>
      <c r="E22" s="567"/>
      <c r="F22" s="567"/>
      <c r="G22" s="567"/>
    </row>
    <row r="23" spans="1:7" s="41" customFormat="1" ht="15">
      <c r="A23" s="45"/>
      <c r="B23" s="41" t="s">
        <v>307</v>
      </c>
      <c r="C23" s="324">
        <v>0.95</v>
      </c>
      <c r="D23" s="24"/>
      <c r="E23" s="567"/>
      <c r="F23" s="567"/>
      <c r="G23" s="567"/>
    </row>
    <row r="24" spans="1:7" s="41" customFormat="1" ht="15">
      <c r="A24" s="45"/>
      <c r="B24" s="41" t="s">
        <v>307</v>
      </c>
      <c r="C24" s="324">
        <v>0.8</v>
      </c>
      <c r="D24" s="24"/>
      <c r="E24" s="567"/>
      <c r="F24" s="567"/>
      <c r="G24" s="567"/>
    </row>
    <row r="25" spans="1:7" s="41" customFormat="1" ht="15">
      <c r="A25" s="45"/>
      <c r="B25" s="41" t="s">
        <v>307</v>
      </c>
      <c r="C25" s="324">
        <v>0.8</v>
      </c>
      <c r="D25" s="24"/>
      <c r="E25" s="567"/>
      <c r="F25" s="567"/>
      <c r="G25" s="567"/>
    </row>
    <row r="26" s="41" customFormat="1" ht="12.75"/>
    <row r="27" spans="2:4" s="41" customFormat="1" ht="12.75">
      <c r="B27" s="25" t="s">
        <v>129</v>
      </c>
      <c r="C27" s="39">
        <f>SUM(C15:C25)</f>
        <v>58.830000000000005</v>
      </c>
      <c r="D27" s="40" t="s">
        <v>92</v>
      </c>
    </row>
    <row r="28" s="41" customFormat="1" ht="12.75"/>
    <row r="29" s="41" customFormat="1" ht="12.75"/>
    <row r="30" spans="1:2" s="41" customFormat="1" ht="15">
      <c r="A30" s="45" t="str">
        <f>'ORÇAMENTO NÃO DESONERADO'!A30</f>
        <v>4.2</v>
      </c>
      <c r="B30" s="201" t="str">
        <f>'ORÇAMENTO NÃO DESONERADO'!C30</f>
        <v>PLANTIO DE ARBUSTO COM ALTURA 50 A 100CM, EM CAVA DE 60X60X60CM</v>
      </c>
    </row>
    <row r="31" s="41" customFormat="1" ht="12.75"/>
    <row r="32" spans="2:4" s="41" customFormat="1" ht="12.75">
      <c r="B32" s="25" t="s">
        <v>129</v>
      </c>
      <c r="C32" s="39">
        <v>30</v>
      </c>
      <c r="D32" s="40" t="s">
        <v>123</v>
      </c>
    </row>
    <row r="33" s="41" customFormat="1" ht="12.75"/>
    <row r="34" spans="1:2" s="41" customFormat="1" ht="15">
      <c r="A34" s="45" t="str">
        <f>'ORÇAMENTO NÃO DESONERADO'!A31</f>
        <v>4.3</v>
      </c>
      <c r="B34" s="201" t="str">
        <f>'ORÇAMENTO NÃO DESONERADO'!C31</f>
        <v>LIXEIRA</v>
      </c>
    </row>
    <row r="35" s="41" customFormat="1" ht="15">
      <c r="B35" s="201" t="str">
        <f>'ORÇAMENTO NÃO DESONERADO'!C32</f>
        <v xml:space="preserve">FUNDAÇÃO </v>
      </c>
    </row>
    <row r="36" spans="1:2" s="41" customFormat="1" ht="15">
      <c r="A36" s="45" t="str">
        <f>'ORÇAMENTO NÃO DESONERADO'!A33</f>
        <v>4.3.1</v>
      </c>
      <c r="B36" s="201" t="str">
        <f>'ORÇAMENTO NÃO DESONERADO'!C33</f>
        <v>ESCAVAÇÃO MANUAL DE VALAS. AF_03/2016</v>
      </c>
    </row>
    <row r="37" s="41" customFormat="1" ht="12.75"/>
    <row r="38" spans="2:6" s="41" customFormat="1" ht="12.75">
      <c r="B38" s="480"/>
      <c r="F38" s="221"/>
    </row>
    <row r="39" spans="2:10" s="41" customFormat="1" ht="12.75">
      <c r="B39" s="481" t="s">
        <v>252</v>
      </c>
      <c r="C39" s="380"/>
      <c r="D39" s="380" t="s">
        <v>253</v>
      </c>
      <c r="E39" s="480"/>
      <c r="F39" s="380" t="s">
        <v>265</v>
      </c>
      <c r="G39" s="221"/>
      <c r="H39" s="222" t="s">
        <v>249</v>
      </c>
      <c r="I39" s="380"/>
      <c r="J39" s="223" t="s">
        <v>82</v>
      </c>
    </row>
    <row r="40" spans="2:10" s="41" customFormat="1" ht="12.75">
      <c r="B40" s="206">
        <v>0.3</v>
      </c>
      <c r="C40" s="225" t="s">
        <v>29</v>
      </c>
      <c r="D40" s="380">
        <v>0.46</v>
      </c>
      <c r="E40" s="223" t="s">
        <v>29</v>
      </c>
      <c r="F40" s="380">
        <v>0.35</v>
      </c>
      <c r="G40" s="226" t="s">
        <v>29</v>
      </c>
      <c r="H40" s="227">
        <v>4</v>
      </c>
      <c r="I40" s="379" t="s">
        <v>30</v>
      </c>
      <c r="J40" s="223">
        <f>ROUND((B40*D40*F40*H40),2)</f>
        <v>0.19</v>
      </c>
    </row>
    <row r="41" spans="1:9" s="41" customFormat="1" ht="12.75">
      <c r="A41" s="225"/>
      <c r="B41" s="216"/>
      <c r="C41" s="380"/>
      <c r="D41" s="380"/>
      <c r="E41" s="223"/>
      <c r="F41" s="380"/>
      <c r="G41" s="221"/>
      <c r="H41" s="228"/>
      <c r="I41" s="221"/>
    </row>
    <row r="42" spans="2:9" s="41" customFormat="1" ht="12.75">
      <c r="B42" s="25" t="s">
        <v>109</v>
      </c>
      <c r="C42" s="39">
        <f>J40</f>
        <v>0.19</v>
      </c>
      <c r="D42" s="40" t="s">
        <v>2</v>
      </c>
      <c r="F42" s="221"/>
      <c r="G42" s="228"/>
      <c r="H42" s="224"/>
      <c r="I42" s="380"/>
    </row>
    <row r="43" s="41" customFormat="1" ht="12.75"/>
    <row r="44" spans="1:2" s="41" customFormat="1" ht="15">
      <c r="A44" s="45" t="str">
        <f>'ORÇAMENTO NÃO DESONERADO'!A34</f>
        <v>4.3.2</v>
      </c>
      <c r="B44" s="201" t="str">
        <f>'ORÇAMENTO NÃO DESONERADO'!C34</f>
        <v>LASTRO DE CONCRETO MAGRO, APLICADO EM BLOCOS DE COROAMENTO OU SAPATAS, ESPESSURA DE 5 CM. AF_08/2017</v>
      </c>
    </row>
    <row r="45" s="41" customFormat="1" ht="12.75"/>
    <row r="46" spans="2:8" s="41" customFormat="1" ht="12.75">
      <c r="B46" s="380" t="s">
        <v>263</v>
      </c>
      <c r="C46" s="380"/>
      <c r="D46" s="380" t="s">
        <v>264</v>
      </c>
      <c r="E46" s="221"/>
      <c r="F46" s="222" t="s">
        <v>249</v>
      </c>
      <c r="G46" s="380"/>
      <c r="H46" s="223" t="s">
        <v>82</v>
      </c>
    </row>
    <row r="47" spans="2:8" s="41" customFormat="1" ht="12.75">
      <c r="B47" s="238">
        <v>0.2</v>
      </c>
      <c r="C47" s="225" t="s">
        <v>29</v>
      </c>
      <c r="D47" s="380">
        <v>0.36</v>
      </c>
      <c r="E47" s="226" t="s">
        <v>29</v>
      </c>
      <c r="F47" s="227">
        <f>H40</f>
        <v>4</v>
      </c>
      <c r="G47" s="379" t="s">
        <v>30</v>
      </c>
      <c r="H47" s="223">
        <f>ROUND((B47*D47*F47),2)</f>
        <v>0.29</v>
      </c>
    </row>
    <row r="48" spans="2:9" s="41" customFormat="1" ht="12.75">
      <c r="B48" s="216"/>
      <c r="C48" s="380"/>
      <c r="D48" s="380"/>
      <c r="E48" s="223"/>
      <c r="F48" s="380"/>
      <c r="G48" s="221"/>
      <c r="H48" s="228"/>
      <c r="I48" s="221"/>
    </row>
    <row r="49" spans="2:9" s="41" customFormat="1" ht="12.75">
      <c r="B49" s="25" t="s">
        <v>109</v>
      </c>
      <c r="C49" s="39">
        <f>H47</f>
        <v>0.29</v>
      </c>
      <c r="D49" s="40" t="s">
        <v>2</v>
      </c>
      <c r="F49" s="221"/>
      <c r="G49" s="228"/>
      <c r="H49" s="224"/>
      <c r="I49" s="380"/>
    </row>
    <row r="50" spans="2:9" s="482" customFormat="1" ht="12.75">
      <c r="B50" s="30"/>
      <c r="C50" s="30"/>
      <c r="D50" s="30"/>
      <c r="F50" s="487"/>
      <c r="G50" s="488"/>
      <c r="H50" s="489"/>
      <c r="I50" s="490"/>
    </row>
    <row r="51" spans="1:2" s="41" customFormat="1" ht="15">
      <c r="A51" s="45" t="str">
        <f>'ORÇAMENTO NÃO DESONERADO'!A35</f>
        <v>4.3.3</v>
      </c>
      <c r="B51" s="201" t="str">
        <f>'ORÇAMENTO NÃO DESONERADO'!C35</f>
        <v>FABRICAÇÃO, MONTAGEM E DESMONTAGEM DE FÔRMA PARA SAPATA, EM MADEIRA SERRADA, E=25 MM, 4 UTILIZAÇÕES. AF_06/2017</v>
      </c>
    </row>
    <row r="52" s="41" customFormat="1" ht="12.75"/>
    <row r="53" spans="1:11" s="41" customFormat="1" ht="15" customHeight="1">
      <c r="A53" s="502"/>
      <c r="C53" s="382" t="s">
        <v>266</v>
      </c>
      <c r="D53" s="205"/>
      <c r="E53" s="1148" t="s">
        <v>33</v>
      </c>
      <c r="F53" s="1148"/>
      <c r="G53" s="382" t="s">
        <v>249</v>
      </c>
      <c r="H53" s="382"/>
      <c r="I53" s="224"/>
      <c r="J53" s="380" t="s">
        <v>110</v>
      </c>
      <c r="K53" s="205"/>
    </row>
    <row r="54" spans="1:11" s="41" customFormat="1" ht="12.75">
      <c r="A54" s="380"/>
      <c r="B54" s="208"/>
      <c r="C54" s="380">
        <v>1.12</v>
      </c>
      <c r="D54" s="207" t="s">
        <v>29</v>
      </c>
      <c r="E54" s="380">
        <v>0.3</v>
      </c>
      <c r="F54" s="221" t="s">
        <v>29</v>
      </c>
      <c r="G54" s="211">
        <f>H40</f>
        <v>4</v>
      </c>
      <c r="H54" s="205"/>
      <c r="I54" s="221" t="s">
        <v>30</v>
      </c>
      <c r="J54" s="227">
        <f>ROUND((C54*E54*G54),2)</f>
        <v>1.34</v>
      </c>
      <c r="K54" s="227"/>
    </row>
    <row r="55" spans="1:11" s="41" customFormat="1" ht="12.75">
      <c r="A55" s="380"/>
      <c r="B55" s="208"/>
      <c r="C55" s="380"/>
      <c r="D55" s="380"/>
      <c r="E55" s="223"/>
      <c r="F55" s="228"/>
      <c r="G55" s="221"/>
      <c r="H55" s="228"/>
      <c r="I55" s="224"/>
      <c r="J55" s="227"/>
      <c r="K55" s="224"/>
    </row>
    <row r="56" spans="1:11" s="41" customFormat="1" ht="12.75">
      <c r="A56" s="221"/>
      <c r="B56" s="25" t="s">
        <v>109</v>
      </c>
      <c r="C56" s="39">
        <f>J54</f>
        <v>1.34</v>
      </c>
      <c r="D56" s="40" t="s">
        <v>3</v>
      </c>
      <c r="E56" s="223"/>
      <c r="F56" s="228"/>
      <c r="G56" s="221"/>
      <c r="H56" s="228"/>
      <c r="I56" s="224"/>
      <c r="J56" s="380"/>
      <c r="K56" s="223"/>
    </row>
    <row r="57" s="41" customFormat="1" ht="12.75"/>
    <row r="58" spans="1:2" s="41" customFormat="1" ht="15">
      <c r="A58" s="45" t="str">
        <f>'ORÇAMENTO NÃO DESONERADO'!A36</f>
        <v>4.3.4</v>
      </c>
      <c r="B58" s="201" t="str">
        <f>'ORÇAMENTO NÃO DESONERADO'!C36</f>
        <v>CONCRETO CICLOPICO FCK=10MPA 30% PEDRA DE MAO INCLUSIVE LANCAMENTO</v>
      </c>
    </row>
    <row r="59" s="41" customFormat="1" ht="12.75"/>
    <row r="60" spans="2:11" s="41" customFormat="1" ht="12.75">
      <c r="B60" s="380" t="s">
        <v>33</v>
      </c>
      <c r="C60" s="380"/>
      <c r="D60" s="380" t="s">
        <v>36</v>
      </c>
      <c r="E60" s="223"/>
      <c r="F60" s="380" t="s">
        <v>32</v>
      </c>
      <c r="G60" s="229"/>
      <c r="H60" s="380" t="s">
        <v>254</v>
      </c>
      <c r="I60" s="205"/>
      <c r="J60" s="223" t="s">
        <v>82</v>
      </c>
      <c r="K60" s="205"/>
    </row>
    <row r="61" spans="2:11" s="41" customFormat="1" ht="12.75">
      <c r="B61" s="380">
        <v>0.3</v>
      </c>
      <c r="C61" s="380" t="s">
        <v>29</v>
      </c>
      <c r="D61" s="380">
        <v>0.2</v>
      </c>
      <c r="E61" s="223" t="s">
        <v>29</v>
      </c>
      <c r="F61" s="380">
        <v>0.36</v>
      </c>
      <c r="G61" s="221" t="s">
        <v>29</v>
      </c>
      <c r="H61" s="380">
        <f>G54</f>
        <v>4</v>
      </c>
      <c r="I61" s="223" t="s">
        <v>30</v>
      </c>
      <c r="J61" s="223">
        <f>ROUND((B61*D61*F61*H61),2)</f>
        <v>0.09</v>
      </c>
      <c r="K61" s="227"/>
    </row>
    <row r="62" spans="1:10" s="41" customFormat="1" ht="15">
      <c r="A62" s="380"/>
      <c r="B62" s="503"/>
      <c r="C62" s="227"/>
      <c r="D62" s="227"/>
      <c r="E62" s="223"/>
      <c r="F62" s="228"/>
      <c r="G62" s="221"/>
      <c r="H62" s="228"/>
      <c r="I62" s="224"/>
      <c r="J62" s="223"/>
    </row>
    <row r="63" spans="2:10" s="41" customFormat="1" ht="12.75">
      <c r="B63" s="25" t="s">
        <v>109</v>
      </c>
      <c r="C63" s="39">
        <f>J61</f>
        <v>0.09</v>
      </c>
      <c r="D63" s="40" t="s">
        <v>2</v>
      </c>
      <c r="E63" s="223"/>
      <c r="F63" s="228"/>
      <c r="G63" s="221"/>
      <c r="H63" s="228"/>
      <c r="I63" s="224"/>
      <c r="J63" s="223"/>
    </row>
    <row r="64" s="41" customFormat="1" ht="12.75"/>
    <row r="65" spans="1:2" s="41" customFormat="1" ht="15">
      <c r="A65" s="45"/>
      <c r="B65" s="201" t="str">
        <f>'ORÇAMENTO NÃO DESONERADO'!C37</f>
        <v>PILAR</v>
      </c>
    </row>
    <row r="66" spans="1:11" s="41" customFormat="1" ht="15">
      <c r="A66" s="45" t="str">
        <f>'ORÇAMENTO NÃO DESONERADO'!A33</f>
        <v>4.3.1</v>
      </c>
      <c r="B66" s="1149" t="str">
        <f>'ORÇAMENTO NÃO DESONERADO'!C38</f>
        <v>FABRICAÇÃO DE FÔRMA PARA PILARES E ESTRUTURAS SIMILARES, EM CHAPA DE MADEIRA COMPENSADA RESINADA, E = 17 MM. AF_12/2015</v>
      </c>
      <c r="C66" s="1149"/>
      <c r="D66" s="1149"/>
      <c r="E66" s="1149"/>
      <c r="F66" s="1149"/>
      <c r="G66" s="1149"/>
      <c r="H66" s="1149"/>
      <c r="I66" s="1149"/>
      <c r="J66" s="1149"/>
      <c r="K66" s="1149"/>
    </row>
    <row r="67" s="41" customFormat="1" ht="15">
      <c r="B67" s="201"/>
    </row>
    <row r="68" spans="1:14" s="41" customFormat="1" ht="15">
      <c r="A68" s="503"/>
      <c r="B68" s="1148"/>
      <c r="C68" s="1148"/>
      <c r="D68" s="205"/>
      <c r="E68" s="1147"/>
      <c r="F68" s="1147"/>
      <c r="G68" s="1148" t="s">
        <v>146</v>
      </c>
      <c r="H68" s="1148"/>
      <c r="I68" s="1148"/>
      <c r="J68" s="1148"/>
      <c r="K68" s="1148"/>
      <c r="L68" s="230"/>
      <c r="M68" s="223"/>
      <c r="N68" s="223"/>
    </row>
    <row r="69" spans="1:14" s="41" customFormat="1" ht="28.5">
      <c r="A69" s="503"/>
      <c r="C69" s="382"/>
      <c r="E69" s="231" t="s">
        <v>147</v>
      </c>
      <c r="F69" s="381"/>
      <c r="G69" s="382"/>
      <c r="H69" s="382"/>
      <c r="I69" s="224"/>
      <c r="J69" s="380"/>
      <c r="K69" s="224"/>
      <c r="L69" s="230"/>
      <c r="M69" s="223"/>
      <c r="N69" s="223"/>
    </row>
    <row r="70" spans="1:14" s="41" customFormat="1" ht="15">
      <c r="A70" s="503"/>
      <c r="B70" s="382"/>
      <c r="C70" s="382"/>
      <c r="D70" s="205"/>
      <c r="E70" s="381"/>
      <c r="F70" s="381"/>
      <c r="G70" s="382"/>
      <c r="H70" s="382"/>
      <c r="I70" s="224"/>
      <c r="J70" s="380"/>
      <c r="K70" s="224"/>
      <c r="L70" s="230"/>
      <c r="M70" s="223"/>
      <c r="N70" s="223"/>
    </row>
    <row r="71" spans="1:14" s="41" customFormat="1" ht="15">
      <c r="A71" s="502"/>
      <c r="B71" s="1148"/>
      <c r="C71" s="1148"/>
      <c r="D71" s="205"/>
      <c r="E71" s="380" t="s">
        <v>256</v>
      </c>
      <c r="F71" s="381"/>
      <c r="G71" s="380" t="s">
        <v>255</v>
      </c>
      <c r="H71" s="382"/>
      <c r="I71" s="224"/>
      <c r="J71" s="380" t="s">
        <v>110</v>
      </c>
      <c r="K71" s="482"/>
      <c r="L71" s="205"/>
      <c r="M71" s="205"/>
      <c r="N71" s="223"/>
    </row>
    <row r="72" spans="1:14" s="41" customFormat="1" ht="12.75">
      <c r="A72" s="380" t="s">
        <v>115</v>
      </c>
      <c r="B72" s="1150" t="s">
        <v>148</v>
      </c>
      <c r="C72" s="1150"/>
      <c r="D72" s="207" t="s">
        <v>29</v>
      </c>
      <c r="E72" s="228">
        <v>2</v>
      </c>
      <c r="F72" s="379" t="s">
        <v>29</v>
      </c>
      <c r="G72" s="211">
        <f>H61</f>
        <v>4</v>
      </c>
      <c r="H72" s="205"/>
      <c r="I72" s="221" t="s">
        <v>30</v>
      </c>
      <c r="J72" s="227">
        <f>ROUND(((((0.25+0.08)*0.8/2))*E72*G72),2)</f>
        <v>1.06</v>
      </c>
      <c r="K72" s="483" t="s">
        <v>92</v>
      </c>
      <c r="L72" s="232" t="s">
        <v>149</v>
      </c>
      <c r="M72" s="205"/>
      <c r="N72" s="223"/>
    </row>
    <row r="73" spans="1:14" s="41" customFormat="1" ht="12.75">
      <c r="A73" s="380"/>
      <c r="B73" s="380"/>
      <c r="C73" s="380"/>
      <c r="D73" s="207"/>
      <c r="E73" s="228"/>
      <c r="F73" s="379"/>
      <c r="G73" s="211"/>
      <c r="H73" s="205"/>
      <c r="I73" s="221"/>
      <c r="J73" s="227"/>
      <c r="K73" s="483"/>
      <c r="L73" s="232"/>
      <c r="M73" s="205"/>
      <c r="N73" s="223"/>
    </row>
    <row r="74" spans="1:14" s="41" customFormat="1" ht="12.75">
      <c r="A74" s="380"/>
      <c r="C74" s="211" t="s">
        <v>150</v>
      </c>
      <c r="D74" s="380"/>
      <c r="E74" s="223" t="s">
        <v>151</v>
      </c>
      <c r="F74" s="228"/>
      <c r="G74" s="221"/>
      <c r="H74" s="228"/>
      <c r="I74" s="380" t="s">
        <v>255</v>
      </c>
      <c r="J74" s="227"/>
      <c r="K74" s="224"/>
      <c r="L74" s="484"/>
      <c r="M74" s="223"/>
      <c r="N74" s="223"/>
    </row>
    <row r="75" spans="1:14" s="41" customFormat="1" ht="12.75">
      <c r="A75" s="380" t="s">
        <v>115</v>
      </c>
      <c r="C75" s="211">
        <v>0.1</v>
      </c>
      <c r="D75" s="380" t="s">
        <v>29</v>
      </c>
      <c r="E75" s="223">
        <v>0.87</v>
      </c>
      <c r="F75" s="228" t="s">
        <v>29</v>
      </c>
      <c r="G75" s="221">
        <v>1</v>
      </c>
      <c r="H75" s="228" t="s">
        <v>29</v>
      </c>
      <c r="I75" s="221">
        <f>G72</f>
        <v>4</v>
      </c>
      <c r="J75" s="227" t="s">
        <v>30</v>
      </c>
      <c r="K75" s="223">
        <f>ROUND((C75*E75*G75*I75),2)</f>
        <v>0.35</v>
      </c>
      <c r="L75" s="483" t="s">
        <v>92</v>
      </c>
      <c r="M75" s="232" t="s">
        <v>152</v>
      </c>
      <c r="N75" s="223"/>
    </row>
    <row r="76" spans="1:14" s="41" customFormat="1" ht="12.75">
      <c r="A76" s="380" t="s">
        <v>115</v>
      </c>
      <c r="C76" s="211">
        <v>0.1</v>
      </c>
      <c r="D76" s="380" t="s">
        <v>29</v>
      </c>
      <c r="E76" s="223">
        <v>0.8</v>
      </c>
      <c r="F76" s="228" t="s">
        <v>29</v>
      </c>
      <c r="G76" s="221">
        <v>1</v>
      </c>
      <c r="H76" s="228" t="s">
        <v>29</v>
      </c>
      <c r="I76" s="221">
        <f>G72</f>
        <v>4</v>
      </c>
      <c r="J76" s="227" t="s">
        <v>30</v>
      </c>
      <c r="K76" s="223">
        <f>ROUND((C76*E76*G76*I76),2)</f>
        <v>0.32</v>
      </c>
      <c r="L76" s="483" t="s">
        <v>92</v>
      </c>
      <c r="M76" s="232" t="s">
        <v>153</v>
      </c>
      <c r="N76" s="223"/>
    </row>
    <row r="77" spans="1:14" s="41" customFormat="1" ht="12.75">
      <c r="A77" s="221"/>
      <c r="B77" s="380"/>
      <c r="C77" s="227"/>
      <c r="D77" s="227"/>
      <c r="E77" s="223"/>
      <c r="F77" s="228"/>
      <c r="G77" s="221"/>
      <c r="H77" s="228"/>
      <c r="I77" s="224"/>
      <c r="J77" s="380"/>
      <c r="K77" s="223"/>
      <c r="L77" s="230"/>
      <c r="M77" s="223"/>
      <c r="N77" s="223"/>
    </row>
    <row r="78" spans="2:14" s="41" customFormat="1" ht="12.75">
      <c r="B78" s="25" t="s">
        <v>109</v>
      </c>
      <c r="C78" s="39">
        <f>J72+K75+K76</f>
        <v>1.7300000000000002</v>
      </c>
      <c r="D78" s="40" t="s">
        <v>3</v>
      </c>
      <c r="F78" s="228"/>
      <c r="G78" s="221"/>
      <c r="H78" s="228"/>
      <c r="I78" s="224"/>
      <c r="J78" s="380"/>
      <c r="K78" s="223"/>
      <c r="L78" s="230"/>
      <c r="M78" s="223"/>
      <c r="N78" s="223"/>
    </row>
    <row r="79" s="41" customFormat="1" ht="12.75"/>
    <row r="80" spans="1:2" s="41" customFormat="1" ht="15">
      <c r="A80" s="45" t="str">
        <f>'ORÇAMENTO NÃO DESONERADO'!A39</f>
        <v>4.3.6</v>
      </c>
      <c r="B80" s="201" t="str">
        <f>'ORÇAMENTO NÃO DESONERADO'!C39</f>
        <v>CONCRETO FCK = 15MPA, TRAÇO 1:3,4:3,5 (CIMENTO/ AREIA MÉDIA/ BRITA 1)- PREPARO MECÂNICO COM BETONEIRA 400 L. AF_07/2016</v>
      </c>
    </row>
    <row r="81" s="41" customFormat="1" ht="12.75"/>
    <row r="82" spans="1:13" s="41" customFormat="1" ht="15">
      <c r="A82" s="503"/>
      <c r="B82" s="1148"/>
      <c r="C82" s="1148"/>
      <c r="D82" s="205"/>
      <c r="E82" s="1147"/>
      <c r="F82" s="1147"/>
      <c r="G82" s="480" t="s">
        <v>146</v>
      </c>
      <c r="H82" s="480"/>
      <c r="I82" s="480"/>
      <c r="J82" s="480"/>
      <c r="K82" s="480"/>
      <c r="L82" s="230"/>
      <c r="M82" s="223"/>
    </row>
    <row r="83" spans="1:13" s="41" customFormat="1" ht="28.5">
      <c r="A83" s="503"/>
      <c r="C83" s="382"/>
      <c r="E83" s="231" t="s">
        <v>147</v>
      </c>
      <c r="F83" s="381"/>
      <c r="G83" s="382"/>
      <c r="H83" s="382"/>
      <c r="I83" s="224"/>
      <c r="J83" s="380"/>
      <c r="K83" s="224"/>
      <c r="L83" s="230"/>
      <c r="M83" s="223"/>
    </row>
    <row r="84" spans="1:13" s="41" customFormat="1" ht="15">
      <c r="A84" s="503"/>
      <c r="B84" s="382"/>
      <c r="C84" s="382"/>
      <c r="D84" s="205"/>
      <c r="E84" s="381"/>
      <c r="F84" s="381"/>
      <c r="G84" s="382"/>
      <c r="H84" s="382"/>
      <c r="I84" s="224"/>
      <c r="J84" s="380"/>
      <c r="K84" s="224"/>
      <c r="L84" s="230"/>
      <c r="M84" s="223"/>
    </row>
    <row r="85" spans="1:13" s="41" customFormat="1" ht="15">
      <c r="A85" s="504"/>
      <c r="B85" s="1153" t="s">
        <v>150</v>
      </c>
      <c r="C85" s="1153"/>
      <c r="D85" s="207"/>
      <c r="E85" s="382" t="s">
        <v>36</v>
      </c>
      <c r="F85" s="382"/>
      <c r="G85" s="380" t="s">
        <v>255</v>
      </c>
      <c r="H85" s="382"/>
      <c r="I85" s="221"/>
      <c r="J85" s="380" t="s">
        <v>110</v>
      </c>
      <c r="K85" s="207"/>
      <c r="L85" s="207"/>
      <c r="M85" s="207"/>
    </row>
    <row r="86" spans="1:13" s="41" customFormat="1" ht="12.75">
      <c r="A86" s="380" t="s">
        <v>115</v>
      </c>
      <c r="B86" s="1150" t="s">
        <v>148</v>
      </c>
      <c r="C86" s="1150"/>
      <c r="D86" s="207" t="s">
        <v>29</v>
      </c>
      <c r="E86" s="380">
        <v>0.2</v>
      </c>
      <c r="F86" s="379" t="s">
        <v>29</v>
      </c>
      <c r="G86" s="211">
        <f>I75</f>
        <v>4</v>
      </c>
      <c r="H86" s="207"/>
      <c r="I86" s="221" t="s">
        <v>30</v>
      </c>
      <c r="J86" s="227">
        <f>ROUND(((((0.25+0.08)*0.8/2))*E86*G86),2)</f>
        <v>0.11</v>
      </c>
      <c r="K86" s="227" t="s">
        <v>92</v>
      </c>
      <c r="L86" s="485" t="s">
        <v>149</v>
      </c>
      <c r="M86" s="207"/>
    </row>
    <row r="87" spans="1:13" s="41" customFormat="1" ht="12.75">
      <c r="A87" s="380"/>
      <c r="B87" s="211"/>
      <c r="C87" s="380"/>
      <c r="D87" s="380"/>
      <c r="E87" s="223"/>
      <c r="F87" s="228"/>
      <c r="G87" s="221"/>
      <c r="H87" s="228"/>
      <c r="I87" s="224"/>
      <c r="J87" s="227"/>
      <c r="K87" s="223"/>
      <c r="L87" s="227"/>
      <c r="M87" s="232"/>
    </row>
    <row r="88" spans="2:13" s="41" customFormat="1" ht="12.75">
      <c r="B88" s="25" t="s">
        <v>109</v>
      </c>
      <c r="C88" s="39">
        <f>J86</f>
        <v>0.11</v>
      </c>
      <c r="D88" s="40" t="s">
        <v>2</v>
      </c>
      <c r="E88" s="223"/>
      <c r="F88" s="228"/>
      <c r="G88" s="221"/>
      <c r="H88" s="228"/>
      <c r="I88" s="224"/>
      <c r="J88" s="380"/>
      <c r="K88" s="223"/>
      <c r="L88" s="230"/>
      <c r="M88" s="223"/>
    </row>
    <row r="89" s="41" customFormat="1" ht="12.75"/>
    <row r="90" spans="1:14" s="41" customFormat="1" ht="15">
      <c r="A90" s="45" t="str">
        <f>'ORÇAMENTO NÃO DESONERADO'!A40</f>
        <v>4.3.7</v>
      </c>
      <c r="B90" s="1149" t="str">
        <f>'ORÇAMENTO NÃO DESONERADO'!C40</f>
        <v>ARMAÇÃO DE PILAR OU VIGA DE UMA ESTRUTURA CONVENCIONAL DE CONCRETO ARMADO EM UMA EDIFÍCAÇÃO TÉRREA OU SOBRADO UTILIZANDO AÇO CA-50 DE 6.3 MM</v>
      </c>
      <c r="C90" s="1149"/>
      <c r="D90" s="1149"/>
      <c r="E90" s="1149"/>
      <c r="F90" s="1149"/>
      <c r="G90" s="1149"/>
      <c r="H90" s="1149"/>
      <c r="I90" s="1149"/>
      <c r="J90" s="1149"/>
      <c r="K90" s="1149"/>
      <c r="L90" s="1149"/>
      <c r="M90" s="1149"/>
      <c r="N90" s="1149"/>
    </row>
    <row r="91" spans="2:14" s="41" customFormat="1" ht="12.75">
      <c r="B91" s="1149"/>
      <c r="C91" s="1149"/>
      <c r="D91" s="1149"/>
      <c r="E91" s="1149"/>
      <c r="F91" s="1149"/>
      <c r="G91" s="1149"/>
      <c r="H91" s="1149"/>
      <c r="I91" s="1149"/>
      <c r="J91" s="1149"/>
      <c r="K91" s="1149"/>
      <c r="L91" s="1149"/>
      <c r="M91" s="1149"/>
      <c r="N91" s="1149"/>
    </row>
    <row r="92" s="41" customFormat="1" ht="12.75"/>
    <row r="93" spans="2:10" s="41" customFormat="1" ht="12.75">
      <c r="B93" s="233"/>
      <c r="C93" s="205" t="s">
        <v>154</v>
      </c>
      <c r="D93" s="233"/>
      <c r="E93" s="233"/>
      <c r="F93" s="233"/>
      <c r="G93" s="233"/>
      <c r="H93" s="233"/>
      <c r="I93" s="233"/>
      <c r="J93" s="233"/>
    </row>
    <row r="94" spans="2:10" s="41" customFormat="1" ht="15">
      <c r="B94" s="380"/>
      <c r="C94" s="214" t="s">
        <v>177</v>
      </c>
      <c r="D94" s="380"/>
      <c r="E94" s="380"/>
      <c r="F94" s="223"/>
      <c r="G94" s="228"/>
      <c r="H94" s="221"/>
      <c r="I94" s="228"/>
      <c r="J94" s="224"/>
    </row>
    <row r="95" spans="3:10" s="41" customFormat="1" ht="14.25" customHeight="1">
      <c r="C95" s="205"/>
      <c r="D95" s="380"/>
      <c r="F95" s="229"/>
      <c r="H95" s="229"/>
      <c r="I95" s="205"/>
      <c r="J95" s="205"/>
    </row>
    <row r="96" spans="2:10" s="41" customFormat="1" ht="12.75">
      <c r="B96" s="1150" t="s">
        <v>257</v>
      </c>
      <c r="C96" s="1150"/>
      <c r="D96" s="380"/>
      <c r="E96" s="480" t="s">
        <v>258</v>
      </c>
      <c r="F96" s="229"/>
      <c r="G96" s="380" t="s">
        <v>259</v>
      </c>
      <c r="H96" s="229"/>
      <c r="I96" s="205"/>
      <c r="J96" s="205"/>
    </row>
    <row r="97" spans="2:10" s="41" customFormat="1" ht="12.75">
      <c r="B97" s="1154">
        <v>4</v>
      </c>
      <c r="C97" s="1154"/>
      <c r="D97" s="380" t="s">
        <v>29</v>
      </c>
      <c r="E97" s="380">
        <v>0.9</v>
      </c>
      <c r="F97" s="223" t="s">
        <v>29</v>
      </c>
      <c r="G97" s="380">
        <f>G86</f>
        <v>4</v>
      </c>
      <c r="H97" s="207" t="s">
        <v>30</v>
      </c>
      <c r="I97" s="221">
        <f>ROUND((B97*E97*G97),2)</f>
        <v>14.4</v>
      </c>
      <c r="J97" s="221" t="s">
        <v>81</v>
      </c>
    </row>
    <row r="98" spans="2:10" s="41" customFormat="1" ht="12.75">
      <c r="B98" s="380"/>
      <c r="C98" s="208"/>
      <c r="D98" s="380"/>
      <c r="E98" s="380"/>
      <c r="F98" s="223"/>
      <c r="G98" s="228"/>
      <c r="H98" s="221"/>
      <c r="I98" s="228"/>
      <c r="J98" s="224"/>
    </row>
    <row r="99" spans="2:10" s="41" customFormat="1" ht="12.75">
      <c r="B99" s="380"/>
      <c r="C99" s="215" t="s">
        <v>260</v>
      </c>
      <c r="D99" s="380"/>
      <c r="E99" s="380"/>
      <c r="F99" s="223"/>
      <c r="G99" s="228"/>
      <c r="H99" s="221"/>
      <c r="I99" s="228"/>
      <c r="J99" s="224"/>
    </row>
    <row r="100" spans="2:10" s="41" customFormat="1" ht="12.75">
      <c r="B100" s="380"/>
      <c r="C100" s="211" t="s">
        <v>112</v>
      </c>
      <c r="D100" s="380"/>
      <c r="E100" s="380" t="s">
        <v>113</v>
      </c>
      <c r="F100" s="221"/>
      <c r="G100" s="236"/>
      <c r="H100" s="221"/>
      <c r="I100" s="205"/>
      <c r="J100" s="224"/>
    </row>
    <row r="101" spans="2:10" s="41" customFormat="1" ht="12.75">
      <c r="B101" s="380"/>
      <c r="C101" s="211">
        <f>I97</f>
        <v>14.4</v>
      </c>
      <c r="D101" s="380" t="s">
        <v>29</v>
      </c>
      <c r="E101" s="235">
        <v>0.248</v>
      </c>
      <c r="F101" s="221"/>
      <c r="G101" s="236"/>
      <c r="H101" s="221"/>
      <c r="I101" s="236"/>
      <c r="J101" s="221"/>
    </row>
    <row r="102" spans="2:10" s="41" customFormat="1" ht="12.75">
      <c r="B102" s="380"/>
      <c r="C102" s="211"/>
      <c r="D102" s="380"/>
      <c r="E102" s="235"/>
      <c r="F102" s="223"/>
      <c r="G102" s="236"/>
      <c r="H102" s="221"/>
      <c r="I102" s="236"/>
      <c r="J102" s="221"/>
    </row>
    <row r="103" spans="2:10" s="41" customFormat="1" ht="12.75">
      <c r="B103" s="25" t="s">
        <v>109</v>
      </c>
      <c r="C103" s="39">
        <f>ROUND((C101*E101),2)</f>
        <v>3.57</v>
      </c>
      <c r="D103" s="40" t="s">
        <v>31</v>
      </c>
      <c r="E103" s="235"/>
      <c r="F103" s="223"/>
      <c r="G103" s="205"/>
      <c r="H103" s="221"/>
      <c r="I103" s="236"/>
      <c r="J103" s="221"/>
    </row>
    <row r="104" spans="2:10" s="41" customFormat="1" ht="12.75">
      <c r="B104" s="380"/>
      <c r="C104" s="211"/>
      <c r="D104" s="380"/>
      <c r="E104" s="235"/>
      <c r="F104" s="223"/>
      <c r="G104" s="205"/>
      <c r="H104" s="221"/>
      <c r="I104" s="236"/>
      <c r="J104" s="221"/>
    </row>
    <row r="105" spans="1:14" s="41" customFormat="1" ht="15">
      <c r="A105" s="45" t="str">
        <f>'ORÇAMENTO NÃO DESONERADO'!A41</f>
        <v>4.3.8</v>
      </c>
      <c r="B105" s="1145" t="str">
        <f>'ORÇAMENTO NÃO DESONERADO'!C41</f>
        <v>ARMAÇÃO DE PILAR OU VIGA DE UMA ESTRUTURA CONVENCIONAL DE CONCRETO ARMADO EM UMA EDIFÍCAÇÃO TÉRREA OU SOBRADO UTILIZANDO AÇO CA-50 DE 5.0 MM - MONTAGEM. AF_12/2015</v>
      </c>
      <c r="C105" s="1145"/>
      <c r="D105" s="1145"/>
      <c r="E105" s="1145"/>
      <c r="F105" s="1145"/>
      <c r="G105" s="1145"/>
      <c r="H105" s="1145"/>
      <c r="I105" s="1145"/>
      <c r="J105" s="1145"/>
      <c r="K105" s="1145"/>
      <c r="L105" s="1145"/>
      <c r="M105" s="1145"/>
      <c r="N105" s="1145"/>
    </row>
    <row r="106" spans="2:14" s="41" customFormat="1" ht="12.75">
      <c r="B106" s="1145"/>
      <c r="C106" s="1145"/>
      <c r="D106" s="1145"/>
      <c r="E106" s="1145"/>
      <c r="F106" s="1145"/>
      <c r="G106" s="1145"/>
      <c r="H106" s="1145"/>
      <c r="I106" s="1145"/>
      <c r="J106" s="1145"/>
      <c r="K106" s="1145"/>
      <c r="L106" s="1145"/>
      <c r="M106" s="1145"/>
      <c r="N106" s="1145"/>
    </row>
    <row r="107" s="41" customFormat="1" ht="12.75"/>
    <row r="108" spans="2:10" s="41" customFormat="1" ht="15">
      <c r="B108" s="237"/>
      <c r="C108" s="205" t="s">
        <v>155</v>
      </c>
      <c r="D108" s="233"/>
      <c r="E108" s="381"/>
      <c r="F108" s="381"/>
      <c r="G108" s="381"/>
      <c r="H108" s="381"/>
      <c r="I108" s="381"/>
      <c r="J108" s="381"/>
    </row>
    <row r="109" spans="2:10" s="41" customFormat="1" ht="15">
      <c r="B109" s="237"/>
      <c r="C109" s="214" t="s">
        <v>178</v>
      </c>
      <c r="D109" s="380"/>
      <c r="E109" s="380"/>
      <c r="F109" s="223"/>
      <c r="G109" s="228"/>
      <c r="H109" s="221"/>
      <c r="I109" s="228"/>
      <c r="J109" s="224"/>
    </row>
    <row r="110" spans="2:10" s="41" customFormat="1" ht="15">
      <c r="B110" s="237"/>
      <c r="C110" s="205"/>
      <c r="D110" s="380"/>
      <c r="E110" s="1147" t="s">
        <v>262</v>
      </c>
      <c r="F110" s="1147"/>
      <c r="H110" s="234"/>
      <c r="I110" s="1147"/>
      <c r="J110" s="1147"/>
    </row>
    <row r="111" spans="2:10" s="41" customFormat="1" ht="15">
      <c r="B111" s="237"/>
      <c r="C111" s="207" t="s">
        <v>261</v>
      </c>
      <c r="D111" s="380"/>
      <c r="E111" s="1147"/>
      <c r="F111" s="1147"/>
      <c r="G111" s="480" t="s">
        <v>259</v>
      </c>
      <c r="H111" s="234"/>
      <c r="I111" s="1147"/>
      <c r="J111" s="1147"/>
    </row>
    <row r="112" spans="2:10" s="41" customFormat="1" ht="15">
      <c r="B112" s="237"/>
      <c r="C112" s="202">
        <v>7</v>
      </c>
      <c r="D112" s="380" t="s">
        <v>29</v>
      </c>
      <c r="E112" s="380">
        <v>0.46</v>
      </c>
      <c r="F112" s="223" t="s">
        <v>29</v>
      </c>
      <c r="G112" s="380">
        <f>G97</f>
        <v>4</v>
      </c>
      <c r="H112" s="205" t="s">
        <v>30</v>
      </c>
      <c r="I112" s="224">
        <f>ROUND((C112*E112*G112),2)</f>
        <v>12.88</v>
      </c>
      <c r="J112" s="236" t="s">
        <v>81</v>
      </c>
    </row>
    <row r="113" spans="2:10" s="41" customFormat="1" ht="15">
      <c r="B113" s="237"/>
      <c r="C113" s="208"/>
      <c r="D113" s="380"/>
      <c r="E113" s="380"/>
      <c r="F113" s="223"/>
      <c r="G113" s="228"/>
      <c r="H113" s="221"/>
      <c r="I113" s="228"/>
      <c r="J113" s="224"/>
    </row>
    <row r="114" spans="2:10" s="41" customFormat="1" ht="15">
      <c r="B114" s="237"/>
      <c r="C114" s="215" t="s">
        <v>111</v>
      </c>
      <c r="D114" s="380"/>
      <c r="E114" s="380"/>
      <c r="F114" s="223"/>
      <c r="G114" s="228"/>
      <c r="H114" s="221"/>
      <c r="I114" s="228"/>
      <c r="J114" s="224"/>
    </row>
    <row r="115" spans="2:10" s="41" customFormat="1" ht="15">
      <c r="B115" s="237"/>
      <c r="C115" s="211" t="s">
        <v>112</v>
      </c>
      <c r="D115" s="380"/>
      <c r="E115" s="380" t="s">
        <v>113</v>
      </c>
      <c r="F115" s="205"/>
      <c r="G115" s="205"/>
      <c r="H115" s="205"/>
      <c r="I115" s="205"/>
      <c r="J115" s="224"/>
    </row>
    <row r="116" spans="2:10" s="41" customFormat="1" ht="15">
      <c r="B116" s="237"/>
      <c r="C116" s="211">
        <f>I112</f>
        <v>12.88</v>
      </c>
      <c r="D116" s="380" t="s">
        <v>29</v>
      </c>
      <c r="E116" s="235">
        <v>0.154</v>
      </c>
      <c r="F116" s="205"/>
      <c r="G116" s="205"/>
      <c r="H116" s="205"/>
      <c r="I116" s="236"/>
      <c r="J116" s="221"/>
    </row>
    <row r="117" spans="6:8" s="41" customFormat="1" ht="12.75">
      <c r="F117" s="205"/>
      <c r="G117" s="205"/>
      <c r="H117" s="205"/>
    </row>
    <row r="118" spans="2:4" s="41" customFormat="1" ht="12.75">
      <c r="B118" s="25" t="s">
        <v>109</v>
      </c>
      <c r="C118" s="39">
        <f>ROUND((C116*E116),2)</f>
        <v>1.98</v>
      </c>
      <c r="D118" s="40" t="s">
        <v>92</v>
      </c>
    </row>
    <row r="119" spans="2:4" s="482" customFormat="1" ht="12.75">
      <c r="B119" s="30"/>
      <c r="C119" s="30"/>
      <c r="D119" s="30"/>
    </row>
    <row r="120" spans="1:2" s="41" customFormat="1" ht="15">
      <c r="A120" s="45" t="str">
        <f>'ORÇAMENTO NÃO DESONERADO'!A42</f>
        <v>4.3.9</v>
      </c>
      <c r="B120" s="201" t="str">
        <f>'ORÇAMENTO NÃO DESONERADO'!C42</f>
        <v>ESTRUTURA METALICA DO CESTO DA LIXEIRA</v>
      </c>
    </row>
    <row r="121" s="41" customFormat="1" ht="12.75"/>
    <row r="122" s="41" customFormat="1" ht="12.75"/>
    <row r="123" spans="2:4" s="41" customFormat="1" ht="12.75">
      <c r="B123" s="25" t="s">
        <v>109</v>
      </c>
      <c r="C123" s="39">
        <f>G97</f>
        <v>4</v>
      </c>
      <c r="D123" s="40" t="s">
        <v>92</v>
      </c>
    </row>
    <row r="124" s="41" customFormat="1" ht="12.75"/>
    <row r="125" spans="1:2" s="41" customFormat="1" ht="15">
      <c r="A125" s="45" t="str">
        <f>'ORÇAMENTO NÃO DESONERADO'!A43</f>
        <v>4.4</v>
      </c>
      <c r="B125" s="201" t="str">
        <f>'ORÇAMENTO NÃO DESONERADO'!C43</f>
        <v>BANCOS DE CONCRETO</v>
      </c>
    </row>
    <row r="126" s="41" customFormat="1" ht="12.75"/>
    <row r="127" spans="1:2" s="41" customFormat="1" ht="15">
      <c r="A127" s="201"/>
      <c r="B127" s="201" t="str">
        <f>'ORÇAMENTO NÃO DESONERADO'!C44</f>
        <v xml:space="preserve">FUNDAÇÃO </v>
      </c>
    </row>
    <row r="128" spans="1:2" s="41" customFormat="1" ht="15">
      <c r="A128" s="45" t="str">
        <f>'ORÇAMENTO NÃO DESONERADO'!A45</f>
        <v>4.4.1</v>
      </c>
      <c r="B128" s="497" t="str">
        <f>'ORÇAMENTO NÃO DESONERADO'!C45</f>
        <v>ESCAVAÇÃO MANUAL DE VALAS. AF_03/2016</v>
      </c>
    </row>
    <row r="129" s="41" customFormat="1" ht="12.75"/>
    <row r="130" s="41" customFormat="1" ht="16.5">
      <c r="B130" s="500" t="s">
        <v>272</v>
      </c>
    </row>
    <row r="131" spans="2:13" s="41" customFormat="1" ht="30.75" customHeight="1">
      <c r="B131" s="41" t="s">
        <v>270</v>
      </c>
      <c r="D131" s="379" t="s">
        <v>271</v>
      </c>
      <c r="F131" s="1155" t="s">
        <v>273</v>
      </c>
      <c r="G131" s="1155"/>
      <c r="I131" s="475" t="s">
        <v>268</v>
      </c>
      <c r="J131" s="475"/>
      <c r="K131" s="475"/>
      <c r="M131" s="379" t="s">
        <v>269</v>
      </c>
    </row>
    <row r="132" spans="2:13" s="41" customFormat="1" ht="12.75">
      <c r="B132" s="202">
        <v>0.6</v>
      </c>
      <c r="C132" s="202" t="s">
        <v>29</v>
      </c>
      <c r="D132" s="202">
        <v>0.3</v>
      </c>
      <c r="E132" s="202" t="s">
        <v>29</v>
      </c>
      <c r="F132" s="1154">
        <v>0.4</v>
      </c>
      <c r="G132" s="1154"/>
      <c r="H132" s="379" t="s">
        <v>29</v>
      </c>
      <c r="I132" s="1154">
        <v>2</v>
      </c>
      <c r="J132" s="1154"/>
      <c r="K132" s="1154"/>
      <c r="L132" s="379" t="s">
        <v>29</v>
      </c>
      <c r="M132" s="202">
        <v>4</v>
      </c>
    </row>
    <row r="133" s="41" customFormat="1" ht="12.75"/>
    <row r="134" spans="2:4" s="41" customFormat="1" ht="12.75">
      <c r="B134" s="25" t="s">
        <v>109</v>
      </c>
      <c r="C134" s="39">
        <f>ROUND((B132*D132*F132*I132*M132),2)</f>
        <v>0.58</v>
      </c>
      <c r="D134" s="40" t="s">
        <v>2</v>
      </c>
    </row>
    <row r="135" s="41" customFormat="1" ht="12.75"/>
    <row r="136" spans="1:2" s="41" customFormat="1" ht="15">
      <c r="A136" s="45" t="str">
        <f>'ORÇAMENTO NÃO DESONERADO'!A46</f>
        <v>4.4.2</v>
      </c>
      <c r="B136" s="201" t="str">
        <f>'ORÇAMENTO NÃO DESONERADO'!C46</f>
        <v>LASTRO DE CONCRETO MAGRO, APLICADO EM BLOCOS DE COROAMENTO OU SAPATAS, ESPESSURA DE 5 CM. AF_08/2017</v>
      </c>
    </row>
    <row r="137" spans="1:2" s="41" customFormat="1" ht="15">
      <c r="A137" s="201"/>
      <c r="B137" s="201"/>
    </row>
    <row r="138" spans="2:8" s="41" customFormat="1" ht="12.75">
      <c r="B138" s="379" t="s">
        <v>274</v>
      </c>
      <c r="D138" s="379" t="s">
        <v>275</v>
      </c>
      <c r="F138" s="379" t="s">
        <v>276</v>
      </c>
      <c r="H138" s="379" t="s">
        <v>277</v>
      </c>
    </row>
    <row r="139" spans="2:8" s="41" customFormat="1" ht="12.75">
      <c r="B139" s="202">
        <v>0.5</v>
      </c>
      <c r="C139" s="202" t="s">
        <v>29</v>
      </c>
      <c r="D139" s="202">
        <v>0.2</v>
      </c>
      <c r="E139" s="202" t="s">
        <v>29</v>
      </c>
      <c r="F139" s="202">
        <f>I132</f>
        <v>2</v>
      </c>
      <c r="G139" s="379" t="s">
        <v>29</v>
      </c>
      <c r="H139" s="202">
        <f>M132</f>
        <v>4</v>
      </c>
    </row>
    <row r="140" s="41" customFormat="1" ht="12.75"/>
    <row r="141" spans="2:4" s="41" customFormat="1" ht="12.75">
      <c r="B141" s="25" t="s">
        <v>109</v>
      </c>
      <c r="C141" s="39">
        <f>ROUND((B139*D139*F139*H139),2)</f>
        <v>0.8</v>
      </c>
      <c r="D141" s="40" t="s">
        <v>2</v>
      </c>
    </row>
    <row r="142" s="41" customFormat="1" ht="12.75"/>
    <row r="143" spans="1:2" s="41" customFormat="1" ht="15">
      <c r="A143" s="45" t="str">
        <f>'ORÇAMENTO NÃO DESONERADO'!A47</f>
        <v>4.4.3</v>
      </c>
      <c r="B143" s="201" t="str">
        <f>'ORÇAMENTO NÃO DESONERADO'!C47</f>
        <v>FABRICAÇÃO, MONTAGEM E DESMONTAGEM DE FÔRMA PARA SAPATA, EM MADEIRA SERRADA, E=25 MM, 4 UTILIZAÇÕES. AF_06/2017</v>
      </c>
    </row>
    <row r="144" s="41" customFormat="1" ht="12.75"/>
    <row r="145" s="41" customFormat="1" ht="16.5">
      <c r="B145" s="499" t="s">
        <v>193</v>
      </c>
    </row>
    <row r="146" spans="2:8" s="41" customFormat="1" ht="12.75">
      <c r="B146" s="41" t="s">
        <v>278</v>
      </c>
      <c r="D146" s="379" t="s">
        <v>33</v>
      </c>
      <c r="F146" s="379" t="s">
        <v>276</v>
      </c>
      <c r="H146" s="379" t="s">
        <v>277</v>
      </c>
    </row>
    <row r="147" spans="2:10" s="41" customFormat="1" ht="12.75">
      <c r="B147" s="202">
        <v>1.4</v>
      </c>
      <c r="C147" s="379" t="s">
        <v>29</v>
      </c>
      <c r="D147" s="448">
        <v>0.15</v>
      </c>
      <c r="E147" s="202" t="s">
        <v>29</v>
      </c>
      <c r="F147" s="202">
        <f>F139</f>
        <v>2</v>
      </c>
      <c r="G147" s="379" t="s">
        <v>29</v>
      </c>
      <c r="H147" s="202">
        <f>H139</f>
        <v>4</v>
      </c>
      <c r="I147" s="379" t="s">
        <v>30</v>
      </c>
      <c r="J147" s="448">
        <f>ROUND((B147*D147*F147*H147),2)</f>
        <v>1.68</v>
      </c>
    </row>
    <row r="148" s="41" customFormat="1" ht="12.75"/>
    <row r="149" s="41" customFormat="1" ht="16.5">
      <c r="B149" s="499" t="s">
        <v>197</v>
      </c>
    </row>
    <row r="150" spans="2:8" s="41" customFormat="1" ht="12.75">
      <c r="B150" s="41" t="s">
        <v>278</v>
      </c>
      <c r="D150" s="379" t="s">
        <v>33</v>
      </c>
      <c r="F150" s="379" t="s">
        <v>276</v>
      </c>
      <c r="H150" s="379" t="s">
        <v>277</v>
      </c>
    </row>
    <row r="151" spans="2:10" s="41" customFormat="1" ht="12.75">
      <c r="B151" s="202">
        <v>1.2</v>
      </c>
      <c r="C151" s="379" t="s">
        <v>29</v>
      </c>
      <c r="D151" s="202">
        <v>0.2</v>
      </c>
      <c r="E151" s="202" t="s">
        <v>29</v>
      </c>
      <c r="F151" s="202">
        <f>F147</f>
        <v>2</v>
      </c>
      <c r="G151" s="379" t="s">
        <v>29</v>
      </c>
      <c r="H151" s="202">
        <f>H147</f>
        <v>4</v>
      </c>
      <c r="I151" s="379" t="s">
        <v>30</v>
      </c>
      <c r="J151" s="448">
        <f>ROUND((B151*D151*F151*H151),2)</f>
        <v>1.92</v>
      </c>
    </row>
    <row r="152" s="41" customFormat="1" ht="12.75"/>
    <row r="153" spans="2:4" s="41" customFormat="1" ht="12.75">
      <c r="B153" s="25" t="s">
        <v>109</v>
      </c>
      <c r="C153" s="39">
        <f>J147+J151</f>
        <v>3.5999999999999996</v>
      </c>
      <c r="D153" s="40" t="s">
        <v>2</v>
      </c>
    </row>
    <row r="154" s="41" customFormat="1" ht="12.75"/>
    <row r="155" spans="1:2" s="41" customFormat="1" ht="15">
      <c r="A155" s="45" t="str">
        <f>'ORÇAMENTO NÃO DESONERADO'!A48</f>
        <v>4.4.4</v>
      </c>
      <c r="B155" s="201" t="str">
        <f>'ORÇAMENTO NÃO DESONERADO'!C48</f>
        <v>CONCRETO CICLOPICO FCK=10MPA 30% PEDRA DE MAO INCLUSIVE LANCAMENTO</v>
      </c>
    </row>
    <row r="156" s="41" customFormat="1" ht="12.75"/>
    <row r="157" s="41" customFormat="1" ht="16.5">
      <c r="B157" s="500" t="s">
        <v>279</v>
      </c>
    </row>
    <row r="158" spans="2:13" s="41" customFormat="1" ht="12.75">
      <c r="B158" s="379" t="s">
        <v>274</v>
      </c>
      <c r="D158" s="379" t="s">
        <v>275</v>
      </c>
      <c r="F158" s="1155" t="s">
        <v>273</v>
      </c>
      <c r="G158" s="1155"/>
      <c r="I158" s="475" t="s">
        <v>268</v>
      </c>
      <c r="J158" s="475"/>
      <c r="K158" s="475"/>
      <c r="M158" s="379" t="s">
        <v>269</v>
      </c>
    </row>
    <row r="159" spans="2:15" ht="12.75">
      <c r="B159" s="202">
        <v>0.5</v>
      </c>
      <c r="C159" s="202" t="s">
        <v>29</v>
      </c>
      <c r="D159" s="202">
        <v>0.2</v>
      </c>
      <c r="E159" s="202" t="s">
        <v>29</v>
      </c>
      <c r="F159" s="1154">
        <v>0.15</v>
      </c>
      <c r="G159" s="1154"/>
      <c r="H159" s="379" t="s">
        <v>29</v>
      </c>
      <c r="I159" s="1154">
        <v>2</v>
      </c>
      <c r="J159" s="1154"/>
      <c r="K159" s="1154"/>
      <c r="L159" s="379" t="s">
        <v>29</v>
      </c>
      <c r="M159" s="202">
        <f>H151</f>
        <v>4</v>
      </c>
      <c r="N159" s="379" t="s">
        <v>30</v>
      </c>
      <c r="O159" s="202">
        <f>ROUND((B159*D159*F159*I159*M159),2)</f>
        <v>0.12</v>
      </c>
    </row>
    <row r="160" ht="12.75">
      <c r="O160" s="202"/>
    </row>
    <row r="161" spans="2:15" ht="16.5">
      <c r="B161" s="500" t="s">
        <v>197</v>
      </c>
      <c r="O161" s="202"/>
    </row>
    <row r="162" spans="2:15" ht="12.75">
      <c r="B162" s="379" t="s">
        <v>274</v>
      </c>
      <c r="D162" s="379" t="s">
        <v>275</v>
      </c>
      <c r="F162" s="1155" t="s">
        <v>273</v>
      </c>
      <c r="G162" s="1155"/>
      <c r="I162" s="475" t="s">
        <v>268</v>
      </c>
      <c r="J162" s="475"/>
      <c r="K162" s="475"/>
      <c r="M162" s="379" t="s">
        <v>269</v>
      </c>
      <c r="O162" s="202"/>
    </row>
    <row r="163" spans="2:15" ht="12.75">
      <c r="B163" s="202">
        <v>0.5</v>
      </c>
      <c r="C163" s="202" t="s">
        <v>29</v>
      </c>
      <c r="D163" s="202">
        <v>0.1</v>
      </c>
      <c r="E163" s="202" t="s">
        <v>29</v>
      </c>
      <c r="F163" s="1154">
        <v>0.2</v>
      </c>
      <c r="G163" s="1154"/>
      <c r="H163" s="379" t="s">
        <v>29</v>
      </c>
      <c r="I163" s="1154">
        <v>2</v>
      </c>
      <c r="J163" s="1154"/>
      <c r="K163" s="1154"/>
      <c r="L163" s="379" t="s">
        <v>29</v>
      </c>
      <c r="M163" s="202">
        <f>H151</f>
        <v>4</v>
      </c>
      <c r="N163" s="379" t="s">
        <v>30</v>
      </c>
      <c r="O163" s="202">
        <f>ROUND((B163*D163*F163*I163*M163),2)</f>
        <v>0.08</v>
      </c>
    </row>
    <row r="165" spans="2:4" ht="12.75">
      <c r="B165" s="25" t="s">
        <v>109</v>
      </c>
      <c r="C165" s="39">
        <f>O159+O163</f>
        <v>0.2</v>
      </c>
      <c r="D165" s="40" t="s">
        <v>2</v>
      </c>
    </row>
    <row r="168" ht="15">
      <c r="B168" s="201" t="str">
        <f>'ORÇAMENTO NÃO DESONERADO'!C49</f>
        <v>ESTRUTURA</v>
      </c>
    </row>
    <row r="169" spans="1:3" ht="15">
      <c r="A169" s="45" t="str">
        <f>'ORÇAMENTO NÃO DESONERADO'!A50</f>
        <v>4.4.5</v>
      </c>
      <c r="B169" s="201" t="str">
        <f>'ORÇAMENTO NÃO DESONERADO'!C50</f>
        <v>FABRICAÇÃO DE FÔRMA PARA PILARES E ESTRUTURAS SIMILARES, EM CHAPA DE MADEIRA COMPENSADA RESINADA, E = 17 MM. AF_12/2015</v>
      </c>
      <c r="C169" s="201"/>
    </row>
    <row r="171" ht="12.75">
      <c r="B171" s="41" t="s">
        <v>281</v>
      </c>
    </row>
    <row r="173" ht="16.5">
      <c r="B173" s="498" t="s">
        <v>282</v>
      </c>
    </row>
    <row r="174" spans="3:7" ht="12.75">
      <c r="C174" s="41" t="s">
        <v>280</v>
      </c>
      <c r="E174" s="379" t="s">
        <v>36</v>
      </c>
      <c r="G174" s="379" t="s">
        <v>269</v>
      </c>
    </row>
    <row r="175" spans="2:9" ht="12.75">
      <c r="B175" s="379" t="s">
        <v>34</v>
      </c>
      <c r="C175" s="202">
        <v>3</v>
      </c>
      <c r="D175" s="379" t="s">
        <v>29</v>
      </c>
      <c r="E175" s="202">
        <v>0.5</v>
      </c>
      <c r="F175" s="379" t="s">
        <v>29</v>
      </c>
      <c r="G175" s="202">
        <v>4</v>
      </c>
      <c r="H175" s="379" t="s">
        <v>30</v>
      </c>
      <c r="I175" s="202">
        <f>ROUND((C175*E175*G175),2)</f>
        <v>6</v>
      </c>
    </row>
    <row r="177" ht="16.5">
      <c r="B177" s="499" t="s">
        <v>283</v>
      </c>
    </row>
    <row r="178" spans="3:9" ht="12.75">
      <c r="C178" s="202" t="s">
        <v>33</v>
      </c>
      <c r="D178" s="202"/>
      <c r="E178" s="202" t="s">
        <v>194</v>
      </c>
      <c r="F178" s="202"/>
      <c r="G178" s="202" t="s">
        <v>284</v>
      </c>
      <c r="I178" s="379" t="s">
        <v>269</v>
      </c>
    </row>
    <row r="179" spans="2:11" ht="12.75">
      <c r="B179" s="379" t="s">
        <v>34</v>
      </c>
      <c r="C179" s="202">
        <v>0.45</v>
      </c>
      <c r="D179" s="202" t="s">
        <v>29</v>
      </c>
      <c r="E179" s="202">
        <v>0.1</v>
      </c>
      <c r="F179" s="202" t="s">
        <v>29</v>
      </c>
      <c r="G179" s="202">
        <v>2</v>
      </c>
      <c r="H179" s="379" t="s">
        <v>29</v>
      </c>
      <c r="I179" s="202">
        <f>M163</f>
        <v>4</v>
      </c>
      <c r="J179" s="379" t="s">
        <v>30</v>
      </c>
      <c r="K179" s="202">
        <f>ROUND((C179*E179*G179*I179),2)</f>
        <v>0.36</v>
      </c>
    </row>
    <row r="180" spans="3:7" ht="12.75">
      <c r="C180" s="379" t="s">
        <v>32</v>
      </c>
      <c r="E180" s="41" t="s">
        <v>194</v>
      </c>
      <c r="G180" s="379" t="s">
        <v>269</v>
      </c>
    </row>
    <row r="181" spans="3:9" ht="12.75">
      <c r="C181" s="202">
        <v>1.9</v>
      </c>
      <c r="D181" s="202" t="s">
        <v>29</v>
      </c>
      <c r="E181" s="202">
        <v>0.1</v>
      </c>
      <c r="F181" s="202" t="s">
        <v>29</v>
      </c>
      <c r="G181" s="202">
        <f>I179</f>
        <v>4</v>
      </c>
      <c r="H181" s="379" t="s">
        <v>30</v>
      </c>
      <c r="I181" s="202">
        <f>ROUND((C181*E181*G181),2)</f>
        <v>0.76</v>
      </c>
    </row>
    <row r="183" spans="2:4" ht="12.75">
      <c r="B183" s="25" t="s">
        <v>109</v>
      </c>
      <c r="C183" s="39">
        <f>I175+K179+I181</f>
        <v>7.12</v>
      </c>
      <c r="D183" s="40" t="s">
        <v>2</v>
      </c>
    </row>
    <row r="185" spans="1:2" ht="15">
      <c r="A185" s="45" t="str">
        <f>'ORÇAMENTO NÃO DESONERADO'!A51</f>
        <v>4.4.6</v>
      </c>
      <c r="B185" s="201" t="str">
        <f>'ORÇAMENTO NÃO DESONERADO'!C51</f>
        <v>CONCRETO FCK = 15MPA, TRAÇO 1:3,4:3,5 (CIMENTO/ AREIA MÉDIA/ BRITA 1)- PREPARO MECÂNICO COM BETONEIRA 400 L. AF_07/2016</v>
      </c>
    </row>
    <row r="187" ht="16.5">
      <c r="B187" s="498" t="s">
        <v>282</v>
      </c>
    </row>
    <row r="188" spans="3:9" ht="12.75">
      <c r="C188" s="379" t="s">
        <v>285</v>
      </c>
      <c r="E188" s="379" t="s">
        <v>36</v>
      </c>
      <c r="G188" s="379" t="s">
        <v>194</v>
      </c>
      <c r="I188" s="379" t="s">
        <v>269</v>
      </c>
    </row>
    <row r="189" spans="2:11" ht="12.75">
      <c r="B189" s="379" t="s">
        <v>34</v>
      </c>
      <c r="C189" s="202">
        <v>1.9</v>
      </c>
      <c r="D189" s="379" t="s">
        <v>29</v>
      </c>
      <c r="E189" s="202">
        <v>0.5</v>
      </c>
      <c r="F189" s="379" t="s">
        <v>29</v>
      </c>
      <c r="G189" s="202">
        <v>0.1</v>
      </c>
      <c r="H189" s="379" t="s">
        <v>29</v>
      </c>
      <c r="I189" s="202">
        <v>4</v>
      </c>
      <c r="J189" s="379" t="s">
        <v>30</v>
      </c>
      <c r="K189" s="202">
        <f>ROUND((C189*E189*G189*I189),2)</f>
        <v>0.38</v>
      </c>
    </row>
    <row r="191" ht="16.5">
      <c r="B191" s="499" t="s">
        <v>283</v>
      </c>
    </row>
    <row r="192" spans="3:11" ht="12.75">
      <c r="C192" s="202" t="s">
        <v>33</v>
      </c>
      <c r="D192" s="202"/>
      <c r="E192" s="202" t="s">
        <v>194</v>
      </c>
      <c r="G192" s="379" t="s">
        <v>36</v>
      </c>
      <c r="H192" s="202"/>
      <c r="I192" s="202" t="s">
        <v>284</v>
      </c>
      <c r="K192" s="379" t="s">
        <v>269</v>
      </c>
    </row>
    <row r="193" spans="2:13" ht="12.75">
      <c r="B193" s="379" t="s">
        <v>34</v>
      </c>
      <c r="C193" s="202">
        <v>0.45</v>
      </c>
      <c r="D193" s="202" t="s">
        <v>29</v>
      </c>
      <c r="E193" s="202">
        <v>0.1</v>
      </c>
      <c r="F193" s="379" t="s">
        <v>29</v>
      </c>
      <c r="G193" s="202">
        <v>0.5</v>
      </c>
      <c r="H193" s="202" t="s">
        <v>29</v>
      </c>
      <c r="I193" s="202">
        <v>2</v>
      </c>
      <c r="J193" s="379" t="s">
        <v>29</v>
      </c>
      <c r="K193" s="202">
        <v>4</v>
      </c>
      <c r="L193" s="379" t="s">
        <v>30</v>
      </c>
      <c r="M193" s="202">
        <f>ROUND((C193*E193*I193*G193*K193),2)</f>
        <v>0.18</v>
      </c>
    </row>
    <row r="195" spans="2:4" ht="12.75">
      <c r="B195" s="25" t="s">
        <v>109</v>
      </c>
      <c r="C195" s="39">
        <f>K189+M193</f>
        <v>0.56</v>
      </c>
      <c r="D195" s="40" t="s">
        <v>2</v>
      </c>
    </row>
    <row r="197" spans="1:15" ht="29.25" customHeight="1">
      <c r="A197" s="220" t="str">
        <f>'ORÇAMENTO NÃO DESONERADO'!A52</f>
        <v>4.4.7</v>
      </c>
      <c r="B197" s="1149" t="str">
        <f>'ORÇAMENTO NÃO DESONERADO'!C52</f>
        <v>ARMAÇÃO DE ESTRUTURAS DE CONCRETO ARMADO, EXCETO VIGAS, PILARES, LAJES E FUNDAÇÕES, UTILIZANDO AÇO CA-60 DE 5,0 MM - MONTAGEM. AF_12/2015</v>
      </c>
      <c r="C197" s="1149"/>
      <c r="D197" s="1149"/>
      <c r="E197" s="1149"/>
      <c r="F197" s="1149"/>
      <c r="G197" s="1149"/>
      <c r="H197" s="1149"/>
      <c r="I197" s="1149"/>
      <c r="J197" s="1149"/>
      <c r="K197" s="1149"/>
      <c r="L197" s="1149"/>
      <c r="M197" s="1149"/>
      <c r="N197" s="1149"/>
      <c r="O197" s="1149"/>
    </row>
    <row r="199" spans="3:7" ht="12.75">
      <c r="C199" s="448" t="s">
        <v>32</v>
      </c>
      <c r="E199" s="379" t="s">
        <v>113</v>
      </c>
      <c r="G199" s="379" t="s">
        <v>269</v>
      </c>
    </row>
    <row r="200" spans="2:9" ht="12.75">
      <c r="B200" s="379" t="s">
        <v>34</v>
      </c>
      <c r="C200" s="202">
        <v>24.57</v>
      </c>
      <c r="D200" s="379" t="s">
        <v>29</v>
      </c>
      <c r="E200" s="448">
        <v>0.154</v>
      </c>
      <c r="F200" s="379" t="s">
        <v>29</v>
      </c>
      <c r="G200" s="202">
        <f>K193</f>
        <v>4</v>
      </c>
      <c r="H200" s="379" t="s">
        <v>30</v>
      </c>
      <c r="I200" s="448">
        <f>ROUND((C200*E200*G200),2)</f>
        <v>15.14</v>
      </c>
    </row>
    <row r="202" spans="2:4" ht="12.75">
      <c r="B202" s="25" t="s">
        <v>109</v>
      </c>
      <c r="C202" s="39">
        <f>I200</f>
        <v>15.14</v>
      </c>
      <c r="D202" s="40" t="s">
        <v>31</v>
      </c>
    </row>
    <row r="204" spans="1:15" ht="29.25" customHeight="1">
      <c r="A204" s="45" t="str">
        <f>'ORÇAMENTO NÃO DESONERADO'!A53</f>
        <v>4.4.8</v>
      </c>
      <c r="B204" s="1145" t="str">
        <f>'ORÇAMENTO NÃO DESONERADO'!C53</f>
        <v>ARMAÇÃO DE ESTRUTURAS DE CONCRETO ARMADO, EXCETO VIGAS, PILARES, LAJES E FUNDAÇÕES, UTILIZANDO AÇO CA-50 DE 8,0 MM - MONTAGEM. AF_12/2015</v>
      </c>
      <c r="C204" s="1145"/>
      <c r="D204" s="1145"/>
      <c r="E204" s="1145"/>
      <c r="F204" s="1145"/>
      <c r="G204" s="1145"/>
      <c r="H204" s="1145"/>
      <c r="I204" s="1145"/>
      <c r="J204" s="1145"/>
      <c r="K204" s="1145"/>
      <c r="L204" s="1145"/>
      <c r="M204" s="1145"/>
      <c r="N204" s="1145"/>
      <c r="O204" s="1145"/>
    </row>
    <row r="206" spans="3:7" ht="12.75">
      <c r="C206" s="448" t="s">
        <v>32</v>
      </c>
      <c r="E206" s="379" t="s">
        <v>113</v>
      </c>
      <c r="G206" s="379" t="s">
        <v>269</v>
      </c>
    </row>
    <row r="207" spans="2:9" ht="12.75">
      <c r="B207" s="379" t="s">
        <v>34</v>
      </c>
      <c r="C207" s="202">
        <v>29.7</v>
      </c>
      <c r="D207" s="379" t="s">
        <v>29</v>
      </c>
      <c r="E207" s="448">
        <v>0.395</v>
      </c>
      <c r="F207" s="379" t="s">
        <v>29</v>
      </c>
      <c r="G207" s="202">
        <f>G200</f>
        <v>4</v>
      </c>
      <c r="H207" s="379" t="s">
        <v>30</v>
      </c>
      <c r="I207" s="448">
        <f>ROUND((C207*E207*G207),2)</f>
        <v>46.93</v>
      </c>
    </row>
    <row r="209" spans="2:4" ht="12.75">
      <c r="B209" s="25" t="s">
        <v>109</v>
      </c>
      <c r="C209" s="39">
        <f>I207</f>
        <v>46.93</v>
      </c>
      <c r="D209" s="40" t="s">
        <v>31</v>
      </c>
    </row>
    <row r="211" ht="15">
      <c r="B211" s="201" t="str">
        <f>'ORÇAMENTO NÃO DESONERADO'!C54</f>
        <v>SEIXO</v>
      </c>
    </row>
    <row r="212" spans="1:2" ht="15">
      <c r="A212" s="45" t="str">
        <f>'ORÇAMENTO NÃO DESONERADO'!A55</f>
        <v>4.4.9</v>
      </c>
      <c r="B212" s="201" t="str">
        <f>'ORÇAMENTO NÃO DESONERADO'!C55</f>
        <v>PEDRA BRITADA N. 1 (9,5 a 19 MM) POSTO PEDREIRA/FORNECEDOR, SEM FRETE</v>
      </c>
    </row>
    <row r="214" spans="3:11" ht="12.75">
      <c r="C214" s="476" t="s">
        <v>32</v>
      </c>
      <c r="D214" s="476"/>
      <c r="E214" s="476" t="s">
        <v>36</v>
      </c>
      <c r="G214" s="473" t="s">
        <v>194</v>
      </c>
      <c r="H214" s="476"/>
      <c r="I214" s="476" t="s">
        <v>291</v>
      </c>
      <c r="K214" s="473"/>
    </row>
    <row r="215" spans="2:13" ht="12.75">
      <c r="B215" s="473" t="s">
        <v>34</v>
      </c>
      <c r="C215" s="476">
        <v>2.4</v>
      </c>
      <c r="D215" s="476" t="s">
        <v>29</v>
      </c>
      <c r="E215" s="476">
        <v>0.5</v>
      </c>
      <c r="F215" s="473" t="s">
        <v>29</v>
      </c>
      <c r="G215" s="476">
        <v>0.1</v>
      </c>
      <c r="H215" s="476" t="s">
        <v>29</v>
      </c>
      <c r="I215" s="476">
        <f>G207</f>
        <v>4</v>
      </c>
      <c r="J215" s="473"/>
      <c r="K215" s="476"/>
      <c r="L215" s="473"/>
      <c r="M215" s="476"/>
    </row>
    <row r="217" spans="2:4" ht="12.75">
      <c r="B217" s="25" t="s">
        <v>109</v>
      </c>
      <c r="C217" s="39">
        <f>ROUND((C215*E215*G215*I215),2)</f>
        <v>0.48</v>
      </c>
      <c r="D217" s="40" t="s">
        <v>2</v>
      </c>
    </row>
    <row r="220" spans="1:2" ht="15">
      <c r="A220" s="45" t="str">
        <f>'ORÇAMENTO NÃO DESONERADO'!A56</f>
        <v>4.5</v>
      </c>
      <c r="B220" s="201" t="str">
        <f>'ORÇAMENTO NÃO DESONERADO'!C56</f>
        <v>CANTEIRO ELEVADO</v>
      </c>
    </row>
    <row r="221" spans="1:2" ht="15">
      <c r="A221" s="45" t="str">
        <f>'ORÇAMENTO NÃO DESONERADO'!A58</f>
        <v>4.5.1</v>
      </c>
      <c r="B221" s="201" t="str">
        <f>'ORÇAMENTO NÃO DESONERADO'!C58</f>
        <v>ESCAVAÇÃO MANUAL DE VALA COM PROFUNDIDADE MENOR OU IGUAL A 1,30 M. AF_03/2016</v>
      </c>
    </row>
    <row r="222" spans="1:2" ht="15">
      <c r="A222" s="45"/>
      <c r="B222" s="201"/>
    </row>
    <row r="223" spans="1:3" ht="15">
      <c r="A223" s="45"/>
      <c r="B223" s="201"/>
      <c r="C223" s="201" t="s">
        <v>321</v>
      </c>
    </row>
    <row r="224" spans="1:9" ht="15">
      <c r="A224" s="45"/>
      <c r="C224" s="573" t="s">
        <v>32</v>
      </c>
      <c r="D224" s="573"/>
      <c r="E224" s="573" t="s">
        <v>36</v>
      </c>
      <c r="F224" s="573"/>
      <c r="G224" s="573" t="s">
        <v>311</v>
      </c>
      <c r="I224" s="41" t="s">
        <v>314</v>
      </c>
    </row>
    <row r="225" spans="1:9" ht="15">
      <c r="A225" s="45"/>
      <c r="B225" s="572" t="s">
        <v>34</v>
      </c>
      <c r="C225" s="588">
        <v>13.4</v>
      </c>
      <c r="D225" s="573" t="s">
        <v>29</v>
      </c>
      <c r="E225" s="573">
        <v>0.25</v>
      </c>
      <c r="F225" s="573" t="s">
        <v>29</v>
      </c>
      <c r="G225" s="573">
        <v>4</v>
      </c>
      <c r="H225" s="572" t="s">
        <v>30</v>
      </c>
      <c r="I225" s="573">
        <f>C225*E225*G225</f>
        <v>13.4</v>
      </c>
    </row>
    <row r="226" spans="1:9" ht="15">
      <c r="A226" s="45"/>
      <c r="C226" s="573" t="s">
        <v>32</v>
      </c>
      <c r="D226" s="573"/>
      <c r="E226" s="573" t="s">
        <v>36</v>
      </c>
      <c r="F226" s="573"/>
      <c r="G226" s="573" t="s">
        <v>311</v>
      </c>
      <c r="I226" s="41" t="s">
        <v>314</v>
      </c>
    </row>
    <row r="227" spans="1:9" ht="15">
      <c r="A227" s="45"/>
      <c r="B227" s="572" t="s">
        <v>34</v>
      </c>
      <c r="C227" s="573">
        <v>7.05</v>
      </c>
      <c r="D227" s="573" t="s">
        <v>29</v>
      </c>
      <c r="E227" s="573">
        <v>0.15</v>
      </c>
      <c r="F227" s="573" t="s">
        <v>29</v>
      </c>
      <c r="G227" s="573">
        <v>4</v>
      </c>
      <c r="H227" s="572" t="s">
        <v>30</v>
      </c>
      <c r="I227" s="573">
        <f>C227*E227*G227</f>
        <v>4.2299999999999995</v>
      </c>
    </row>
    <row r="228" spans="1:9" ht="15">
      <c r="A228" s="45"/>
      <c r="B228" s="572"/>
      <c r="C228" s="573"/>
      <c r="D228" s="573"/>
      <c r="E228" s="573"/>
      <c r="F228" s="573"/>
      <c r="G228" s="573"/>
      <c r="H228" s="572"/>
      <c r="I228" s="573"/>
    </row>
    <row r="229" ht="15">
      <c r="A229" s="45"/>
    </row>
    <row r="230" spans="1:5" ht="15">
      <c r="A230" s="45"/>
      <c r="C230" s="25" t="s">
        <v>109</v>
      </c>
      <c r="D230" s="39">
        <f>I227+I225</f>
        <v>17.63</v>
      </c>
      <c r="E230" s="40" t="s">
        <v>3</v>
      </c>
    </row>
    <row r="231" spans="1:15" s="592" customFormat="1" ht="15">
      <c r="A231" s="591"/>
      <c r="B231" s="205"/>
      <c r="C231" s="28"/>
      <c r="D231" s="28"/>
      <c r="E231" s="28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</row>
    <row r="232" spans="1:15" s="592" customFormat="1" ht="15">
      <c r="A232" s="591" t="str">
        <f>'ORÇAMENTO NÃO DESONERADO'!A59</f>
        <v>4.5.2</v>
      </c>
      <c r="B232" s="593" t="str">
        <f>'ORÇAMENTO NÃO DESONERADO'!C59</f>
        <v>LASTRO DE CONCRETO, PREPARO MECÂNICO, INCLUSOS ADITIVO IMPERMEABILIZANTE, LANÇAMENTO E ADENSAMENTO</v>
      </c>
      <c r="C232" s="28"/>
      <c r="D232" s="28"/>
      <c r="E232" s="28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</row>
    <row r="233" spans="1:15" s="592" customFormat="1" ht="15">
      <c r="A233" s="591"/>
      <c r="B233" s="593"/>
      <c r="C233" s="28"/>
      <c r="D233" s="28"/>
      <c r="E233" s="28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</row>
    <row r="234" spans="1:15" s="592" customFormat="1" ht="15">
      <c r="A234" s="591"/>
      <c r="B234" s="593"/>
      <c r="C234" s="201" t="s">
        <v>321</v>
      </c>
      <c r="D234" s="28"/>
      <c r="E234" s="28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</row>
    <row r="235" spans="1:15" s="592" customFormat="1" ht="15">
      <c r="A235" s="591"/>
      <c r="B235" s="41"/>
      <c r="C235" s="573" t="s">
        <v>32</v>
      </c>
      <c r="D235" s="573"/>
      <c r="E235" s="573" t="s">
        <v>33</v>
      </c>
      <c r="F235" s="41"/>
      <c r="G235" s="572" t="s">
        <v>194</v>
      </c>
      <c r="H235" s="573"/>
      <c r="I235" s="573" t="s">
        <v>311</v>
      </c>
      <c r="J235" s="41"/>
      <c r="K235" s="41" t="s">
        <v>314</v>
      </c>
      <c r="L235" s="41"/>
      <c r="M235" s="205"/>
      <c r="N235" s="205"/>
      <c r="O235" s="205"/>
    </row>
    <row r="236" spans="1:15" s="592" customFormat="1" ht="15">
      <c r="A236" s="591"/>
      <c r="B236" s="572" t="s">
        <v>34</v>
      </c>
      <c r="C236" s="588">
        <v>13.4</v>
      </c>
      <c r="D236" s="573" t="s">
        <v>29</v>
      </c>
      <c r="E236" s="573">
        <v>0.1</v>
      </c>
      <c r="F236" s="572" t="s">
        <v>29</v>
      </c>
      <c r="G236" s="574">
        <v>0.03</v>
      </c>
      <c r="H236" s="573" t="s">
        <v>29</v>
      </c>
      <c r="I236" s="573">
        <v>4</v>
      </c>
      <c r="J236" s="572" t="s">
        <v>30</v>
      </c>
      <c r="K236" s="573">
        <f>C236*E236*I236*G236</f>
        <v>0.1608</v>
      </c>
      <c r="L236" s="41"/>
      <c r="M236" s="205"/>
      <c r="N236" s="205"/>
      <c r="O236" s="205"/>
    </row>
    <row r="237" spans="1:15" s="592" customFormat="1" ht="15">
      <c r="A237" s="591"/>
      <c r="B237" s="41"/>
      <c r="C237" s="573" t="s">
        <v>32</v>
      </c>
      <c r="D237" s="573"/>
      <c r="E237" s="573" t="s">
        <v>33</v>
      </c>
      <c r="F237" s="41"/>
      <c r="G237" s="41"/>
      <c r="H237" s="573"/>
      <c r="I237" s="573" t="s">
        <v>311</v>
      </c>
      <c r="J237" s="41"/>
      <c r="K237" s="41" t="s">
        <v>314</v>
      </c>
      <c r="L237" s="41"/>
      <c r="M237" s="205"/>
      <c r="N237" s="205"/>
      <c r="O237" s="205"/>
    </row>
    <row r="238" spans="1:15" s="592" customFormat="1" ht="15">
      <c r="A238" s="591"/>
      <c r="B238" s="572" t="s">
        <v>34</v>
      </c>
      <c r="C238" s="573">
        <v>7.05</v>
      </c>
      <c r="D238" s="573" t="s">
        <v>29</v>
      </c>
      <c r="E238" s="573">
        <v>0.1</v>
      </c>
      <c r="F238" s="572" t="s">
        <v>29</v>
      </c>
      <c r="G238" s="574">
        <v>0.03</v>
      </c>
      <c r="H238" s="573" t="s">
        <v>29</v>
      </c>
      <c r="I238" s="573">
        <v>4</v>
      </c>
      <c r="J238" s="572" t="s">
        <v>30</v>
      </c>
      <c r="K238" s="573">
        <f>C238*E238*I238*G238</f>
        <v>0.08460000000000001</v>
      </c>
      <c r="L238" s="41"/>
      <c r="M238" s="205"/>
      <c r="N238" s="205"/>
      <c r="O238" s="205"/>
    </row>
    <row r="239" ht="15">
      <c r="A239" s="45"/>
    </row>
    <row r="240" spans="1:5" ht="15">
      <c r="A240" s="45"/>
      <c r="C240" s="25" t="s">
        <v>109</v>
      </c>
      <c r="D240" s="39">
        <f>K238+K236</f>
        <v>0.2454</v>
      </c>
      <c r="E240" s="40" t="s">
        <v>3</v>
      </c>
    </row>
    <row r="241" spans="1:2" ht="15">
      <c r="A241" s="45"/>
      <c r="B241" s="201"/>
    </row>
    <row r="242" spans="1:2" ht="15">
      <c r="A242" s="45" t="str">
        <f>'ORÇAMENTO NÃO DESONERADO'!A60</f>
        <v>4.5.3</v>
      </c>
      <c r="B242" s="201" t="str">
        <f>'ORÇAMENTO NÃO DESONERADO'!C60</f>
        <v>FABRICAÇÃO, MONTAGEM E DESMONTAGEM DE FÔRMA PARA VIGA BALDRAME, EM MADEIRA SERRADA, E=25 MM, 4 UTILIZAÇÕES. AF_06/2017</v>
      </c>
    </row>
    <row r="243" spans="1:2" ht="15">
      <c r="A243" s="45"/>
      <c r="B243" s="201"/>
    </row>
    <row r="244" spans="1:3" ht="15">
      <c r="A244" s="45"/>
      <c r="B244" s="201"/>
      <c r="C244" s="201" t="s">
        <v>321</v>
      </c>
    </row>
    <row r="245" spans="1:11" ht="15">
      <c r="A245" s="45"/>
      <c r="C245" s="573" t="s">
        <v>32</v>
      </c>
      <c r="D245" s="573"/>
      <c r="E245" s="573" t="s">
        <v>33</v>
      </c>
      <c r="G245" s="572" t="s">
        <v>315</v>
      </c>
      <c r="H245" s="573"/>
      <c r="I245" s="573" t="s">
        <v>311</v>
      </c>
      <c r="K245" s="41" t="s">
        <v>314</v>
      </c>
    </row>
    <row r="246" spans="1:11" ht="15">
      <c r="A246" s="45"/>
      <c r="B246" s="572" t="s">
        <v>34</v>
      </c>
      <c r="C246" s="588">
        <v>13.4</v>
      </c>
      <c r="D246" s="573" t="s">
        <v>29</v>
      </c>
      <c r="E246" s="573">
        <v>0.6</v>
      </c>
      <c r="F246" s="572" t="s">
        <v>29</v>
      </c>
      <c r="G246" s="574">
        <v>2</v>
      </c>
      <c r="H246" s="573" t="s">
        <v>29</v>
      </c>
      <c r="I246" s="573">
        <v>4</v>
      </c>
      <c r="J246" s="572" t="s">
        <v>30</v>
      </c>
      <c r="K246" s="573">
        <f>C246*E246*I246*G246</f>
        <v>64.32</v>
      </c>
    </row>
    <row r="247" spans="1:11" ht="15">
      <c r="A247" s="45"/>
      <c r="C247" s="573" t="s">
        <v>32</v>
      </c>
      <c r="D247" s="573"/>
      <c r="E247" s="588" t="s">
        <v>33</v>
      </c>
      <c r="H247" s="573"/>
      <c r="I247" s="573" t="s">
        <v>311</v>
      </c>
      <c r="K247" s="41" t="s">
        <v>314</v>
      </c>
    </row>
    <row r="248" spans="1:11" ht="15">
      <c r="A248" s="45"/>
      <c r="B248" s="572" t="s">
        <v>34</v>
      </c>
      <c r="C248" s="573">
        <v>7.05</v>
      </c>
      <c r="D248" s="573" t="s">
        <v>29</v>
      </c>
      <c r="E248" s="573">
        <v>0.6</v>
      </c>
      <c r="F248" s="572" t="s">
        <v>29</v>
      </c>
      <c r="G248" s="574">
        <v>2</v>
      </c>
      <c r="H248" s="573" t="s">
        <v>29</v>
      </c>
      <c r="I248" s="573">
        <v>4</v>
      </c>
      <c r="J248" s="572" t="s">
        <v>30</v>
      </c>
      <c r="K248" s="573">
        <f>C248*E248*I248*G248</f>
        <v>33.839999999999996</v>
      </c>
    </row>
    <row r="249" ht="15">
      <c r="A249" s="45"/>
    </row>
    <row r="250" spans="1:5" ht="15">
      <c r="A250" s="45"/>
      <c r="C250" s="25" t="s">
        <v>109</v>
      </c>
      <c r="D250" s="39">
        <f>K248+K246</f>
        <v>98.16</v>
      </c>
      <c r="E250" s="40" t="s">
        <v>3</v>
      </c>
    </row>
    <row r="252" spans="1:2" ht="15">
      <c r="A252" s="45" t="str">
        <f>'ORÇAMENTO NÃO DESONERADO'!A61</f>
        <v>4.5.4</v>
      </c>
      <c r="B252" s="201" t="str">
        <f>'ORÇAMENTO NÃO DESONERADO'!C61</f>
        <v xml:space="preserve">CONCRETO CICLOPICO FCK=10MPA 30% PEDRA DE MAO INCLUSIVE LANCAMENTO </v>
      </c>
    </row>
    <row r="253" spans="1:2" ht="15">
      <c r="A253" s="45"/>
      <c r="B253" s="201"/>
    </row>
    <row r="254" spans="1:3" ht="15">
      <c r="A254" s="45"/>
      <c r="B254" s="201"/>
      <c r="C254" s="201" t="s">
        <v>321</v>
      </c>
    </row>
    <row r="255" spans="3:11" ht="12.75">
      <c r="C255" s="573" t="s">
        <v>32</v>
      </c>
      <c r="D255" s="573"/>
      <c r="E255" s="573" t="s">
        <v>36</v>
      </c>
      <c r="G255" s="572" t="s">
        <v>194</v>
      </c>
      <c r="H255" s="573"/>
      <c r="I255" s="573" t="s">
        <v>311</v>
      </c>
      <c r="K255" s="41" t="s">
        <v>312</v>
      </c>
    </row>
    <row r="256" spans="2:11" ht="12.75">
      <c r="B256" s="572" t="s">
        <v>34</v>
      </c>
      <c r="C256" s="573">
        <v>13.4</v>
      </c>
      <c r="D256" s="573" t="s">
        <v>29</v>
      </c>
      <c r="E256" s="573">
        <v>0.15</v>
      </c>
      <c r="F256" s="572" t="s">
        <v>29</v>
      </c>
      <c r="G256" s="573">
        <v>0.2</v>
      </c>
      <c r="H256" s="573" t="s">
        <v>29</v>
      </c>
      <c r="I256" s="573">
        <v>4</v>
      </c>
      <c r="J256" s="572" t="s">
        <v>30</v>
      </c>
      <c r="K256" s="573">
        <f>C256*E256*G256*I256</f>
        <v>1.6079999999999999</v>
      </c>
    </row>
    <row r="258" spans="3:11" ht="12.75">
      <c r="C258" s="573" t="s">
        <v>32</v>
      </c>
      <c r="D258" s="573"/>
      <c r="E258" s="573" t="s">
        <v>36</v>
      </c>
      <c r="G258" s="572" t="s">
        <v>194</v>
      </c>
      <c r="H258" s="573"/>
      <c r="I258" s="573" t="s">
        <v>311</v>
      </c>
      <c r="K258" s="41" t="s">
        <v>312</v>
      </c>
    </row>
    <row r="259" spans="2:11" ht="12.75">
      <c r="B259" s="572" t="s">
        <v>34</v>
      </c>
      <c r="C259" s="573">
        <v>7.05</v>
      </c>
      <c r="D259" s="573" t="s">
        <v>29</v>
      </c>
      <c r="E259" s="573">
        <v>0.15</v>
      </c>
      <c r="F259" s="572" t="s">
        <v>29</v>
      </c>
      <c r="G259" s="573">
        <v>0.2</v>
      </c>
      <c r="H259" s="573" t="s">
        <v>29</v>
      </c>
      <c r="I259" s="573">
        <v>4</v>
      </c>
      <c r="J259" s="572" t="s">
        <v>30</v>
      </c>
      <c r="K259" s="573">
        <f>C259*E259*G259*I259</f>
        <v>0.846</v>
      </c>
    </row>
    <row r="261" spans="3:5" ht="12.75">
      <c r="C261" s="25" t="s">
        <v>109</v>
      </c>
      <c r="D261" s="39">
        <f>K256+K259</f>
        <v>2.4539999999999997</v>
      </c>
      <c r="E261" s="40" t="s">
        <v>2</v>
      </c>
    </row>
    <row r="262" spans="3:5" ht="12.75">
      <c r="C262" s="28"/>
      <c r="D262" s="28"/>
      <c r="E262" s="28"/>
    </row>
    <row r="263" spans="2:5" ht="15">
      <c r="B263" s="201" t="str">
        <f>'ORÇAMENTO NÃO DESONERADO'!C62</f>
        <v>ALVENARIA</v>
      </c>
      <c r="C263" s="28"/>
      <c r="D263" s="28"/>
      <c r="E263" s="28"/>
    </row>
    <row r="264" spans="1:15" ht="15">
      <c r="A264" s="45" t="str">
        <f>'ORÇAMENTO NÃO DESONERADO'!A63</f>
        <v>4.6.5</v>
      </c>
      <c r="B264" s="1145" t="str">
        <f>'ORÇAMENTO NÃO DESONERADO'!C63</f>
        <v>ALVENARIA DE VEDAÇÃO DE BLOCOS CERÂMICOS FURADOS NA HORIZONTAL DE 9X19X19CM (ESPESSURA 9CM) DE PAREDES COM ÁREA LÍQUIDA MAIOR OU IGUAL A 6M² SEM VÃOS</v>
      </c>
      <c r="C264" s="1145"/>
      <c r="D264" s="1145"/>
      <c r="E264" s="1145"/>
      <c r="F264" s="1145"/>
      <c r="G264" s="1145"/>
      <c r="H264" s="1145"/>
      <c r="I264" s="1145"/>
      <c r="J264" s="1145"/>
      <c r="K264" s="1145"/>
      <c r="L264" s="1145"/>
      <c r="M264" s="1145"/>
      <c r="N264" s="1145"/>
      <c r="O264" s="1145"/>
    </row>
    <row r="265" spans="2:15" ht="12.75">
      <c r="B265" s="1145"/>
      <c r="C265" s="1145"/>
      <c r="D265" s="1145"/>
      <c r="E265" s="1145"/>
      <c r="F265" s="1145"/>
      <c r="G265" s="1145"/>
      <c r="H265" s="1145"/>
      <c r="I265" s="1145"/>
      <c r="J265" s="1145"/>
      <c r="K265" s="1145"/>
      <c r="L265" s="1145"/>
      <c r="M265" s="1145"/>
      <c r="N265" s="1145"/>
      <c r="O265" s="1145"/>
    </row>
    <row r="266" spans="2:15" ht="15">
      <c r="B266" s="589"/>
      <c r="C266" s="589"/>
      <c r="D266" s="589"/>
      <c r="E266" s="589"/>
      <c r="F266" s="589"/>
      <c r="G266" s="589"/>
      <c r="H266" s="589"/>
      <c r="I266" s="589"/>
      <c r="J266" s="589"/>
      <c r="K266" s="589"/>
      <c r="L266" s="589"/>
      <c r="M266" s="589"/>
      <c r="N266" s="589"/>
      <c r="O266" s="589"/>
    </row>
    <row r="267" ht="15">
      <c r="C267" s="201" t="s">
        <v>322</v>
      </c>
    </row>
    <row r="268" spans="3:9" ht="12.75">
      <c r="C268" s="573" t="s">
        <v>32</v>
      </c>
      <c r="D268" s="573"/>
      <c r="E268" s="573" t="s">
        <v>33</v>
      </c>
      <c r="F268" s="573"/>
      <c r="G268" s="573" t="s">
        <v>311</v>
      </c>
      <c r="I268" s="41" t="s">
        <v>324</v>
      </c>
    </row>
    <row r="269" spans="2:9" ht="12.75">
      <c r="B269" s="572" t="s">
        <v>34</v>
      </c>
      <c r="C269" s="573">
        <v>13.4</v>
      </c>
      <c r="D269" s="573" t="s">
        <v>29</v>
      </c>
      <c r="E269" s="573">
        <v>0.6</v>
      </c>
      <c r="F269" s="573" t="s">
        <v>29</v>
      </c>
      <c r="G269" s="573">
        <v>4</v>
      </c>
      <c r="H269" s="572" t="s">
        <v>30</v>
      </c>
      <c r="I269" s="573">
        <f>C269*E269*G269</f>
        <v>32.16</v>
      </c>
    </row>
    <row r="271" spans="3:9" ht="12.75">
      <c r="C271" s="573" t="s">
        <v>32</v>
      </c>
      <c r="D271" s="573"/>
      <c r="E271" s="588" t="s">
        <v>33</v>
      </c>
      <c r="F271" s="573"/>
      <c r="G271" s="573" t="s">
        <v>311</v>
      </c>
      <c r="I271" s="41" t="s">
        <v>324</v>
      </c>
    </row>
    <row r="272" spans="2:9" ht="12.75">
      <c r="B272" s="572" t="s">
        <v>34</v>
      </c>
      <c r="C272" s="573">
        <v>7.05</v>
      </c>
      <c r="D272" s="573" t="s">
        <v>29</v>
      </c>
      <c r="E272" s="573">
        <v>0.6</v>
      </c>
      <c r="F272" s="573" t="s">
        <v>29</v>
      </c>
      <c r="G272" s="573">
        <v>4</v>
      </c>
      <c r="H272" s="572" t="s">
        <v>30</v>
      </c>
      <c r="I272" s="573">
        <f>C272*E272*G272</f>
        <v>16.919999999999998</v>
      </c>
    </row>
    <row r="274" spans="3:5" ht="12.75">
      <c r="C274" s="25" t="s">
        <v>109</v>
      </c>
      <c r="D274" s="39">
        <f>I269+I272</f>
        <v>49.08</v>
      </c>
      <c r="E274" s="40" t="s">
        <v>3</v>
      </c>
    </row>
    <row r="276" ht="15">
      <c r="B276" s="201" t="str">
        <f>'ORÇAMENTO NÃO DESONERADO'!C64</f>
        <v>REVESTIMENTO</v>
      </c>
    </row>
    <row r="277" spans="1:15" ht="15" customHeight="1">
      <c r="A277" s="45" t="str">
        <f>'ORÇAMENTO NÃO DESONERADO'!A65</f>
        <v>4.6.6</v>
      </c>
      <c r="B277" s="1145" t="str">
        <f>'ORÇAMENTO NÃO DESONERADO'!C65</f>
        <v>MASSA ÚNICA, PARA RECEBIMENTO DE PINTURA, EM ARGAMASSA TRAÇO 1:2:8, PREPARO MECÂNICO COM BETONEIRA 400L, APLICADA MANUALMENTE EM FACES INTER NAS DE PAREDES, ESPESSURA DE 20MM, COM EXECUÇÃO DE TALISCAS. AF_06/2014</v>
      </c>
      <c r="C277" s="1145"/>
      <c r="D277" s="1145"/>
      <c r="E277" s="1145"/>
      <c r="F277" s="1145"/>
      <c r="G277" s="1145"/>
      <c r="H277" s="1145"/>
      <c r="I277" s="1145"/>
      <c r="J277" s="1145"/>
      <c r="K277" s="1145"/>
      <c r="L277" s="1145"/>
      <c r="M277" s="1145"/>
      <c r="N277" s="1145"/>
      <c r="O277" s="1145"/>
    </row>
    <row r="278" spans="2:15" ht="12.75">
      <c r="B278" s="1145"/>
      <c r="C278" s="1145"/>
      <c r="D278" s="1145"/>
      <c r="E278" s="1145"/>
      <c r="F278" s="1145"/>
      <c r="G278" s="1145"/>
      <c r="H278" s="1145"/>
      <c r="I278" s="1145"/>
      <c r="J278" s="1145"/>
      <c r="K278" s="1145"/>
      <c r="L278" s="1145"/>
      <c r="M278" s="1145"/>
      <c r="N278" s="1145"/>
      <c r="O278" s="1145"/>
    </row>
    <row r="279" spans="2:15" ht="15">
      <c r="B279" s="589"/>
      <c r="C279" s="589"/>
      <c r="D279" s="589"/>
      <c r="E279" s="589"/>
      <c r="F279" s="589"/>
      <c r="G279" s="589"/>
      <c r="H279" s="589"/>
      <c r="I279" s="589"/>
      <c r="J279" s="589"/>
      <c r="K279" s="589"/>
      <c r="L279" s="589"/>
      <c r="M279" s="589"/>
      <c r="N279" s="589"/>
      <c r="O279" s="589"/>
    </row>
    <row r="280" ht="15">
      <c r="C280" s="201" t="s">
        <v>322</v>
      </c>
    </row>
    <row r="281" spans="3:9" ht="12.75">
      <c r="C281" s="588" t="s">
        <v>32</v>
      </c>
      <c r="D281" s="588"/>
      <c r="E281" s="588" t="s">
        <v>318</v>
      </c>
      <c r="F281" s="588"/>
      <c r="G281" s="588" t="s">
        <v>311</v>
      </c>
      <c r="I281" s="41" t="s">
        <v>324</v>
      </c>
    </row>
    <row r="282" spans="2:9" ht="12.75">
      <c r="B282" s="587" t="s">
        <v>34</v>
      </c>
      <c r="C282" s="588">
        <v>13.4</v>
      </c>
      <c r="D282" s="588" t="s">
        <v>29</v>
      </c>
      <c r="E282" s="588">
        <v>1.3</v>
      </c>
      <c r="F282" s="588" t="s">
        <v>29</v>
      </c>
      <c r="G282" s="588">
        <v>4</v>
      </c>
      <c r="H282" s="587" t="s">
        <v>30</v>
      </c>
      <c r="I282" s="588">
        <f>C282*E282*G282</f>
        <v>69.68</v>
      </c>
    </row>
    <row r="284" spans="3:9" ht="12.75">
      <c r="C284" s="588" t="s">
        <v>32</v>
      </c>
      <c r="D284" s="588"/>
      <c r="E284" s="588" t="s">
        <v>318</v>
      </c>
      <c r="F284" s="588"/>
      <c r="G284" s="588" t="s">
        <v>311</v>
      </c>
      <c r="I284" s="41" t="s">
        <v>324</v>
      </c>
    </row>
    <row r="285" spans="2:9" ht="12.75">
      <c r="B285" s="587" t="s">
        <v>34</v>
      </c>
      <c r="C285" s="588">
        <v>7.05</v>
      </c>
      <c r="D285" s="588" t="s">
        <v>29</v>
      </c>
      <c r="E285" s="588">
        <v>1.3</v>
      </c>
      <c r="F285" s="588" t="s">
        <v>29</v>
      </c>
      <c r="G285" s="588">
        <v>4</v>
      </c>
      <c r="H285" s="587" t="s">
        <v>30</v>
      </c>
      <c r="I285" s="588">
        <f>C285*E285*G285</f>
        <v>36.660000000000004</v>
      </c>
    </row>
    <row r="287" spans="3:5" ht="12.75">
      <c r="C287" s="25" t="s">
        <v>109</v>
      </c>
      <c r="D287" s="39">
        <f>I282+I285</f>
        <v>106.34</v>
      </c>
      <c r="E287" s="40" t="s">
        <v>3</v>
      </c>
    </row>
    <row r="288" spans="1:15" s="592" customFormat="1" ht="12.75">
      <c r="A288" s="205"/>
      <c r="B288" s="205"/>
      <c r="C288" s="28"/>
      <c r="D288" s="28"/>
      <c r="E288" s="28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</row>
    <row r="289" spans="1:2" ht="15">
      <c r="A289" s="45" t="str">
        <f>'ORÇAMENTO NÃO DESONERADO'!A67</f>
        <v>4.6.7</v>
      </c>
      <c r="B289" s="201" t="str">
        <f>'ORÇAMENTO NÃO DESONERADO'!C67</f>
        <v xml:space="preserve"> APLICAÇÃO DE FUNDO SELADOR LÁTEX PVA EM PAREDES, UMA DEMÃO. AF_06/2014 </v>
      </c>
    </row>
    <row r="291" ht="15">
      <c r="C291" s="201" t="s">
        <v>322</v>
      </c>
    </row>
    <row r="292" spans="3:9" ht="12.75">
      <c r="C292" s="588" t="s">
        <v>32</v>
      </c>
      <c r="D292" s="588"/>
      <c r="E292" s="588" t="s">
        <v>318</v>
      </c>
      <c r="F292" s="588"/>
      <c r="G292" s="588" t="s">
        <v>311</v>
      </c>
      <c r="I292" s="41" t="s">
        <v>324</v>
      </c>
    </row>
    <row r="293" spans="2:9" ht="12.75">
      <c r="B293" s="587" t="s">
        <v>34</v>
      </c>
      <c r="C293" s="588">
        <v>13.4</v>
      </c>
      <c r="D293" s="588" t="s">
        <v>29</v>
      </c>
      <c r="E293" s="588">
        <v>1.3</v>
      </c>
      <c r="F293" s="588" t="s">
        <v>29</v>
      </c>
      <c r="G293" s="588">
        <v>4</v>
      </c>
      <c r="H293" s="587" t="s">
        <v>30</v>
      </c>
      <c r="I293" s="588">
        <f>C293*E293*G293</f>
        <v>69.68</v>
      </c>
    </row>
    <row r="295" spans="3:9" ht="12.75">
      <c r="C295" s="588" t="s">
        <v>32</v>
      </c>
      <c r="D295" s="588"/>
      <c r="E295" s="588" t="s">
        <v>318</v>
      </c>
      <c r="F295" s="588"/>
      <c r="G295" s="588" t="s">
        <v>311</v>
      </c>
      <c r="I295" s="41" t="s">
        <v>324</v>
      </c>
    </row>
    <row r="296" spans="2:9" ht="12.75">
      <c r="B296" s="587" t="s">
        <v>34</v>
      </c>
      <c r="C296" s="588">
        <v>7.05</v>
      </c>
      <c r="D296" s="588" t="s">
        <v>29</v>
      </c>
      <c r="E296" s="588">
        <v>1.3</v>
      </c>
      <c r="F296" s="588" t="s">
        <v>29</v>
      </c>
      <c r="G296" s="588">
        <v>4</v>
      </c>
      <c r="H296" s="587" t="s">
        <v>30</v>
      </c>
      <c r="I296" s="588">
        <f>C296*E296*G296</f>
        <v>36.660000000000004</v>
      </c>
    </row>
    <row r="298" spans="3:5" ht="12.75">
      <c r="C298" s="25" t="s">
        <v>109</v>
      </c>
      <c r="D298" s="39">
        <f>I293+I296</f>
        <v>106.34</v>
      </c>
      <c r="E298" s="40" t="s">
        <v>3</v>
      </c>
    </row>
    <row r="299" spans="2:6" ht="12.75">
      <c r="B299" s="205"/>
      <c r="C299" s="28"/>
      <c r="D299" s="28"/>
      <c r="E299" s="28"/>
      <c r="F299" s="205"/>
    </row>
    <row r="300" ht="15">
      <c r="B300" s="497" t="str">
        <f>'ORÇAMENTO NÃO DESONERADO'!C68</f>
        <v>ATERRO</v>
      </c>
    </row>
    <row r="301" spans="1:2" ht="15">
      <c r="A301" s="45" t="str">
        <f>'ORÇAMENTO NÃO DESONERADO'!A69</f>
        <v>4.6.8</v>
      </c>
      <c r="B301" s="497" t="str">
        <f>'ORÇAMENTO NÃO DESONERADO'!C69</f>
        <v xml:space="preserve"> TERRA VEGETAL (GRANEL) </v>
      </c>
    </row>
    <row r="302" spans="1:2" ht="15">
      <c r="A302" s="45"/>
      <c r="B302" s="497"/>
    </row>
    <row r="303" ht="15">
      <c r="C303" s="45" t="s">
        <v>323</v>
      </c>
    </row>
    <row r="304" spans="3:11" ht="12.75">
      <c r="C304" s="588" t="s">
        <v>32</v>
      </c>
      <c r="D304" s="588"/>
      <c r="E304" s="588" t="s">
        <v>33</v>
      </c>
      <c r="G304" s="587" t="s">
        <v>37</v>
      </c>
      <c r="H304" s="588"/>
      <c r="I304" s="588" t="s">
        <v>311</v>
      </c>
      <c r="K304" s="41" t="s">
        <v>312</v>
      </c>
    </row>
    <row r="305" spans="2:11" ht="12.75">
      <c r="B305" s="587" t="s">
        <v>34</v>
      </c>
      <c r="C305" s="588">
        <v>7</v>
      </c>
      <c r="D305" s="588" t="s">
        <v>29</v>
      </c>
      <c r="E305" s="588">
        <v>0.45</v>
      </c>
      <c r="F305" s="587" t="s">
        <v>29</v>
      </c>
      <c r="G305" s="590">
        <v>0.4</v>
      </c>
      <c r="H305" s="588" t="s">
        <v>29</v>
      </c>
      <c r="I305" s="588">
        <v>4</v>
      </c>
      <c r="J305" s="587" t="s">
        <v>30</v>
      </c>
      <c r="K305" s="588">
        <f>C305*E305*I305*G305</f>
        <v>5.04</v>
      </c>
    </row>
    <row r="306" spans="3:11" ht="12.75">
      <c r="C306" s="588" t="s">
        <v>32</v>
      </c>
      <c r="D306" s="588"/>
      <c r="E306" s="588" t="s">
        <v>33</v>
      </c>
      <c r="G306" s="590"/>
      <c r="H306" s="588"/>
      <c r="I306" s="588" t="s">
        <v>311</v>
      </c>
      <c r="K306" s="41" t="s">
        <v>312</v>
      </c>
    </row>
    <row r="307" spans="2:11" ht="12.75">
      <c r="B307" s="587" t="s">
        <v>34</v>
      </c>
      <c r="C307" s="588">
        <v>2.5</v>
      </c>
      <c r="D307" s="588" t="s">
        <v>29</v>
      </c>
      <c r="E307" s="588">
        <v>0.45</v>
      </c>
      <c r="F307" s="587" t="s">
        <v>29</v>
      </c>
      <c r="G307" s="590">
        <v>0.4</v>
      </c>
      <c r="H307" s="588" t="s">
        <v>29</v>
      </c>
      <c r="I307" s="588">
        <v>4</v>
      </c>
      <c r="J307" s="587" t="s">
        <v>30</v>
      </c>
      <c r="K307" s="588">
        <f>C307*E307*I307*G307</f>
        <v>1.8</v>
      </c>
    </row>
    <row r="309" spans="3:5" ht="12.75">
      <c r="C309" s="604" t="s">
        <v>109</v>
      </c>
      <c r="D309" s="39">
        <f>K307+K305</f>
        <v>6.84</v>
      </c>
      <c r="E309" s="40" t="s">
        <v>3</v>
      </c>
    </row>
    <row r="310" spans="3:5" ht="12.75">
      <c r="C310" s="28"/>
      <c r="D310" s="28"/>
      <c r="E310" s="28"/>
    </row>
  </sheetData>
  <mergeCells count="55">
    <mergeCell ref="B277:O278"/>
    <mergeCell ref="F162:G162"/>
    <mergeCell ref="F163:G163"/>
    <mergeCell ref="I163:K163"/>
    <mergeCell ref="B197:O197"/>
    <mergeCell ref="B204:O204"/>
    <mergeCell ref="F159:G159"/>
    <mergeCell ref="I159:K159"/>
    <mergeCell ref="F131:G131"/>
    <mergeCell ref="F132:G132"/>
    <mergeCell ref="I132:K132"/>
    <mergeCell ref="F158:G158"/>
    <mergeCell ref="B105:N106"/>
    <mergeCell ref="E110:F111"/>
    <mergeCell ref="I110:J111"/>
    <mergeCell ref="B85:C85"/>
    <mergeCell ref="B86:C86"/>
    <mergeCell ref="B90:N91"/>
    <mergeCell ref="B96:C96"/>
    <mergeCell ref="B97:C97"/>
    <mergeCell ref="A2:B2"/>
    <mergeCell ref="A3:B3"/>
    <mergeCell ref="C3:E3"/>
    <mergeCell ref="A4:B4"/>
    <mergeCell ref="A1:O1"/>
    <mergeCell ref="C2:O2"/>
    <mergeCell ref="H3:O3"/>
    <mergeCell ref="C4:O4"/>
    <mergeCell ref="C5:O5"/>
    <mergeCell ref="H6:O6"/>
    <mergeCell ref="H7:O8"/>
    <mergeCell ref="A10:O10"/>
    <mergeCell ref="A5:B5"/>
    <mergeCell ref="A6:B6"/>
    <mergeCell ref="C6:E6"/>
    <mergeCell ref="F6:G6"/>
    <mergeCell ref="A7:B8"/>
    <mergeCell ref="C7:E8"/>
    <mergeCell ref="F7:G8"/>
    <mergeCell ref="E14:G15"/>
    <mergeCell ref="B264:O265"/>
    <mergeCell ref="E16:G16"/>
    <mergeCell ref="E17:G17"/>
    <mergeCell ref="E18:G18"/>
    <mergeCell ref="E19:G19"/>
    <mergeCell ref="E20:G20"/>
    <mergeCell ref="E82:F82"/>
    <mergeCell ref="E53:F53"/>
    <mergeCell ref="B66:K66"/>
    <mergeCell ref="B68:C68"/>
    <mergeCell ref="B71:C71"/>
    <mergeCell ref="B72:C72"/>
    <mergeCell ref="B82:C82"/>
    <mergeCell ref="E68:F68"/>
    <mergeCell ref="G68:K68"/>
  </mergeCells>
  <printOptions/>
  <pageMargins left="0.511811024" right="0.511811024" top="0.787401575" bottom="0.787401575" header="0.31496062" footer="0.31496062"/>
  <pageSetup horizontalDpi="600" verticalDpi="600" orientation="portrait" paperSize="9" scale="51" r:id="rId2"/>
  <rowBreaks count="3" manualBreakCount="3">
    <brk id="73" max="16383" man="1"/>
    <brk id="167" max="16383" man="1"/>
    <brk id="262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6"/>
  <sheetViews>
    <sheetView view="pageBreakPreview" zoomScaleSheetLayoutView="100" workbookViewId="0" topLeftCell="A1">
      <selection activeCell="A1" sqref="A1:N1"/>
    </sheetView>
  </sheetViews>
  <sheetFormatPr defaultColWidth="9.140625" defaultRowHeight="12.75"/>
  <cols>
    <col min="1" max="1" width="11.57421875" style="41" bestFit="1" customWidth="1"/>
    <col min="2" max="2" width="9.140625" style="41" customWidth="1"/>
    <col min="3" max="3" width="13.00390625" style="41" customWidth="1"/>
    <col min="4" max="4" width="9.140625" style="41" customWidth="1"/>
    <col min="5" max="5" width="24.7109375" style="41" customWidth="1"/>
    <col min="6" max="14" width="9.140625" style="41" customWidth="1"/>
  </cols>
  <sheetData>
    <row r="1" spans="1:14" ht="105" customHeight="1" thickBot="1">
      <c r="A1" s="1208" t="s">
        <v>176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10"/>
    </row>
    <row r="2" spans="1:14" ht="15">
      <c r="A2" s="1223" t="s">
        <v>171</v>
      </c>
      <c r="B2" s="1223"/>
      <c r="C2" s="1211" t="str">
        <f>'ORÇAMENTO NÃO DESONERADO'!B2</f>
        <v>863064/2017</v>
      </c>
      <c r="D2" s="1212"/>
      <c r="E2" s="1212"/>
      <c r="F2" s="1212"/>
      <c r="G2" s="1212"/>
      <c r="H2" s="1212"/>
      <c r="I2" s="1212"/>
      <c r="J2" s="1212"/>
      <c r="K2" s="1212"/>
      <c r="L2" s="1212"/>
      <c r="M2" s="1212"/>
      <c r="N2" s="1213"/>
    </row>
    <row r="3" spans="1:14" ht="19.5" customHeight="1">
      <c r="A3" s="1142" t="s">
        <v>60</v>
      </c>
      <c r="B3" s="1142"/>
      <c r="C3" s="1224" t="str">
        <f>'ORÇAMENTO NÃO DESONERADO'!B3</f>
        <v>PREFEITURA MUNICIPAL DE OURÉM</v>
      </c>
      <c r="D3" s="1224"/>
      <c r="E3" s="1224"/>
      <c r="F3" s="366" t="s">
        <v>116</v>
      </c>
      <c r="G3" s="366"/>
      <c r="H3" s="1214" t="s">
        <v>300</v>
      </c>
      <c r="I3" s="1215"/>
      <c r="J3" s="1215"/>
      <c r="K3" s="1215"/>
      <c r="L3" s="1215"/>
      <c r="M3" s="1215"/>
      <c r="N3" s="1216"/>
    </row>
    <row r="4" spans="1:14" ht="34.5" customHeight="1">
      <c r="A4" s="1142" t="s">
        <v>61</v>
      </c>
      <c r="B4" s="1142"/>
      <c r="C4" s="1217" t="str">
        <f>'ORÇAMENTO NÃO DESONERADO'!B4</f>
        <v>CONSTRUÇÃO DE TERMINAL RODOVIÁRIO ETAPA-01</v>
      </c>
      <c r="D4" s="1218"/>
      <c r="E4" s="1218"/>
      <c r="F4" s="1218"/>
      <c r="G4" s="1218"/>
      <c r="H4" s="1218"/>
      <c r="I4" s="1218"/>
      <c r="J4" s="1218"/>
      <c r="K4" s="1218"/>
      <c r="L4" s="1218"/>
      <c r="M4" s="1218"/>
      <c r="N4" s="1219"/>
    </row>
    <row r="5" spans="1:14" ht="15">
      <c r="A5" s="1134" t="s">
        <v>62</v>
      </c>
      <c r="B5" s="1134"/>
      <c r="C5" s="955" t="str">
        <f>'ORÇAMENTO NÃO DESONERADO'!B5</f>
        <v>RUA JOAQUIM DIONISIO COM RUA PERSEVERANDO S/N. PRAÇA DO TERMINAL OURÉM/PA</v>
      </c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</row>
    <row r="6" spans="1:14" ht="32.25" customHeight="1">
      <c r="A6" s="1142" t="s">
        <v>67</v>
      </c>
      <c r="B6" s="1142"/>
      <c r="C6" s="925">
        <f>'BDI NÃO DESONERADO'!I27</f>
        <v>0.2212455334054051</v>
      </c>
      <c r="D6" s="925"/>
      <c r="E6" s="925"/>
      <c r="F6" s="1134" t="s">
        <v>39</v>
      </c>
      <c r="G6" s="1134"/>
      <c r="H6" s="1220" t="str">
        <f>'ORÇAMENTO NÃO DESONERADO'!F7</f>
        <v>SINAPI ABRIL 2018 - NÃO DESONERADA</v>
      </c>
      <c r="I6" s="1221"/>
      <c r="J6" s="1221"/>
      <c r="K6" s="1221"/>
      <c r="L6" s="1221"/>
      <c r="M6" s="1221"/>
      <c r="N6" s="1222"/>
    </row>
    <row r="7" spans="1:14" ht="12.75" customHeight="1">
      <c r="A7" s="1134" t="s">
        <v>117</v>
      </c>
      <c r="B7" s="1134"/>
      <c r="C7" s="1133" t="str">
        <f>'ORÇAMENTO NÃO DESONERADO'!B7</f>
        <v xml:space="preserve"> MARUZA BAPTISTA </v>
      </c>
      <c r="D7" s="1133"/>
      <c r="E7" s="1133"/>
      <c r="F7" s="1135" t="s">
        <v>119</v>
      </c>
      <c r="G7" s="1135"/>
      <c r="H7" s="1229" t="s">
        <v>120</v>
      </c>
      <c r="I7" s="1230"/>
      <c r="J7" s="1230"/>
      <c r="K7" s="1230"/>
      <c r="L7" s="1230"/>
      <c r="M7" s="1230"/>
      <c r="N7" s="1230"/>
    </row>
    <row r="8" spans="1:14" ht="25.5" customHeight="1">
      <c r="A8" s="1226"/>
      <c r="B8" s="1226"/>
      <c r="C8" s="1227"/>
      <c r="D8" s="1227"/>
      <c r="E8" s="1227"/>
      <c r="F8" s="1228"/>
      <c r="G8" s="1228"/>
      <c r="H8" s="1231"/>
      <c r="I8" s="1096"/>
      <c r="J8" s="1096"/>
      <c r="K8" s="1096"/>
      <c r="L8" s="1096"/>
      <c r="M8" s="1096"/>
      <c r="N8" s="1096"/>
    </row>
    <row r="9" spans="1:14" ht="15" customHeight="1">
      <c r="A9" s="1120" t="str">
        <f>'ORÇAMENTO NÃO DESONERADO'!C71</f>
        <v>TERMINAL RODOVIARIO</v>
      </c>
      <c r="B9" s="1121"/>
      <c r="C9" s="1121"/>
      <c r="D9" s="1121"/>
      <c r="E9" s="1121"/>
      <c r="F9" s="1121"/>
      <c r="G9" s="1121"/>
      <c r="H9" s="1121"/>
      <c r="I9" s="1121"/>
      <c r="J9" s="1121"/>
      <c r="K9" s="1121"/>
      <c r="L9" s="1121"/>
      <c r="M9" s="1121"/>
      <c r="N9" s="1122"/>
    </row>
    <row r="11" spans="1:2" ht="15">
      <c r="A11" s="201" t="str">
        <f>'ORÇAMENTO NÃO DESONERADO'!A71</f>
        <v>5</v>
      </c>
      <c r="B11" s="201" t="str">
        <f>'ORÇAMENTO NÃO DESONERADO'!C71</f>
        <v>TERMINAL RODOVIARIO</v>
      </c>
    </row>
    <row r="12" spans="1:2" ht="15">
      <c r="A12" s="201" t="str">
        <f>'ORÇAMENTO NÃO DESONERADO'!A72</f>
        <v>5.1</v>
      </c>
      <c r="B12" s="201" t="str">
        <f>'ORÇAMENTO NÃO DESONERADO'!C72</f>
        <v>MOVIMENTO DE TERRA</v>
      </c>
    </row>
    <row r="13" spans="1:2" ht="15">
      <c r="A13" s="201" t="str">
        <f>'ORÇAMENTO NÃO DESONERADO'!A73</f>
        <v>5.1.1</v>
      </c>
      <c r="B13" s="201" t="str">
        <f>'ORÇAMENTO NÃO DESONERADO'!C73</f>
        <v>ESCAVAÇÃO MANUAL PARA BLOCO DE COROAMENTO OU SAPATA, COM PREVISÃO DE FÔRMA. AF_06/2017</v>
      </c>
    </row>
    <row r="14" spans="1:2" ht="15">
      <c r="A14" s="201"/>
      <c r="B14" s="201"/>
    </row>
    <row r="15" spans="1:13" ht="12.75">
      <c r="A15" s="692" t="s">
        <v>401</v>
      </c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</row>
    <row r="16" spans="1:13" ht="12.75">
      <c r="A16"/>
      <c r="B16" s="693" t="s">
        <v>198</v>
      </c>
      <c r="C16" s="693"/>
      <c r="D16" s="693" t="s">
        <v>402</v>
      </c>
      <c r="E16" s="693"/>
      <c r="F16" s="693" t="s">
        <v>403</v>
      </c>
      <c r="G16" s="693"/>
      <c r="H16" s="693" t="s">
        <v>404</v>
      </c>
      <c r="I16" s="692"/>
      <c r="J16" s="703" t="s">
        <v>408</v>
      </c>
      <c r="K16" s="692"/>
      <c r="L16" s="692"/>
      <c r="M16" s="692"/>
    </row>
    <row r="17" spans="1:13" ht="12.75">
      <c r="A17" s="693" t="s">
        <v>34</v>
      </c>
      <c r="B17" s="693">
        <v>1</v>
      </c>
      <c r="C17" s="693" t="s">
        <v>29</v>
      </c>
      <c r="D17" s="693">
        <v>1</v>
      </c>
      <c r="E17" s="693" t="s">
        <v>29</v>
      </c>
      <c r="F17" s="693">
        <v>1.6</v>
      </c>
      <c r="G17" s="693" t="s">
        <v>29</v>
      </c>
      <c r="H17" s="694">
        <v>8</v>
      </c>
      <c r="I17" s="692" t="s">
        <v>30</v>
      </c>
      <c r="J17" s="702">
        <f>ROUND((B17*F17*D17*H17),2)</f>
        <v>12.8</v>
      </c>
      <c r="K17" s="693" t="s">
        <v>2</v>
      </c>
      <c r="L17" s="692"/>
      <c r="M17" s="692"/>
    </row>
    <row r="18" spans="1:13" ht="12.75">
      <c r="A18"/>
      <c r="B18" s="693" t="s">
        <v>198</v>
      </c>
      <c r="C18" s="693"/>
      <c r="D18" s="693" t="s">
        <v>402</v>
      </c>
      <c r="E18" s="693"/>
      <c r="F18" s="693" t="s">
        <v>403</v>
      </c>
      <c r="G18" s="693"/>
      <c r="H18" s="693" t="s">
        <v>404</v>
      </c>
      <c r="I18" s="692"/>
      <c r="J18" s="692"/>
      <c r="K18" s="693"/>
      <c r="L18" s="692"/>
      <c r="M18" s="692"/>
    </row>
    <row r="19" spans="1:13" ht="12.75">
      <c r="A19" s="693" t="s">
        <v>34</v>
      </c>
      <c r="B19" s="693">
        <v>0.7</v>
      </c>
      <c r="C19" s="693" t="s">
        <v>29</v>
      </c>
      <c r="D19" s="693">
        <v>0.8</v>
      </c>
      <c r="E19" s="693" t="s">
        <v>29</v>
      </c>
      <c r="F19" s="693">
        <v>1.6</v>
      </c>
      <c r="G19" s="693" t="s">
        <v>29</v>
      </c>
      <c r="H19" s="694">
        <v>5</v>
      </c>
      <c r="I19" s="692"/>
      <c r="J19" s="702">
        <f>ROUND((B19*F19*D19*H19),2)</f>
        <v>4.48</v>
      </c>
      <c r="K19" s="693" t="s">
        <v>2</v>
      </c>
      <c r="L19" s="692"/>
      <c r="M19" s="692"/>
    </row>
    <row r="20" spans="1:13" ht="12.75">
      <c r="A20"/>
      <c r="B20" s="693" t="s">
        <v>198</v>
      </c>
      <c r="C20" s="693"/>
      <c r="D20" s="693" t="s">
        <v>402</v>
      </c>
      <c r="E20" s="693"/>
      <c r="F20" s="693" t="s">
        <v>403</v>
      </c>
      <c r="G20" s="693"/>
      <c r="H20" s="693" t="s">
        <v>404</v>
      </c>
      <c r="I20" s="692"/>
      <c r="J20" s="692"/>
      <c r="K20" s="693"/>
      <c r="L20" s="692"/>
      <c r="M20" s="692"/>
    </row>
    <row r="21" spans="1:13" ht="12.75">
      <c r="A21" s="693" t="s">
        <v>34</v>
      </c>
      <c r="B21" s="693">
        <v>0.7</v>
      </c>
      <c r="C21" s="693" t="s">
        <v>29</v>
      </c>
      <c r="D21" s="693">
        <v>0.85</v>
      </c>
      <c r="E21" s="693" t="s">
        <v>29</v>
      </c>
      <c r="F21" s="693">
        <v>1.6</v>
      </c>
      <c r="G21" s="693" t="s">
        <v>29</v>
      </c>
      <c r="H21" s="694">
        <v>2</v>
      </c>
      <c r="I21" s="692"/>
      <c r="J21" s="702">
        <f>ROUND((B21*F21*D21*H21),2)</f>
        <v>1.9</v>
      </c>
      <c r="K21" s="693" t="s">
        <v>2</v>
      </c>
      <c r="L21" s="692"/>
      <c r="M21" s="692"/>
    </row>
    <row r="22" spans="1:13" ht="12.75">
      <c r="A22" s="693"/>
      <c r="B22" s="693"/>
      <c r="C22" s="693"/>
      <c r="D22" s="693"/>
      <c r="E22" s="693"/>
      <c r="F22" s="693"/>
      <c r="G22" s="693"/>
      <c r="H22" s="694"/>
      <c r="I22" s="692"/>
      <c r="J22" s="692"/>
      <c r="K22" s="693"/>
      <c r="L22" s="692"/>
      <c r="M22" s="692"/>
    </row>
    <row r="23" spans="1:13" ht="12.75">
      <c r="A23" s="695" t="s">
        <v>34</v>
      </c>
      <c r="B23" s="696">
        <f>J17+J19+J21</f>
        <v>19.18</v>
      </c>
      <c r="C23" s="697" t="s">
        <v>2</v>
      </c>
      <c r="D23" s="692"/>
      <c r="E23" s="692"/>
      <c r="F23" s="692"/>
      <c r="G23" s="692"/>
      <c r="H23" s="692"/>
      <c r="I23" s="692"/>
      <c r="J23" s="692"/>
      <c r="K23" s="692"/>
      <c r="L23" s="692"/>
      <c r="M23" s="692"/>
    </row>
    <row r="24" spans="1:13" ht="12.75">
      <c r="A24" s="692"/>
      <c r="B24" s="692"/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</row>
    <row r="25" spans="1:13" ht="12.75">
      <c r="A25" s="1232" t="s">
        <v>200</v>
      </c>
      <c r="B25" s="1232"/>
      <c r="C25" s="1232"/>
      <c r="D25" s="692"/>
      <c r="E25" s="692"/>
      <c r="F25" s="692"/>
      <c r="G25" s="692"/>
      <c r="H25" s="692"/>
      <c r="I25" s="692"/>
      <c r="J25" s="692"/>
      <c r="K25" s="692"/>
      <c r="L25" s="692"/>
      <c r="M25" s="692"/>
    </row>
    <row r="26" spans="1:13" ht="12.75">
      <c r="A26" s="692"/>
      <c r="B26" s="693" t="s">
        <v>198</v>
      </c>
      <c r="C26" s="693"/>
      <c r="D26" s="693" t="s">
        <v>405</v>
      </c>
      <c r="E26" s="693"/>
      <c r="F26" s="693" t="s">
        <v>406</v>
      </c>
      <c r="G26" s="692"/>
      <c r="H26" s="693" t="s">
        <v>407</v>
      </c>
      <c r="I26" s="692"/>
      <c r="J26" s="692"/>
      <c r="K26" s="692"/>
      <c r="L26" s="692"/>
      <c r="M26" s="692"/>
    </row>
    <row r="27" spans="1:13" ht="12.75">
      <c r="A27" s="693" t="s">
        <v>34</v>
      </c>
      <c r="B27" s="693">
        <v>5</v>
      </c>
      <c r="C27" s="693" t="s">
        <v>29</v>
      </c>
      <c r="D27" s="693">
        <v>0.25</v>
      </c>
      <c r="E27" s="693" t="s">
        <v>29</v>
      </c>
      <c r="F27" s="693">
        <v>0.5</v>
      </c>
      <c r="G27" s="693" t="s">
        <v>29</v>
      </c>
      <c r="H27" s="694">
        <v>1</v>
      </c>
      <c r="I27" s="594" t="s">
        <v>30</v>
      </c>
      <c r="J27" s="693">
        <f aca="true" t="shared" si="0" ref="J27:J37">ROUND((B27*D27*F27*H27),2)</f>
        <v>0.63</v>
      </c>
      <c r="K27" s="698" t="s">
        <v>409</v>
      </c>
      <c r="L27" s="692"/>
      <c r="M27" s="692"/>
    </row>
    <row r="28" spans="1:13" ht="12.75">
      <c r="A28" s="693" t="s">
        <v>34</v>
      </c>
      <c r="B28" s="693">
        <v>2.6</v>
      </c>
      <c r="C28" s="693" t="s">
        <v>29</v>
      </c>
      <c r="D28" s="693">
        <v>0.25</v>
      </c>
      <c r="E28" s="693" t="s">
        <v>29</v>
      </c>
      <c r="F28" s="693">
        <v>0.5</v>
      </c>
      <c r="G28" s="693" t="s">
        <v>29</v>
      </c>
      <c r="H28" s="694">
        <v>1</v>
      </c>
      <c r="I28" s="692" t="s">
        <v>30</v>
      </c>
      <c r="J28" s="693">
        <f t="shared" si="0"/>
        <v>0.33</v>
      </c>
      <c r="K28" s="698" t="s">
        <v>410</v>
      </c>
      <c r="L28" s="692"/>
      <c r="M28" s="692"/>
    </row>
    <row r="29" spans="1:13" ht="12.75">
      <c r="A29" s="693" t="s">
        <v>34</v>
      </c>
      <c r="B29" s="693">
        <v>2.22</v>
      </c>
      <c r="C29" s="693" t="s">
        <v>29</v>
      </c>
      <c r="D29" s="693">
        <v>0.25</v>
      </c>
      <c r="E29" s="693" t="s">
        <v>29</v>
      </c>
      <c r="F29" s="693">
        <v>0.5</v>
      </c>
      <c r="G29" s="693" t="s">
        <v>29</v>
      </c>
      <c r="H29" s="694">
        <v>1</v>
      </c>
      <c r="I29" s="692" t="s">
        <v>30</v>
      </c>
      <c r="J29" s="693">
        <f t="shared" si="0"/>
        <v>0.28</v>
      </c>
      <c r="K29" s="698" t="s">
        <v>411</v>
      </c>
      <c r="L29" s="692"/>
      <c r="M29" s="692"/>
    </row>
    <row r="30" spans="1:13" ht="12.75">
      <c r="A30" s="693" t="s">
        <v>34</v>
      </c>
      <c r="B30" s="693">
        <v>4.68</v>
      </c>
      <c r="C30" s="693" t="s">
        <v>29</v>
      </c>
      <c r="D30" s="693">
        <v>0.25</v>
      </c>
      <c r="E30" s="693" t="s">
        <v>29</v>
      </c>
      <c r="F30" s="693">
        <v>0.5</v>
      </c>
      <c r="G30" s="693" t="s">
        <v>29</v>
      </c>
      <c r="H30" s="694">
        <v>1</v>
      </c>
      <c r="I30" s="692" t="s">
        <v>30</v>
      </c>
      <c r="J30" s="693">
        <f t="shared" si="0"/>
        <v>0.59</v>
      </c>
      <c r="K30" s="698" t="s">
        <v>412</v>
      </c>
      <c r="L30" s="692"/>
      <c r="M30" s="692"/>
    </row>
    <row r="31" spans="1:13" ht="12.75">
      <c r="A31" s="693" t="s">
        <v>34</v>
      </c>
      <c r="B31" s="693">
        <v>4.63</v>
      </c>
      <c r="C31" s="693" t="s">
        <v>29</v>
      </c>
      <c r="D31" s="693">
        <v>0.25</v>
      </c>
      <c r="E31" s="693" t="s">
        <v>29</v>
      </c>
      <c r="F31" s="693">
        <v>0.5</v>
      </c>
      <c r="G31" s="693" t="s">
        <v>29</v>
      </c>
      <c r="H31" s="694">
        <v>1</v>
      </c>
      <c r="I31" s="692" t="s">
        <v>30</v>
      </c>
      <c r="J31" s="693">
        <f t="shared" si="0"/>
        <v>0.58</v>
      </c>
      <c r="K31" s="698" t="s">
        <v>413</v>
      </c>
      <c r="L31" s="692"/>
      <c r="M31" s="692"/>
    </row>
    <row r="32" spans="1:13" ht="12.75">
      <c r="A32" s="693" t="s">
        <v>34</v>
      </c>
      <c r="B32" s="693">
        <v>2.94</v>
      </c>
      <c r="C32" s="693" t="s">
        <v>29</v>
      </c>
      <c r="D32" s="693">
        <v>0.25</v>
      </c>
      <c r="E32" s="693" t="s">
        <v>29</v>
      </c>
      <c r="F32" s="693">
        <v>0.5</v>
      </c>
      <c r="G32" s="693" t="s">
        <v>29</v>
      </c>
      <c r="H32" s="694">
        <v>1</v>
      </c>
      <c r="I32" s="692" t="s">
        <v>30</v>
      </c>
      <c r="J32" s="693">
        <f t="shared" si="0"/>
        <v>0.37</v>
      </c>
      <c r="K32" s="698" t="s">
        <v>414</v>
      </c>
      <c r="L32" s="692"/>
      <c r="M32" s="692"/>
    </row>
    <row r="33" spans="1:13" ht="12.75">
      <c r="A33" s="693" t="s">
        <v>34</v>
      </c>
      <c r="B33" s="693">
        <v>2.79</v>
      </c>
      <c r="C33" s="693" t="s">
        <v>29</v>
      </c>
      <c r="D33" s="693">
        <v>0.25</v>
      </c>
      <c r="E33" s="693" t="s">
        <v>29</v>
      </c>
      <c r="F33" s="693">
        <v>0.5</v>
      </c>
      <c r="G33" s="693" t="s">
        <v>29</v>
      </c>
      <c r="H33" s="694">
        <v>1</v>
      </c>
      <c r="I33" s="692" t="s">
        <v>30</v>
      </c>
      <c r="J33" s="693">
        <f t="shared" si="0"/>
        <v>0.35</v>
      </c>
      <c r="K33" s="698" t="s">
        <v>415</v>
      </c>
      <c r="L33" s="692"/>
      <c r="M33" s="692"/>
    </row>
    <row r="34" spans="1:13" ht="12.75">
      <c r="A34" s="693" t="s">
        <v>34</v>
      </c>
      <c r="B34" s="693">
        <v>3.79</v>
      </c>
      <c r="C34" s="693" t="s">
        <v>29</v>
      </c>
      <c r="D34" s="693">
        <v>0.25</v>
      </c>
      <c r="E34" s="693" t="s">
        <v>29</v>
      </c>
      <c r="F34" s="693">
        <v>0.5</v>
      </c>
      <c r="G34" s="693" t="s">
        <v>29</v>
      </c>
      <c r="H34" s="694">
        <v>1</v>
      </c>
      <c r="I34" s="692" t="s">
        <v>30</v>
      </c>
      <c r="J34" s="693">
        <f t="shared" si="0"/>
        <v>0.47</v>
      </c>
      <c r="K34" s="698" t="s">
        <v>416</v>
      </c>
      <c r="L34" s="692"/>
      <c r="M34" s="692"/>
    </row>
    <row r="35" spans="1:13" ht="12.75">
      <c r="A35" s="693" t="s">
        <v>34</v>
      </c>
      <c r="B35" s="693">
        <v>0.93</v>
      </c>
      <c r="C35" s="693" t="s">
        <v>29</v>
      </c>
      <c r="D35" s="693">
        <v>0.25</v>
      </c>
      <c r="E35" s="693" t="s">
        <v>29</v>
      </c>
      <c r="F35" s="693">
        <v>0.5</v>
      </c>
      <c r="G35" s="693" t="s">
        <v>29</v>
      </c>
      <c r="H35" s="694">
        <v>1</v>
      </c>
      <c r="I35" s="692" t="s">
        <v>30</v>
      </c>
      <c r="J35" s="693">
        <f t="shared" si="0"/>
        <v>0.12</v>
      </c>
      <c r="K35" s="698" t="s">
        <v>417</v>
      </c>
      <c r="L35" s="692"/>
      <c r="M35" s="692"/>
    </row>
    <row r="36" spans="1:13" ht="12.75">
      <c r="A36" s="693" t="s">
        <v>34</v>
      </c>
      <c r="B36" s="693">
        <v>2.04</v>
      </c>
      <c r="C36" s="693" t="s">
        <v>29</v>
      </c>
      <c r="D36" s="693">
        <v>0.25</v>
      </c>
      <c r="E36" s="693" t="s">
        <v>29</v>
      </c>
      <c r="F36" s="693">
        <v>0.5</v>
      </c>
      <c r="G36" s="693" t="s">
        <v>29</v>
      </c>
      <c r="H36" s="694">
        <v>1</v>
      </c>
      <c r="I36" s="692" t="s">
        <v>30</v>
      </c>
      <c r="J36" s="693">
        <f t="shared" si="0"/>
        <v>0.26</v>
      </c>
      <c r="K36" s="698" t="s">
        <v>418</v>
      </c>
      <c r="L36" s="692"/>
      <c r="M36" s="692"/>
    </row>
    <row r="37" spans="1:13" ht="14.25" customHeight="1">
      <c r="A37" s="693" t="s">
        <v>34</v>
      </c>
      <c r="B37" s="693">
        <v>3.98</v>
      </c>
      <c r="C37" s="693" t="s">
        <v>29</v>
      </c>
      <c r="D37" s="693">
        <v>0.25</v>
      </c>
      <c r="E37" s="693" t="s">
        <v>29</v>
      </c>
      <c r="F37" s="693">
        <v>0.5</v>
      </c>
      <c r="G37" s="693" t="s">
        <v>29</v>
      </c>
      <c r="H37" s="694">
        <v>1</v>
      </c>
      <c r="I37" s="692" t="s">
        <v>30</v>
      </c>
      <c r="J37" s="693">
        <f t="shared" si="0"/>
        <v>0.5</v>
      </c>
      <c r="K37" s="698" t="s">
        <v>419</v>
      </c>
      <c r="L37" s="692"/>
      <c r="M37" s="692"/>
    </row>
    <row r="38" spans="1:13" ht="14.25" customHeight="1">
      <c r="A38" s="693" t="s">
        <v>34</v>
      </c>
      <c r="B38" s="693">
        <v>3.98</v>
      </c>
      <c r="C38" s="693" t="s">
        <v>29</v>
      </c>
      <c r="D38" s="693">
        <v>0.25</v>
      </c>
      <c r="E38" s="693" t="s">
        <v>29</v>
      </c>
      <c r="F38" s="693">
        <v>0.5</v>
      </c>
      <c r="G38" s="693" t="s">
        <v>29</v>
      </c>
      <c r="H38" s="694">
        <v>1</v>
      </c>
      <c r="I38" s="692" t="s">
        <v>30</v>
      </c>
      <c r="J38" s="693">
        <f aca="true" t="shared" si="1" ref="J38:J44">ROUND((B38*D38*F38*H38),2)</f>
        <v>0.5</v>
      </c>
      <c r="K38" s="698" t="s">
        <v>420</v>
      </c>
      <c r="L38" s="692"/>
      <c r="M38" s="692"/>
    </row>
    <row r="39" spans="1:13" ht="14.25" customHeight="1">
      <c r="A39" s="693" t="s">
        <v>34</v>
      </c>
      <c r="B39" s="693">
        <v>22.45</v>
      </c>
      <c r="C39" s="693" t="s">
        <v>29</v>
      </c>
      <c r="D39" s="693">
        <v>0.25</v>
      </c>
      <c r="E39" s="693" t="s">
        <v>29</v>
      </c>
      <c r="F39" s="693">
        <v>0.5</v>
      </c>
      <c r="G39" s="693" t="s">
        <v>29</v>
      </c>
      <c r="H39" s="694">
        <v>1</v>
      </c>
      <c r="I39" s="692" t="s">
        <v>30</v>
      </c>
      <c r="J39" s="693">
        <f t="shared" si="1"/>
        <v>2.81</v>
      </c>
      <c r="K39" s="698" t="s">
        <v>421</v>
      </c>
      <c r="L39" s="692"/>
      <c r="M39" s="692"/>
    </row>
    <row r="40" spans="1:13" ht="14.25" customHeight="1">
      <c r="A40" s="693" t="s">
        <v>34</v>
      </c>
      <c r="B40" s="693">
        <v>2.23</v>
      </c>
      <c r="C40" s="693" t="s">
        <v>29</v>
      </c>
      <c r="D40" s="693">
        <v>0.25</v>
      </c>
      <c r="E40" s="693" t="s">
        <v>29</v>
      </c>
      <c r="F40" s="693">
        <v>0.5</v>
      </c>
      <c r="G40" s="693" t="s">
        <v>29</v>
      </c>
      <c r="H40" s="694">
        <v>1</v>
      </c>
      <c r="I40" s="692" t="s">
        <v>30</v>
      </c>
      <c r="J40" s="693">
        <f t="shared" si="1"/>
        <v>0.28</v>
      </c>
      <c r="K40" s="698" t="s">
        <v>422</v>
      </c>
      <c r="L40" s="692"/>
      <c r="M40" s="692"/>
    </row>
    <row r="41" spans="1:13" ht="14.25" customHeight="1">
      <c r="A41" s="693" t="s">
        <v>34</v>
      </c>
      <c r="B41" s="693">
        <v>2.3</v>
      </c>
      <c r="C41" s="693" t="s">
        <v>29</v>
      </c>
      <c r="D41" s="693">
        <v>0.25</v>
      </c>
      <c r="E41" s="693" t="s">
        <v>29</v>
      </c>
      <c r="F41" s="693">
        <v>0.5</v>
      </c>
      <c r="G41" s="693" t="s">
        <v>29</v>
      </c>
      <c r="H41" s="694">
        <v>1</v>
      </c>
      <c r="I41" s="692" t="s">
        <v>30</v>
      </c>
      <c r="J41" s="693">
        <f t="shared" si="1"/>
        <v>0.29</v>
      </c>
      <c r="K41" s="698" t="s">
        <v>423</v>
      </c>
      <c r="L41" s="692"/>
      <c r="M41" s="692"/>
    </row>
    <row r="42" spans="1:13" ht="14.25" customHeight="1">
      <c r="A42" s="693" t="s">
        <v>34</v>
      </c>
      <c r="B42" s="693">
        <v>3</v>
      </c>
      <c r="C42" s="693" t="s">
        <v>29</v>
      </c>
      <c r="D42" s="693">
        <v>0.25</v>
      </c>
      <c r="E42" s="693" t="s">
        <v>29</v>
      </c>
      <c r="F42" s="693">
        <v>0.5</v>
      </c>
      <c r="G42" s="693" t="s">
        <v>29</v>
      </c>
      <c r="H42" s="694">
        <v>1</v>
      </c>
      <c r="I42" s="692" t="s">
        <v>30</v>
      </c>
      <c r="J42" s="693">
        <f t="shared" si="1"/>
        <v>0.38</v>
      </c>
      <c r="K42" s="698" t="s">
        <v>424</v>
      </c>
      <c r="L42" s="692"/>
      <c r="M42" s="692"/>
    </row>
    <row r="43" spans="1:13" ht="14.25" customHeight="1">
      <c r="A43" s="693" t="s">
        <v>34</v>
      </c>
      <c r="B43" s="693">
        <v>2.35</v>
      </c>
      <c r="C43" s="693" t="s">
        <v>29</v>
      </c>
      <c r="D43" s="693">
        <v>0.25</v>
      </c>
      <c r="E43" s="693" t="s">
        <v>29</v>
      </c>
      <c r="F43" s="693">
        <v>0.5</v>
      </c>
      <c r="G43" s="693" t="s">
        <v>29</v>
      </c>
      <c r="H43" s="694">
        <v>1</v>
      </c>
      <c r="I43" s="692" t="s">
        <v>30</v>
      </c>
      <c r="J43" s="693">
        <f t="shared" si="1"/>
        <v>0.29</v>
      </c>
      <c r="K43" s="698" t="s">
        <v>425</v>
      </c>
      <c r="L43" s="692"/>
      <c r="M43" s="692"/>
    </row>
    <row r="44" spans="1:13" ht="14.25" customHeight="1">
      <c r="A44" s="693" t="s">
        <v>34</v>
      </c>
      <c r="B44" s="693">
        <v>2.18</v>
      </c>
      <c r="C44" s="693" t="s">
        <v>29</v>
      </c>
      <c r="D44" s="693">
        <v>0.25</v>
      </c>
      <c r="E44" s="693" t="s">
        <v>29</v>
      </c>
      <c r="F44" s="693">
        <v>0.5</v>
      </c>
      <c r="G44" s="693" t="s">
        <v>29</v>
      </c>
      <c r="H44" s="694">
        <v>1</v>
      </c>
      <c r="I44" s="692" t="s">
        <v>30</v>
      </c>
      <c r="J44" s="693">
        <f t="shared" si="1"/>
        <v>0.27</v>
      </c>
      <c r="K44" s="698" t="s">
        <v>426</v>
      </c>
      <c r="L44" s="692"/>
      <c r="M44" s="692"/>
    </row>
    <row r="45" spans="1:13" ht="14.25" customHeight="1">
      <c r="A45" s="693" t="s">
        <v>34</v>
      </c>
      <c r="B45" s="693">
        <v>2.2</v>
      </c>
      <c r="C45" s="693" t="s">
        <v>29</v>
      </c>
      <c r="D45" s="693">
        <v>0.25</v>
      </c>
      <c r="E45" s="693" t="s">
        <v>29</v>
      </c>
      <c r="F45" s="693">
        <v>0.5</v>
      </c>
      <c r="G45" s="693" t="s">
        <v>29</v>
      </c>
      <c r="H45" s="694">
        <v>1</v>
      </c>
      <c r="I45" s="692" t="s">
        <v>30</v>
      </c>
      <c r="J45" s="693">
        <f aca="true" t="shared" si="2" ref="J45:J48">ROUND((B45*D45*F45*H45),2)</f>
        <v>0.28</v>
      </c>
      <c r="K45" s="698" t="s">
        <v>427</v>
      </c>
      <c r="L45" s="692"/>
      <c r="M45" s="692"/>
    </row>
    <row r="46" spans="1:13" ht="14.25" customHeight="1">
      <c r="A46" s="693" t="s">
        <v>34</v>
      </c>
      <c r="B46" s="693">
        <v>2.22</v>
      </c>
      <c r="C46" s="693" t="s">
        <v>29</v>
      </c>
      <c r="D46" s="693">
        <v>0.25</v>
      </c>
      <c r="E46" s="693" t="s">
        <v>29</v>
      </c>
      <c r="F46" s="693">
        <v>0.5</v>
      </c>
      <c r="G46" s="693" t="s">
        <v>29</v>
      </c>
      <c r="H46" s="694">
        <v>1</v>
      </c>
      <c r="I46" s="692" t="s">
        <v>30</v>
      </c>
      <c r="J46" s="693">
        <f t="shared" si="2"/>
        <v>0.28</v>
      </c>
      <c r="K46" s="698" t="s">
        <v>428</v>
      </c>
      <c r="L46" s="692"/>
      <c r="M46" s="692"/>
    </row>
    <row r="47" spans="1:13" ht="14.25" customHeight="1">
      <c r="A47" s="693" t="s">
        <v>34</v>
      </c>
      <c r="B47" s="693">
        <v>2.32</v>
      </c>
      <c r="C47" s="693" t="s">
        <v>29</v>
      </c>
      <c r="D47" s="693">
        <v>0.25</v>
      </c>
      <c r="E47" s="693" t="s">
        <v>29</v>
      </c>
      <c r="F47" s="693">
        <v>0.5</v>
      </c>
      <c r="G47" s="693" t="s">
        <v>29</v>
      </c>
      <c r="H47" s="694">
        <v>1</v>
      </c>
      <c r="I47" s="692" t="s">
        <v>30</v>
      </c>
      <c r="J47" s="693">
        <f t="shared" si="2"/>
        <v>0.29</v>
      </c>
      <c r="K47" s="698" t="s">
        <v>429</v>
      </c>
      <c r="L47" s="692"/>
      <c r="M47" s="692"/>
    </row>
    <row r="48" spans="1:13" ht="14.25" customHeight="1">
      <c r="A48" s="693" t="s">
        <v>34</v>
      </c>
      <c r="B48" s="693">
        <v>5.42</v>
      </c>
      <c r="C48" s="693" t="s">
        <v>29</v>
      </c>
      <c r="D48" s="693">
        <v>0.25</v>
      </c>
      <c r="E48" s="693" t="s">
        <v>29</v>
      </c>
      <c r="F48" s="693">
        <v>0.5</v>
      </c>
      <c r="G48" s="693" t="s">
        <v>29</v>
      </c>
      <c r="H48" s="694">
        <v>1</v>
      </c>
      <c r="I48" s="692" t="s">
        <v>30</v>
      </c>
      <c r="J48" s="693">
        <f t="shared" si="2"/>
        <v>0.68</v>
      </c>
      <c r="K48" s="698" t="s">
        <v>430</v>
      </c>
      <c r="L48" s="692"/>
      <c r="M48" s="692"/>
    </row>
    <row r="49" spans="1:13" ht="14.25" customHeight="1">
      <c r="A49" s="693"/>
      <c r="B49" s="693"/>
      <c r="C49" s="693"/>
      <c r="D49" s="693"/>
      <c r="E49" s="693"/>
      <c r="F49" s="693"/>
      <c r="G49" s="693"/>
      <c r="H49" s="694"/>
      <c r="I49" s="692"/>
      <c r="J49" s="693"/>
      <c r="K49" s="698"/>
      <c r="L49" s="692"/>
      <c r="M49" s="692"/>
    </row>
    <row r="50" spans="1:15" ht="14.25" customHeight="1">
      <c r="A50" s="693"/>
      <c r="B50" s="693"/>
      <c r="C50" s="693"/>
      <c r="D50" s="693"/>
      <c r="E50" s="693"/>
      <c r="F50" s="693"/>
      <c r="G50" s="693"/>
      <c r="H50" s="694"/>
      <c r="I50" s="692"/>
      <c r="J50" s="693"/>
      <c r="K50" s="698"/>
      <c r="L50" s="692"/>
      <c r="M50" s="692"/>
      <c r="N50" s="602"/>
      <c r="O50" s="365"/>
    </row>
    <row r="51" spans="1:15" ht="14.25" customHeight="1">
      <c r="A51" s="695" t="s">
        <v>34</v>
      </c>
      <c r="B51" s="696">
        <f>SUM(J27:J48)</f>
        <v>10.829999999999997</v>
      </c>
      <c r="C51" s="697" t="s">
        <v>2</v>
      </c>
      <c r="D51" s="693"/>
      <c r="E51" s="693"/>
      <c r="F51" s="693"/>
      <c r="G51" s="693"/>
      <c r="H51" s="694"/>
      <c r="I51" s="692"/>
      <c r="J51" s="693"/>
      <c r="K51" s="698"/>
      <c r="L51" s="692"/>
      <c r="M51" s="692"/>
      <c r="N51" s="602"/>
      <c r="O51" s="365"/>
    </row>
    <row r="52" spans="1:15" ht="12.75">
      <c r="A52" s="693"/>
      <c r="B52" s="693"/>
      <c r="C52" s="693"/>
      <c r="D52" s="693"/>
      <c r="E52" s="693"/>
      <c r="F52" s="693"/>
      <c r="G52" s="693"/>
      <c r="H52" s="694"/>
      <c r="I52" s="692"/>
      <c r="J52" s="693"/>
      <c r="K52" s="698"/>
      <c r="L52" s="692"/>
      <c r="M52" s="692"/>
      <c r="N52" s="602"/>
      <c r="O52" s="365"/>
    </row>
    <row r="53" spans="1:14" ht="12.75">
      <c r="A53" s="693"/>
      <c r="B53" s="693"/>
      <c r="C53" s="693"/>
      <c r="D53" s="693"/>
      <c r="E53" s="693"/>
      <c r="F53" s="694"/>
      <c r="G53" s="692"/>
      <c r="H53" s="692"/>
      <c r="I53" s="692"/>
      <c r="J53" s="692"/>
      <c r="K53" s="692"/>
      <c r="L53" s="692"/>
      <c r="M53" s="692"/>
      <c r="N53" s="453"/>
    </row>
    <row r="54" spans="1:14" ht="12.75">
      <c r="A54" s="699" t="s">
        <v>28</v>
      </c>
      <c r="B54" s="700">
        <f>B23+B51</f>
        <v>30.009999999999998</v>
      </c>
      <c r="C54" s="701" t="s">
        <v>2</v>
      </c>
      <c r="D54" s="692"/>
      <c r="E54" s="692"/>
      <c r="F54" s="692"/>
      <c r="G54" s="692"/>
      <c r="H54" s="692"/>
      <c r="I54" s="692"/>
      <c r="J54" s="692"/>
      <c r="K54" s="692"/>
      <c r="L54" s="692"/>
      <c r="M54" s="692"/>
      <c r="N54" s="455"/>
    </row>
    <row r="55" spans="1:14" s="592" customFormat="1" ht="12.75">
      <c r="A55" s="704"/>
      <c r="B55" s="704"/>
      <c r="C55" s="702"/>
      <c r="D55" s="692"/>
      <c r="E55" s="692"/>
      <c r="F55" s="692"/>
      <c r="G55" s="692"/>
      <c r="H55" s="692"/>
      <c r="I55" s="692"/>
      <c r="J55" s="692"/>
      <c r="K55" s="692"/>
      <c r="L55" s="692"/>
      <c r="M55" s="692"/>
      <c r="N55" s="455"/>
    </row>
    <row r="56" spans="1:14" s="592" customFormat="1" ht="12.75">
      <c r="A56" s="705" t="str">
        <f>'ORÇAMENTO NÃO DESONERADO'!A74</f>
        <v>5.1.2</v>
      </c>
      <c r="B56" s="706" t="str">
        <f>'ORÇAMENTO NÃO DESONERADO'!C74</f>
        <v xml:space="preserve"> REATERRO MANUAL DE VALAS COM COMPACTAÇÃO MECANIZADA. AF_04/2017</v>
      </c>
      <c r="C56" s="702"/>
      <c r="D56" s="692"/>
      <c r="E56" s="692"/>
      <c r="F56" s="692"/>
      <c r="G56" s="692"/>
      <c r="H56" s="692"/>
      <c r="I56" s="692"/>
      <c r="J56" s="692"/>
      <c r="K56" s="692"/>
      <c r="L56" s="692"/>
      <c r="M56" s="692"/>
      <c r="N56" s="455"/>
    </row>
    <row r="57" spans="1:14" s="592" customFormat="1" ht="12.75">
      <c r="A57" s="704"/>
      <c r="B57" s="704"/>
      <c r="C57" s="702"/>
      <c r="D57" s="692"/>
      <c r="E57" s="692"/>
      <c r="F57" s="692"/>
      <c r="G57" s="692"/>
      <c r="H57" s="692"/>
      <c r="I57" s="692"/>
      <c r="J57" s="692"/>
      <c r="K57" s="692"/>
      <c r="L57" s="692"/>
      <c r="M57" s="692"/>
      <c r="N57" s="455"/>
    </row>
    <row r="58" spans="1:14" s="592" customFormat="1" ht="12.75">
      <c r="A58" s="704"/>
      <c r="B58" s="704"/>
      <c r="C58" s="702" t="s">
        <v>442</v>
      </c>
      <c r="D58" s="692"/>
      <c r="E58" s="702" t="s">
        <v>443</v>
      </c>
      <c r="F58" s="692"/>
      <c r="G58" s="693" t="s">
        <v>444</v>
      </c>
      <c r="H58" s="692"/>
      <c r="I58" s="692"/>
      <c r="J58" s="692"/>
      <c r="K58" s="692"/>
      <c r="L58" s="692"/>
      <c r="M58" s="692"/>
      <c r="N58" s="455"/>
    </row>
    <row r="59" spans="1:14" s="592" customFormat="1" ht="12.75">
      <c r="A59" s="704"/>
      <c r="B59" s="704"/>
      <c r="C59" s="702">
        <f>B54</f>
        <v>30.009999999999998</v>
      </c>
      <c r="D59" s="692" t="s">
        <v>35</v>
      </c>
      <c r="E59" s="693">
        <f>C152</f>
        <v>12.030000000000001</v>
      </c>
      <c r="F59" s="692" t="s">
        <v>30</v>
      </c>
      <c r="G59" s="693">
        <f>C59-E59</f>
        <v>17.979999999999997</v>
      </c>
      <c r="H59" s="692"/>
      <c r="I59" s="692"/>
      <c r="J59" s="692"/>
      <c r="K59" s="692"/>
      <c r="L59" s="692"/>
      <c r="M59" s="692"/>
      <c r="N59" s="455"/>
    </row>
    <row r="60" spans="1:14" s="592" customFormat="1" ht="12.75">
      <c r="A60" s="704"/>
      <c r="B60" s="704"/>
      <c r="C60" s="702"/>
      <c r="D60" s="692"/>
      <c r="E60" s="692"/>
      <c r="F60" s="692"/>
      <c r="G60" s="692"/>
      <c r="H60" s="692"/>
      <c r="I60" s="692"/>
      <c r="J60" s="692"/>
      <c r="K60" s="692"/>
      <c r="L60" s="692"/>
      <c r="M60" s="692"/>
      <c r="N60" s="455"/>
    </row>
    <row r="61" spans="1:2" ht="15">
      <c r="A61" s="201"/>
      <c r="B61" s="201" t="str">
        <f>'ORÇAMENTO NÃO DESONERADO'!C76</f>
        <v>INFRAESTRUTURA</v>
      </c>
    </row>
    <row r="62" spans="1:14" ht="15">
      <c r="A62" s="201" t="str">
        <f>'ORÇAMENTO NÃO DESONERADO'!A77</f>
        <v>5.2.1</v>
      </c>
      <c r="B62" s="201" t="str">
        <f>'ORÇAMENTO NÃO DESONERADO'!C77</f>
        <v>LASTRO DE CONCRETO, PREPARO MECÂNICO, INCLUSOS ADITIVO IMPERMEABILIZANTE, LANÇAMENTO E ADENSAMENTO</v>
      </c>
      <c r="C62" s="449"/>
      <c r="D62" s="449"/>
      <c r="E62" s="450"/>
      <c r="F62" s="449"/>
      <c r="G62" s="450"/>
      <c r="H62" s="204"/>
      <c r="I62" s="204"/>
      <c r="J62" s="204"/>
      <c r="K62" s="204"/>
      <c r="L62" s="204"/>
      <c r="M62" s="204"/>
      <c r="N62" s="464"/>
    </row>
    <row r="63" ht="12.75">
      <c r="N63" s="463"/>
    </row>
    <row r="64" spans="1:14" ht="12.75">
      <c r="A64" s="692" t="s">
        <v>401</v>
      </c>
      <c r="B64" s="692"/>
      <c r="C64" s="692"/>
      <c r="D64" s="692"/>
      <c r="E64" s="692"/>
      <c r="F64" s="692"/>
      <c r="G64" s="692"/>
      <c r="H64" s="692"/>
      <c r="I64" s="692"/>
      <c r="J64" s="692"/>
      <c r="K64" s="692"/>
      <c r="N64" s="463"/>
    </row>
    <row r="65" spans="1:14" ht="12.75">
      <c r="A65"/>
      <c r="B65" s="693" t="s">
        <v>198</v>
      </c>
      <c r="C65" s="693"/>
      <c r="D65" s="693" t="s">
        <v>402</v>
      </c>
      <c r="E65" s="693"/>
      <c r="F65" s="693" t="s">
        <v>194</v>
      </c>
      <c r="G65" s="693"/>
      <c r="H65" s="693" t="s">
        <v>404</v>
      </c>
      <c r="I65" s="692"/>
      <c r="J65" s="703" t="s">
        <v>408</v>
      </c>
      <c r="K65" s="692"/>
      <c r="N65" s="463"/>
    </row>
    <row r="66" spans="1:14" ht="12.75">
      <c r="A66" s="693" t="s">
        <v>34</v>
      </c>
      <c r="B66" s="693">
        <v>1</v>
      </c>
      <c r="C66" s="693" t="s">
        <v>29</v>
      </c>
      <c r="D66" s="693">
        <v>1</v>
      </c>
      <c r="E66" s="693" t="s">
        <v>29</v>
      </c>
      <c r="F66" s="693">
        <v>0.03</v>
      </c>
      <c r="G66" s="693" t="s">
        <v>29</v>
      </c>
      <c r="H66" s="694">
        <v>8</v>
      </c>
      <c r="I66" s="692" t="s">
        <v>30</v>
      </c>
      <c r="J66" s="702">
        <f>ROUND((B66*F66*D66*H66),2)</f>
        <v>0.24</v>
      </c>
      <c r="K66" s="693" t="s">
        <v>2</v>
      </c>
      <c r="N66" s="463"/>
    </row>
    <row r="67" spans="1:14" ht="12.75">
      <c r="A67"/>
      <c r="B67" s="693" t="s">
        <v>198</v>
      </c>
      <c r="C67" s="693"/>
      <c r="D67" s="693" t="s">
        <v>402</v>
      </c>
      <c r="E67" s="693"/>
      <c r="F67" s="693" t="s">
        <v>194</v>
      </c>
      <c r="G67" s="693"/>
      <c r="H67" s="693" t="s">
        <v>404</v>
      </c>
      <c r="I67" s="692"/>
      <c r="J67" s="692"/>
      <c r="K67" s="693"/>
      <c r="N67" s="463"/>
    </row>
    <row r="68" spans="1:14" ht="12.75">
      <c r="A68" s="693" t="s">
        <v>34</v>
      </c>
      <c r="B68" s="693">
        <v>0.7</v>
      </c>
      <c r="C68" s="693" t="s">
        <v>29</v>
      </c>
      <c r="D68" s="693">
        <v>0.8</v>
      </c>
      <c r="E68" s="693" t="s">
        <v>29</v>
      </c>
      <c r="F68" s="693">
        <v>0.03</v>
      </c>
      <c r="G68" s="693" t="s">
        <v>29</v>
      </c>
      <c r="H68" s="694">
        <v>5</v>
      </c>
      <c r="I68" s="692"/>
      <c r="J68" s="702">
        <f>ROUND((B68*F68*D68*H68),2)</f>
        <v>0.08</v>
      </c>
      <c r="K68" s="693" t="s">
        <v>2</v>
      </c>
      <c r="N68" s="463"/>
    </row>
    <row r="69" spans="1:14" ht="12.75">
      <c r="A69"/>
      <c r="B69" s="693" t="s">
        <v>198</v>
      </c>
      <c r="C69" s="693"/>
      <c r="D69" s="693" t="s">
        <v>402</v>
      </c>
      <c r="E69" s="693"/>
      <c r="F69" s="693" t="s">
        <v>194</v>
      </c>
      <c r="G69" s="693"/>
      <c r="H69" s="693" t="s">
        <v>404</v>
      </c>
      <c r="I69" s="692"/>
      <c r="J69" s="692"/>
      <c r="K69" s="693"/>
      <c r="N69" s="463"/>
    </row>
    <row r="70" spans="1:14" ht="12.75">
      <c r="A70" s="693" t="s">
        <v>34</v>
      </c>
      <c r="B70" s="693">
        <v>0.7</v>
      </c>
      <c r="C70" s="693" t="s">
        <v>29</v>
      </c>
      <c r="D70" s="693">
        <v>0.85</v>
      </c>
      <c r="E70" s="693" t="s">
        <v>29</v>
      </c>
      <c r="F70" s="693">
        <v>0.03</v>
      </c>
      <c r="G70" s="693" t="s">
        <v>29</v>
      </c>
      <c r="H70" s="694">
        <v>2</v>
      </c>
      <c r="I70" s="692"/>
      <c r="J70" s="702">
        <f>ROUND((B70*F70*D70*H70),2)</f>
        <v>0.04</v>
      </c>
      <c r="K70" s="693" t="s">
        <v>2</v>
      </c>
      <c r="N70" s="463"/>
    </row>
    <row r="71" spans="1:14" ht="12.75">
      <c r="A71" s="693"/>
      <c r="B71" s="693"/>
      <c r="C71" s="693"/>
      <c r="D71" s="693"/>
      <c r="E71" s="693"/>
      <c r="F71" s="693"/>
      <c r="G71" s="693"/>
      <c r="H71" s="694"/>
      <c r="I71" s="692"/>
      <c r="J71" s="692"/>
      <c r="K71" s="693"/>
      <c r="N71" s="463"/>
    </row>
    <row r="72" spans="1:14" ht="12.75">
      <c r="A72" s="695" t="s">
        <v>34</v>
      </c>
      <c r="B72" s="696">
        <f>J66+J68+J70</f>
        <v>0.36</v>
      </c>
      <c r="C72" s="697" t="s">
        <v>2</v>
      </c>
      <c r="D72" s="692"/>
      <c r="E72" s="692"/>
      <c r="F72" s="692"/>
      <c r="G72" s="692"/>
      <c r="H72" s="692"/>
      <c r="I72" s="692"/>
      <c r="J72" s="692"/>
      <c r="K72" s="692"/>
      <c r="N72" s="463"/>
    </row>
    <row r="73" spans="1:14" ht="12.75">
      <c r="A73" s="692"/>
      <c r="B73" s="692"/>
      <c r="C73" s="692"/>
      <c r="D73" s="692"/>
      <c r="E73" s="692"/>
      <c r="F73" s="692"/>
      <c r="G73" s="692"/>
      <c r="H73" s="692"/>
      <c r="I73" s="692"/>
      <c r="J73" s="692"/>
      <c r="K73" s="692"/>
      <c r="N73" s="463"/>
    </row>
    <row r="74" spans="1:14" ht="12.75">
      <c r="A74" s="1232" t="s">
        <v>200</v>
      </c>
      <c r="B74" s="1232"/>
      <c r="C74" s="1232"/>
      <c r="D74" s="692"/>
      <c r="E74" s="692"/>
      <c r="F74" s="692"/>
      <c r="G74" s="692"/>
      <c r="H74" s="692"/>
      <c r="I74" s="692"/>
      <c r="J74" s="692"/>
      <c r="K74" s="692"/>
      <c r="N74" s="463"/>
    </row>
    <row r="75" spans="1:14" ht="12.75">
      <c r="A75" s="692"/>
      <c r="B75" s="693" t="s">
        <v>198</v>
      </c>
      <c r="C75" s="693"/>
      <c r="D75" s="693" t="s">
        <v>405</v>
      </c>
      <c r="E75" s="693"/>
      <c r="F75" s="693" t="s">
        <v>431</v>
      </c>
      <c r="G75" s="692"/>
      <c r="H75" s="693" t="s">
        <v>407</v>
      </c>
      <c r="I75" s="692"/>
      <c r="J75" s="692"/>
      <c r="K75" s="692"/>
      <c r="N75" s="463"/>
    </row>
    <row r="76" spans="1:14" ht="12.75">
      <c r="A76" s="693" t="s">
        <v>34</v>
      </c>
      <c r="B76" s="693">
        <v>5</v>
      </c>
      <c r="C76" s="693" t="s">
        <v>29</v>
      </c>
      <c r="D76" s="693">
        <v>0.25</v>
      </c>
      <c r="E76" s="693" t="s">
        <v>29</v>
      </c>
      <c r="F76" s="693">
        <v>0.03</v>
      </c>
      <c r="G76" s="693" t="s">
        <v>29</v>
      </c>
      <c r="H76" s="694">
        <v>1</v>
      </c>
      <c r="I76" s="594" t="s">
        <v>30</v>
      </c>
      <c r="J76" s="693">
        <f aca="true" t="shared" si="3" ref="J76:J97">ROUND((B76*D76*F76*H76),2)</f>
        <v>0.04</v>
      </c>
      <c r="K76" s="698" t="s">
        <v>409</v>
      </c>
      <c r="N76" s="463"/>
    </row>
    <row r="77" spans="1:14" ht="12.75">
      <c r="A77" s="693" t="s">
        <v>34</v>
      </c>
      <c r="B77" s="693">
        <v>2.6</v>
      </c>
      <c r="C77" s="693" t="s">
        <v>29</v>
      </c>
      <c r="D77" s="693">
        <v>0.25</v>
      </c>
      <c r="E77" s="693" t="s">
        <v>29</v>
      </c>
      <c r="F77" s="693">
        <v>0.03</v>
      </c>
      <c r="G77" s="693" t="s">
        <v>29</v>
      </c>
      <c r="H77" s="694">
        <v>1</v>
      </c>
      <c r="I77" s="692" t="s">
        <v>30</v>
      </c>
      <c r="J77" s="693">
        <f t="shared" si="3"/>
        <v>0.02</v>
      </c>
      <c r="K77" s="698" t="s">
        <v>410</v>
      </c>
      <c r="N77" s="463"/>
    </row>
    <row r="78" spans="1:14" ht="12.75">
      <c r="A78" s="693" t="s">
        <v>34</v>
      </c>
      <c r="B78" s="693">
        <v>2.22</v>
      </c>
      <c r="C78" s="693" t="s">
        <v>29</v>
      </c>
      <c r="D78" s="693">
        <v>0.25</v>
      </c>
      <c r="E78" s="693" t="s">
        <v>29</v>
      </c>
      <c r="F78" s="693">
        <v>0.03</v>
      </c>
      <c r="G78" s="693" t="s">
        <v>29</v>
      </c>
      <c r="H78" s="694">
        <v>1</v>
      </c>
      <c r="I78" s="692" t="s">
        <v>30</v>
      </c>
      <c r="J78" s="693">
        <f t="shared" si="3"/>
        <v>0.02</v>
      </c>
      <c r="K78" s="698" t="s">
        <v>411</v>
      </c>
      <c r="N78" s="463"/>
    </row>
    <row r="79" spans="1:14" ht="12.75">
      <c r="A79" s="693" t="s">
        <v>34</v>
      </c>
      <c r="B79" s="693">
        <v>4.68</v>
      </c>
      <c r="C79" s="693" t="s">
        <v>29</v>
      </c>
      <c r="D79" s="693">
        <v>0.25</v>
      </c>
      <c r="E79" s="693" t="s">
        <v>29</v>
      </c>
      <c r="F79" s="693">
        <v>0.03</v>
      </c>
      <c r="G79" s="693" t="s">
        <v>29</v>
      </c>
      <c r="H79" s="694">
        <v>1</v>
      </c>
      <c r="I79" s="692" t="s">
        <v>30</v>
      </c>
      <c r="J79" s="693">
        <f t="shared" si="3"/>
        <v>0.04</v>
      </c>
      <c r="K79" s="698" t="s">
        <v>412</v>
      </c>
      <c r="N79" s="463"/>
    </row>
    <row r="80" spans="1:14" ht="12.75">
      <c r="A80" s="693" t="s">
        <v>34</v>
      </c>
      <c r="B80" s="693">
        <v>4.63</v>
      </c>
      <c r="C80" s="693" t="s">
        <v>29</v>
      </c>
      <c r="D80" s="693">
        <v>0.25</v>
      </c>
      <c r="E80" s="693" t="s">
        <v>29</v>
      </c>
      <c r="F80" s="693">
        <v>0.03</v>
      </c>
      <c r="G80" s="693" t="s">
        <v>29</v>
      </c>
      <c r="H80" s="694">
        <v>1</v>
      </c>
      <c r="I80" s="692" t="s">
        <v>30</v>
      </c>
      <c r="J80" s="693">
        <f t="shared" si="3"/>
        <v>0.03</v>
      </c>
      <c r="K80" s="698" t="s">
        <v>413</v>
      </c>
      <c r="N80" s="463"/>
    </row>
    <row r="81" spans="1:14" ht="12.75">
      <c r="A81" s="693" t="s">
        <v>34</v>
      </c>
      <c r="B81" s="693">
        <v>2.94</v>
      </c>
      <c r="C81" s="693" t="s">
        <v>29</v>
      </c>
      <c r="D81" s="693">
        <v>0.25</v>
      </c>
      <c r="E81" s="693" t="s">
        <v>29</v>
      </c>
      <c r="F81" s="693">
        <v>0.03</v>
      </c>
      <c r="G81" s="693" t="s">
        <v>29</v>
      </c>
      <c r="H81" s="694">
        <v>1</v>
      </c>
      <c r="I81" s="692" t="s">
        <v>30</v>
      </c>
      <c r="J81" s="693">
        <f t="shared" si="3"/>
        <v>0.02</v>
      </c>
      <c r="K81" s="698" t="s">
        <v>414</v>
      </c>
      <c r="N81" s="463"/>
    </row>
    <row r="82" spans="1:14" ht="12.75">
      <c r="A82" s="693" t="s">
        <v>34</v>
      </c>
      <c r="B82" s="693">
        <v>2.79</v>
      </c>
      <c r="C82" s="693" t="s">
        <v>29</v>
      </c>
      <c r="D82" s="693">
        <v>0.25</v>
      </c>
      <c r="E82" s="693" t="s">
        <v>29</v>
      </c>
      <c r="F82" s="693">
        <v>0.03</v>
      </c>
      <c r="G82" s="693" t="s">
        <v>29</v>
      </c>
      <c r="H82" s="694">
        <v>1</v>
      </c>
      <c r="I82" s="692" t="s">
        <v>30</v>
      </c>
      <c r="J82" s="693">
        <f t="shared" si="3"/>
        <v>0.02</v>
      </c>
      <c r="K82" s="698" t="s">
        <v>415</v>
      </c>
      <c r="N82" s="463"/>
    </row>
    <row r="83" spans="1:14" ht="12.75">
      <c r="A83" s="693" t="s">
        <v>34</v>
      </c>
      <c r="B83" s="693">
        <v>3.79</v>
      </c>
      <c r="C83" s="693" t="s">
        <v>29</v>
      </c>
      <c r="D83" s="693">
        <v>0.25</v>
      </c>
      <c r="E83" s="693" t="s">
        <v>29</v>
      </c>
      <c r="F83" s="693">
        <v>0.03</v>
      </c>
      <c r="G83" s="693" t="s">
        <v>29</v>
      </c>
      <c r="H83" s="694">
        <v>1</v>
      </c>
      <c r="I83" s="692" t="s">
        <v>30</v>
      </c>
      <c r="J83" s="693">
        <f t="shared" si="3"/>
        <v>0.03</v>
      </c>
      <c r="K83" s="698" t="s">
        <v>416</v>
      </c>
      <c r="N83" s="463"/>
    </row>
    <row r="84" spans="1:14" ht="12.75">
      <c r="A84" s="693" t="s">
        <v>34</v>
      </c>
      <c r="B84" s="693">
        <v>0.93</v>
      </c>
      <c r="C84" s="693" t="s">
        <v>29</v>
      </c>
      <c r="D84" s="693">
        <v>0.25</v>
      </c>
      <c r="E84" s="693" t="s">
        <v>29</v>
      </c>
      <c r="F84" s="693">
        <v>0.03</v>
      </c>
      <c r="G84" s="693" t="s">
        <v>29</v>
      </c>
      <c r="H84" s="694">
        <v>1</v>
      </c>
      <c r="I84" s="692" t="s">
        <v>30</v>
      </c>
      <c r="J84" s="693">
        <f t="shared" si="3"/>
        <v>0.01</v>
      </c>
      <c r="K84" s="698" t="s">
        <v>417</v>
      </c>
      <c r="N84" s="463"/>
    </row>
    <row r="85" spans="1:14" ht="12.75">
      <c r="A85" s="693" t="s">
        <v>34</v>
      </c>
      <c r="B85" s="693">
        <v>2.04</v>
      </c>
      <c r="C85" s="693" t="s">
        <v>29</v>
      </c>
      <c r="D85" s="693">
        <v>0.25</v>
      </c>
      <c r="E85" s="693" t="s">
        <v>29</v>
      </c>
      <c r="F85" s="693">
        <v>0.03</v>
      </c>
      <c r="G85" s="693" t="s">
        <v>29</v>
      </c>
      <c r="H85" s="694">
        <v>1</v>
      </c>
      <c r="I85" s="692" t="s">
        <v>30</v>
      </c>
      <c r="J85" s="693">
        <f t="shared" si="3"/>
        <v>0.02</v>
      </c>
      <c r="K85" s="698" t="s">
        <v>418</v>
      </c>
      <c r="N85" s="463"/>
    </row>
    <row r="86" spans="1:14" ht="12.75">
      <c r="A86" s="693" t="s">
        <v>34</v>
      </c>
      <c r="B86" s="693">
        <v>3.98</v>
      </c>
      <c r="C86" s="693" t="s">
        <v>29</v>
      </c>
      <c r="D86" s="693">
        <v>0.25</v>
      </c>
      <c r="E86" s="693" t="s">
        <v>29</v>
      </c>
      <c r="F86" s="693">
        <v>0.03</v>
      </c>
      <c r="G86" s="693" t="s">
        <v>29</v>
      </c>
      <c r="H86" s="694">
        <v>1</v>
      </c>
      <c r="I86" s="692" t="s">
        <v>30</v>
      </c>
      <c r="J86" s="693">
        <f t="shared" si="3"/>
        <v>0.03</v>
      </c>
      <c r="K86" s="698" t="s">
        <v>419</v>
      </c>
      <c r="N86" s="463"/>
    </row>
    <row r="87" spans="1:14" ht="12.75">
      <c r="A87" s="693" t="s">
        <v>34</v>
      </c>
      <c r="B87" s="693">
        <v>3.98</v>
      </c>
      <c r="C87" s="693" t="s">
        <v>29</v>
      </c>
      <c r="D87" s="693">
        <v>0.25</v>
      </c>
      <c r="E87" s="693" t="s">
        <v>29</v>
      </c>
      <c r="F87" s="693">
        <v>0.03</v>
      </c>
      <c r="G87" s="693" t="s">
        <v>29</v>
      </c>
      <c r="H87" s="694">
        <v>1</v>
      </c>
      <c r="I87" s="692" t="s">
        <v>30</v>
      </c>
      <c r="J87" s="693">
        <f t="shared" si="3"/>
        <v>0.03</v>
      </c>
      <c r="K87" s="698" t="s">
        <v>420</v>
      </c>
      <c r="N87" s="463"/>
    </row>
    <row r="88" spans="1:14" ht="12.75">
      <c r="A88" s="693" t="s">
        <v>34</v>
      </c>
      <c r="B88" s="693">
        <v>22.45</v>
      </c>
      <c r="C88" s="693" t="s">
        <v>29</v>
      </c>
      <c r="D88" s="693">
        <v>0.25</v>
      </c>
      <c r="E88" s="693" t="s">
        <v>29</v>
      </c>
      <c r="F88" s="693">
        <v>0.03</v>
      </c>
      <c r="G88" s="693" t="s">
        <v>29</v>
      </c>
      <c r="H88" s="694">
        <v>1</v>
      </c>
      <c r="I88" s="692" t="s">
        <v>30</v>
      </c>
      <c r="J88" s="693">
        <f t="shared" si="3"/>
        <v>0.17</v>
      </c>
      <c r="K88" s="698" t="s">
        <v>421</v>
      </c>
      <c r="N88" s="463"/>
    </row>
    <row r="89" spans="1:14" ht="12.75">
      <c r="A89" s="693" t="s">
        <v>34</v>
      </c>
      <c r="B89" s="693">
        <v>2.23</v>
      </c>
      <c r="C89" s="693" t="s">
        <v>29</v>
      </c>
      <c r="D89" s="693">
        <v>0.25</v>
      </c>
      <c r="E89" s="693" t="s">
        <v>29</v>
      </c>
      <c r="F89" s="693">
        <v>0.03</v>
      </c>
      <c r="G89" s="693" t="s">
        <v>29</v>
      </c>
      <c r="H89" s="694">
        <v>1</v>
      </c>
      <c r="I89" s="692" t="s">
        <v>30</v>
      </c>
      <c r="J89" s="693">
        <f t="shared" si="3"/>
        <v>0.02</v>
      </c>
      <c r="K89" s="698" t="s">
        <v>422</v>
      </c>
      <c r="N89" s="463"/>
    </row>
    <row r="90" spans="1:14" ht="12.75">
      <c r="A90" s="693" t="s">
        <v>34</v>
      </c>
      <c r="B90" s="693">
        <v>2.3</v>
      </c>
      <c r="C90" s="693" t="s">
        <v>29</v>
      </c>
      <c r="D90" s="693">
        <v>0.25</v>
      </c>
      <c r="E90" s="693" t="s">
        <v>29</v>
      </c>
      <c r="F90" s="693">
        <v>0.03</v>
      </c>
      <c r="G90" s="693" t="s">
        <v>29</v>
      </c>
      <c r="H90" s="694">
        <v>1</v>
      </c>
      <c r="I90" s="692" t="s">
        <v>30</v>
      </c>
      <c r="J90" s="693">
        <f t="shared" si="3"/>
        <v>0.02</v>
      </c>
      <c r="K90" s="698" t="s">
        <v>423</v>
      </c>
      <c r="N90" s="463"/>
    </row>
    <row r="91" spans="1:14" ht="12.75">
      <c r="A91" s="693" t="s">
        <v>34</v>
      </c>
      <c r="B91" s="693">
        <v>3</v>
      </c>
      <c r="C91" s="693" t="s">
        <v>29</v>
      </c>
      <c r="D91" s="693">
        <v>0.25</v>
      </c>
      <c r="E91" s="693" t="s">
        <v>29</v>
      </c>
      <c r="F91" s="693">
        <v>0.03</v>
      </c>
      <c r="G91" s="693" t="s">
        <v>29</v>
      </c>
      <c r="H91" s="694">
        <v>1</v>
      </c>
      <c r="I91" s="692" t="s">
        <v>30</v>
      </c>
      <c r="J91" s="693">
        <f t="shared" si="3"/>
        <v>0.02</v>
      </c>
      <c r="K91" s="698" t="s">
        <v>424</v>
      </c>
      <c r="N91" s="463"/>
    </row>
    <row r="92" spans="1:14" ht="12.75">
      <c r="A92" s="693" t="s">
        <v>34</v>
      </c>
      <c r="B92" s="693">
        <v>2.35</v>
      </c>
      <c r="C92" s="693" t="s">
        <v>29</v>
      </c>
      <c r="D92" s="693">
        <v>0.25</v>
      </c>
      <c r="E92" s="693" t="s">
        <v>29</v>
      </c>
      <c r="F92" s="693">
        <v>0.03</v>
      </c>
      <c r="G92" s="693" t="s">
        <v>29</v>
      </c>
      <c r="H92" s="694">
        <v>1</v>
      </c>
      <c r="I92" s="692" t="s">
        <v>30</v>
      </c>
      <c r="J92" s="693">
        <f t="shared" si="3"/>
        <v>0.02</v>
      </c>
      <c r="K92" s="698" t="s">
        <v>425</v>
      </c>
      <c r="N92" s="463"/>
    </row>
    <row r="93" spans="1:14" ht="12.75">
      <c r="A93" s="693" t="s">
        <v>34</v>
      </c>
      <c r="B93" s="693">
        <v>2.18</v>
      </c>
      <c r="C93" s="693" t="s">
        <v>29</v>
      </c>
      <c r="D93" s="693">
        <v>0.25</v>
      </c>
      <c r="E93" s="693" t="s">
        <v>29</v>
      </c>
      <c r="F93" s="693">
        <v>0.03</v>
      </c>
      <c r="G93" s="693" t="s">
        <v>29</v>
      </c>
      <c r="H93" s="694">
        <v>1</v>
      </c>
      <c r="I93" s="692" t="s">
        <v>30</v>
      </c>
      <c r="J93" s="693">
        <f t="shared" si="3"/>
        <v>0.02</v>
      </c>
      <c r="K93" s="698" t="s">
        <v>426</v>
      </c>
      <c r="N93" s="463"/>
    </row>
    <row r="94" spans="1:14" ht="12.75">
      <c r="A94" s="693" t="s">
        <v>34</v>
      </c>
      <c r="B94" s="693">
        <v>2.2</v>
      </c>
      <c r="C94" s="693" t="s">
        <v>29</v>
      </c>
      <c r="D94" s="693">
        <v>0.25</v>
      </c>
      <c r="E94" s="693" t="s">
        <v>29</v>
      </c>
      <c r="F94" s="693">
        <v>0.03</v>
      </c>
      <c r="G94" s="693" t="s">
        <v>29</v>
      </c>
      <c r="H94" s="694">
        <v>1</v>
      </c>
      <c r="I94" s="692" t="s">
        <v>30</v>
      </c>
      <c r="J94" s="693">
        <f t="shared" si="3"/>
        <v>0.02</v>
      </c>
      <c r="K94" s="698" t="s">
        <v>427</v>
      </c>
      <c r="N94" s="463"/>
    </row>
    <row r="95" spans="1:14" ht="12.75">
      <c r="A95" s="693" t="s">
        <v>34</v>
      </c>
      <c r="B95" s="693">
        <v>2.22</v>
      </c>
      <c r="C95" s="693" t="s">
        <v>29</v>
      </c>
      <c r="D95" s="693">
        <v>0.25</v>
      </c>
      <c r="E95" s="693" t="s">
        <v>29</v>
      </c>
      <c r="F95" s="693">
        <v>0.03</v>
      </c>
      <c r="G95" s="693" t="s">
        <v>29</v>
      </c>
      <c r="H95" s="694">
        <v>1</v>
      </c>
      <c r="I95" s="692" t="s">
        <v>30</v>
      </c>
      <c r="J95" s="693">
        <f t="shared" si="3"/>
        <v>0.02</v>
      </c>
      <c r="K95" s="698" t="s">
        <v>428</v>
      </c>
      <c r="N95" s="463"/>
    </row>
    <row r="96" spans="1:14" ht="12.75">
      <c r="A96" s="693" t="s">
        <v>34</v>
      </c>
      <c r="B96" s="693">
        <v>2.32</v>
      </c>
      <c r="C96" s="693" t="s">
        <v>29</v>
      </c>
      <c r="D96" s="693">
        <v>0.25</v>
      </c>
      <c r="E96" s="693" t="s">
        <v>29</v>
      </c>
      <c r="F96" s="693">
        <v>0.03</v>
      </c>
      <c r="G96" s="693" t="s">
        <v>29</v>
      </c>
      <c r="H96" s="694">
        <v>1</v>
      </c>
      <c r="I96" s="692" t="s">
        <v>30</v>
      </c>
      <c r="J96" s="693">
        <f t="shared" si="3"/>
        <v>0.02</v>
      </c>
      <c r="K96" s="698" t="s">
        <v>429</v>
      </c>
      <c r="N96" s="463"/>
    </row>
    <row r="97" spans="1:14" ht="12.75">
      <c r="A97" s="693" t="s">
        <v>34</v>
      </c>
      <c r="B97" s="693">
        <v>5.42</v>
      </c>
      <c r="C97" s="693" t="s">
        <v>29</v>
      </c>
      <c r="D97" s="693">
        <v>0.25</v>
      </c>
      <c r="E97" s="693" t="s">
        <v>29</v>
      </c>
      <c r="F97" s="693">
        <v>0.03</v>
      </c>
      <c r="G97" s="693" t="s">
        <v>29</v>
      </c>
      <c r="H97" s="694">
        <v>1</v>
      </c>
      <c r="I97" s="692" t="s">
        <v>30</v>
      </c>
      <c r="J97" s="693">
        <f t="shared" si="3"/>
        <v>0.04</v>
      </c>
      <c r="K97" s="698" t="s">
        <v>430</v>
      </c>
      <c r="N97" s="463"/>
    </row>
    <row r="98" spans="1:14" ht="12.75">
      <c r="A98" s="693"/>
      <c r="B98" s="693"/>
      <c r="C98" s="693"/>
      <c r="D98" s="693"/>
      <c r="E98" s="693"/>
      <c r="F98" s="693"/>
      <c r="G98" s="693"/>
      <c r="H98" s="694"/>
      <c r="I98" s="692"/>
      <c r="J98" s="693"/>
      <c r="K98" s="698"/>
      <c r="N98" s="463"/>
    </row>
    <row r="99" spans="1:14" ht="12.75">
      <c r="A99" s="693"/>
      <c r="B99" s="693"/>
      <c r="C99" s="693"/>
      <c r="D99" s="693"/>
      <c r="E99" s="693"/>
      <c r="F99" s="693"/>
      <c r="G99" s="693"/>
      <c r="H99" s="694"/>
      <c r="I99" s="692"/>
      <c r="J99" s="693"/>
      <c r="K99" s="698"/>
      <c r="N99" s="463"/>
    </row>
    <row r="100" spans="1:14" ht="12.75">
      <c r="A100" s="695" t="s">
        <v>34</v>
      </c>
      <c r="B100" s="696">
        <f>SUM(J76:J97)</f>
        <v>0.6800000000000002</v>
      </c>
      <c r="C100" s="697" t="s">
        <v>2</v>
      </c>
      <c r="D100" s="693"/>
      <c r="E100" s="693"/>
      <c r="F100" s="693"/>
      <c r="G100" s="693"/>
      <c r="H100" s="694"/>
      <c r="I100" s="692"/>
      <c r="J100" s="693"/>
      <c r="K100" s="698"/>
      <c r="N100" s="463"/>
    </row>
    <row r="101" spans="1:14" ht="12.75">
      <c r="A101" s="693"/>
      <c r="B101" s="693"/>
      <c r="C101" s="693"/>
      <c r="D101" s="693"/>
      <c r="E101" s="693"/>
      <c r="F101" s="693"/>
      <c r="G101" s="693"/>
      <c r="H101" s="694"/>
      <c r="I101" s="692"/>
      <c r="J101" s="693"/>
      <c r="K101" s="698"/>
      <c r="N101" s="463"/>
    </row>
    <row r="102" spans="1:14" ht="12.75">
      <c r="A102" s="693"/>
      <c r="B102" s="693"/>
      <c r="C102" s="693"/>
      <c r="D102" s="693"/>
      <c r="E102" s="693"/>
      <c r="F102" s="694"/>
      <c r="G102" s="692"/>
      <c r="H102" s="692"/>
      <c r="I102" s="692"/>
      <c r="J102" s="692"/>
      <c r="K102" s="692"/>
      <c r="N102" s="463"/>
    </row>
    <row r="103" spans="1:14" ht="12.75">
      <c r="A103" s="699" t="s">
        <v>28</v>
      </c>
      <c r="B103" s="700">
        <f>B72+B100</f>
        <v>1.04</v>
      </c>
      <c r="C103" s="701" t="s">
        <v>2</v>
      </c>
      <c r="D103" s="692"/>
      <c r="E103" s="692"/>
      <c r="F103" s="692"/>
      <c r="G103" s="692"/>
      <c r="H103" s="692"/>
      <c r="I103" s="692"/>
      <c r="J103" s="692"/>
      <c r="K103" s="692"/>
      <c r="N103" s="463"/>
    </row>
    <row r="104" ht="12.75">
      <c r="N104" s="463"/>
    </row>
    <row r="105" spans="1:14" ht="37.5" customHeight="1">
      <c r="A105" s="520" t="str">
        <f>'ORÇAMENTO NÃO DESONERADO'!A78</f>
        <v>5.2.2</v>
      </c>
      <c r="B105" s="1145" t="str">
        <f>'ORÇAMENTO NÃO DESONERADO'!C78</f>
        <v>FABRICAÇÃO, MONTAGEM E DESMONTAGEM DE FÔRMA PARA VIGA BALDRAME, EM MADEIRA SERRADA, E=25 MM, 4 UTILIZAÇÕES. AF_06/2017</v>
      </c>
      <c r="C105" s="1145"/>
      <c r="D105" s="1145"/>
      <c r="E105" s="1145"/>
      <c r="F105" s="1145"/>
      <c r="G105" s="1145"/>
      <c r="H105" s="1145"/>
      <c r="I105" s="1145"/>
      <c r="J105" s="1145"/>
      <c r="K105" s="1145"/>
      <c r="L105" s="1145"/>
      <c r="M105" s="1145"/>
      <c r="N105" s="1145"/>
    </row>
    <row r="107" spans="1:13" ht="15" customHeight="1">
      <c r="A107" s="451" t="s">
        <v>193</v>
      </c>
      <c r="B107" s="434"/>
      <c r="C107" s="452" t="s">
        <v>195</v>
      </c>
      <c r="D107" s="451"/>
      <c r="E107" s="452" t="s">
        <v>33</v>
      </c>
      <c r="F107" s="434"/>
      <c r="G107" s="238" t="s">
        <v>191</v>
      </c>
      <c r="H107" s="451"/>
      <c r="I107" s="451" t="s">
        <v>432</v>
      </c>
      <c r="J107" s="453"/>
      <c r="K107" s="434"/>
      <c r="L107" s="453"/>
      <c r="M107" s="216"/>
    </row>
    <row r="108" spans="1:13" ht="12.75" customHeight="1">
      <c r="A108" s="454"/>
      <c r="B108" s="451" t="s">
        <v>196</v>
      </c>
      <c r="C108" s="452">
        <v>4</v>
      </c>
      <c r="D108" s="452" t="s">
        <v>29</v>
      </c>
      <c r="E108" s="452">
        <v>0.5</v>
      </c>
      <c r="F108" s="451" t="s">
        <v>29</v>
      </c>
      <c r="G108" s="238">
        <v>8</v>
      </c>
      <c r="H108" s="601" t="s">
        <v>30</v>
      </c>
      <c r="I108" s="456">
        <f>ROUND((C108*E108*G108),2)</f>
        <v>16</v>
      </c>
      <c r="J108" s="1182"/>
      <c r="K108" s="1182"/>
      <c r="M108" s="216"/>
    </row>
    <row r="109" spans="1:13" ht="12.75" customHeight="1">
      <c r="A109" s="454"/>
      <c r="B109" s="451"/>
      <c r="C109" s="452"/>
      <c r="D109" s="452"/>
      <c r="E109" s="452"/>
      <c r="F109" s="451"/>
      <c r="G109" s="238"/>
      <c r="H109" s="455"/>
      <c r="I109" s="452"/>
      <c r="J109" s="601"/>
      <c r="K109" s="601"/>
      <c r="L109" s="601"/>
      <c r="M109" s="216"/>
    </row>
    <row r="110" spans="1:13" ht="12.75" customHeight="1">
      <c r="A110" s="454"/>
      <c r="B110" s="451" t="s">
        <v>196</v>
      </c>
      <c r="C110" s="452">
        <v>3</v>
      </c>
      <c r="D110" s="452" t="s">
        <v>29</v>
      </c>
      <c r="E110" s="452">
        <v>0.5</v>
      </c>
      <c r="F110" s="451" t="s">
        <v>29</v>
      </c>
      <c r="G110" s="238">
        <v>5</v>
      </c>
      <c r="H110" s="601" t="s">
        <v>30</v>
      </c>
      <c r="I110" s="601">
        <f>ROUND((C110*E110*G110),2)</f>
        <v>7.5</v>
      </c>
      <c r="J110" s="601"/>
      <c r="K110" s="601"/>
      <c r="L110" s="601"/>
      <c r="M110" s="216"/>
    </row>
    <row r="111" spans="1:13" ht="12.75" customHeight="1">
      <c r="A111" s="454"/>
      <c r="B111" s="451"/>
      <c r="C111" s="452"/>
      <c r="D111" s="452"/>
      <c r="E111" s="452"/>
      <c r="F111" s="451"/>
      <c r="G111" s="238"/>
      <c r="H111" s="455"/>
      <c r="I111" s="452"/>
      <c r="J111" s="601"/>
      <c r="K111" s="601"/>
      <c r="L111" s="601"/>
      <c r="M111" s="216"/>
    </row>
    <row r="112" spans="1:13" ht="12.75" customHeight="1">
      <c r="A112" s="454"/>
      <c r="B112" s="451" t="s">
        <v>196</v>
      </c>
      <c r="C112" s="452">
        <v>3.05</v>
      </c>
      <c r="D112" s="452" t="s">
        <v>29</v>
      </c>
      <c r="E112" s="452">
        <v>0.5</v>
      </c>
      <c r="F112" s="451" t="s">
        <v>29</v>
      </c>
      <c r="G112" s="238">
        <v>2</v>
      </c>
      <c r="H112" s="601" t="s">
        <v>30</v>
      </c>
      <c r="I112" s="601">
        <f>ROUND((C112*E112*G112),2)</f>
        <v>3.05</v>
      </c>
      <c r="J112" s="601"/>
      <c r="K112" s="601"/>
      <c r="L112" s="601"/>
      <c r="M112" s="216"/>
    </row>
    <row r="113" spans="1:13" ht="12.75" customHeight="1">
      <c r="A113" s="454"/>
      <c r="B113" s="451"/>
      <c r="C113" s="452"/>
      <c r="D113" s="452"/>
      <c r="E113" s="452"/>
      <c r="F113" s="451"/>
      <c r="G113" s="238"/>
      <c r="H113" s="455"/>
      <c r="I113" s="452"/>
      <c r="J113" s="601"/>
      <c r="K113" s="601"/>
      <c r="L113" s="601"/>
      <c r="M113" s="216"/>
    </row>
    <row r="114" spans="1:13" ht="12.75" customHeight="1">
      <c r="A114" s="454"/>
      <c r="B114" s="451"/>
      <c r="C114" s="452"/>
      <c r="D114" s="452"/>
      <c r="E114" s="452"/>
      <c r="F114" s="451"/>
      <c r="G114" s="238"/>
      <c r="H114" s="455"/>
      <c r="I114" s="452"/>
      <c r="J114" s="601"/>
      <c r="K114" s="601"/>
      <c r="L114" s="601"/>
      <c r="M114" s="216"/>
    </row>
    <row r="115" spans="1:13" ht="15">
      <c r="A115" s="454"/>
      <c r="B115" s="457"/>
      <c r="C115" s="455"/>
      <c r="D115" s="455"/>
      <c r="E115" s="455"/>
      <c r="F115" s="455"/>
      <c r="G115" s="455"/>
      <c r="H115" s="455"/>
      <c r="I115" s="455"/>
      <c r="J115" s="455"/>
      <c r="K115" s="455"/>
      <c r="L115" s="455"/>
      <c r="M115" s="216"/>
    </row>
    <row r="116" spans="1:13" ht="12.75">
      <c r="A116" s="451" t="s">
        <v>197</v>
      </c>
      <c r="B116" s="434"/>
      <c r="C116" s="452" t="s">
        <v>195</v>
      </c>
      <c r="D116" s="451"/>
      <c r="E116" s="452" t="s">
        <v>33</v>
      </c>
      <c r="F116" s="434"/>
      <c r="G116" s="238" t="s">
        <v>261</v>
      </c>
      <c r="H116" s="451"/>
      <c r="I116" s="451" t="s">
        <v>432</v>
      </c>
      <c r="J116" s="453"/>
      <c r="K116" s="434"/>
      <c r="L116" s="453"/>
      <c r="M116" s="216"/>
    </row>
    <row r="117" spans="1:13" ht="15">
      <c r="A117" s="454"/>
      <c r="B117" s="451" t="s">
        <v>196</v>
      </c>
      <c r="C117" s="452">
        <v>1</v>
      </c>
      <c r="D117" s="452" t="s">
        <v>29</v>
      </c>
      <c r="E117" s="452">
        <v>1.1</v>
      </c>
      <c r="F117" s="451" t="s">
        <v>29</v>
      </c>
      <c r="G117" s="238">
        <f>G108</f>
        <v>8</v>
      </c>
      <c r="H117" s="601" t="s">
        <v>30</v>
      </c>
      <c r="I117" s="601">
        <f>ROUND((C117*E117*G117),2)</f>
        <v>8.8</v>
      </c>
      <c r="J117" s="456"/>
      <c r="K117" s="456"/>
      <c r="L117" s="456"/>
      <c r="M117" s="216"/>
    </row>
    <row r="118" spans="1:13" ht="15">
      <c r="A118" s="454"/>
      <c r="B118" s="451"/>
      <c r="C118" s="452"/>
      <c r="D118" s="452"/>
      <c r="E118" s="452"/>
      <c r="F118" s="451"/>
      <c r="G118" s="238"/>
      <c r="H118" s="455"/>
      <c r="I118" s="452"/>
      <c r="J118" s="601"/>
      <c r="K118" s="601"/>
      <c r="L118" s="601"/>
      <c r="M118" s="216"/>
    </row>
    <row r="119" spans="1:13" ht="15">
      <c r="A119" s="454"/>
      <c r="B119" s="434"/>
      <c r="C119" s="452" t="s">
        <v>195</v>
      </c>
      <c r="D119" s="451"/>
      <c r="E119" s="452" t="s">
        <v>33</v>
      </c>
      <c r="F119" s="434"/>
      <c r="G119" s="238" t="s">
        <v>261</v>
      </c>
      <c r="H119" s="451"/>
      <c r="I119" s="451" t="s">
        <v>432</v>
      </c>
      <c r="J119" s="453"/>
      <c r="K119" s="601"/>
      <c r="L119" s="601"/>
      <c r="M119" s="216"/>
    </row>
    <row r="120" spans="1:13" ht="15">
      <c r="A120" s="454"/>
      <c r="B120" s="451" t="s">
        <v>196</v>
      </c>
      <c r="C120" s="452">
        <v>0.9</v>
      </c>
      <c r="D120" s="452" t="s">
        <v>29</v>
      </c>
      <c r="E120" s="452">
        <v>1.1</v>
      </c>
      <c r="F120" s="451" t="s">
        <v>29</v>
      </c>
      <c r="G120" s="238">
        <v>5</v>
      </c>
      <c r="H120" s="601" t="s">
        <v>30</v>
      </c>
      <c r="I120" s="601">
        <f>ROUND((C120*E120*G120),2)</f>
        <v>4.95</v>
      </c>
      <c r="J120" s="601"/>
      <c r="K120" s="601"/>
      <c r="L120" s="601"/>
      <c r="M120" s="216"/>
    </row>
    <row r="121" spans="1:13" ht="15">
      <c r="A121" s="454"/>
      <c r="B121" s="451"/>
      <c r="C121" s="452"/>
      <c r="D121" s="452"/>
      <c r="E121" s="452"/>
      <c r="F121" s="451"/>
      <c r="G121" s="238"/>
      <c r="H121" s="455"/>
      <c r="I121" s="452"/>
      <c r="J121" s="601"/>
      <c r="K121" s="601"/>
      <c r="L121" s="601"/>
      <c r="M121" s="216"/>
    </row>
    <row r="122" spans="1:13" ht="15">
      <c r="A122" s="454"/>
      <c r="B122" s="434"/>
      <c r="C122" s="452" t="s">
        <v>195</v>
      </c>
      <c r="D122" s="451"/>
      <c r="E122" s="452" t="s">
        <v>33</v>
      </c>
      <c r="F122" s="434"/>
      <c r="G122" s="238" t="s">
        <v>261</v>
      </c>
      <c r="H122" s="451"/>
      <c r="I122" s="451" t="s">
        <v>432</v>
      </c>
      <c r="J122" s="453"/>
      <c r="K122" s="601"/>
      <c r="L122" s="601"/>
      <c r="M122" s="216"/>
    </row>
    <row r="123" spans="1:13" ht="15">
      <c r="A123" s="454"/>
      <c r="B123" s="451" t="s">
        <v>196</v>
      </c>
      <c r="C123" s="452">
        <v>0.8</v>
      </c>
      <c r="D123" s="452" t="s">
        <v>29</v>
      </c>
      <c r="E123" s="452">
        <v>1.1</v>
      </c>
      <c r="F123" s="451" t="s">
        <v>29</v>
      </c>
      <c r="G123" s="238">
        <v>2</v>
      </c>
      <c r="H123" s="601" t="s">
        <v>30</v>
      </c>
      <c r="I123" s="601">
        <f>ROUND((C123*E123*G123),2)</f>
        <v>1.76</v>
      </c>
      <c r="J123" s="601"/>
      <c r="K123" s="455"/>
      <c r="L123" s="455"/>
      <c r="M123" s="216"/>
    </row>
    <row r="124" spans="1:13" ht="15">
      <c r="A124" s="454"/>
      <c r="B124" s="451"/>
      <c r="C124" s="452"/>
      <c r="D124" s="452"/>
      <c r="E124" s="452"/>
      <c r="F124" s="451"/>
      <c r="G124" s="238"/>
      <c r="H124" s="601"/>
      <c r="I124" s="601"/>
      <c r="J124" s="601"/>
      <c r="K124" s="455"/>
      <c r="L124" s="455"/>
      <c r="M124" s="216"/>
    </row>
    <row r="125" spans="1:13" ht="12.75">
      <c r="A125" s="451" t="s">
        <v>192</v>
      </c>
      <c r="B125" s="434"/>
      <c r="C125" s="452" t="s">
        <v>195</v>
      </c>
      <c r="D125" s="452"/>
      <c r="E125" s="452" t="s">
        <v>434</v>
      </c>
      <c r="F125" s="451"/>
      <c r="G125" s="451" t="s">
        <v>432</v>
      </c>
      <c r="H125" s="238"/>
      <c r="I125" s="1192" t="s">
        <v>433</v>
      </c>
      <c r="J125" s="1193"/>
      <c r="K125" s="1193"/>
      <c r="L125" s="1193"/>
      <c r="M125" s="1194"/>
    </row>
    <row r="126" spans="1:13" ht="15">
      <c r="A126" s="454"/>
      <c r="B126" s="451" t="s">
        <v>196</v>
      </c>
      <c r="C126" s="452">
        <v>0.8</v>
      </c>
      <c r="D126" s="452" t="s">
        <v>29</v>
      </c>
      <c r="E126" s="452">
        <f>SUM(B76:B97)</f>
        <v>86.24999999999999</v>
      </c>
      <c r="F126" s="601" t="s">
        <v>30</v>
      </c>
      <c r="G126" s="601">
        <f>ROUND((C126*E126),2)</f>
        <v>69</v>
      </c>
      <c r="H126" s="456"/>
      <c r="I126" s="1195"/>
      <c r="J126" s="1196"/>
      <c r="K126" s="1196"/>
      <c r="L126" s="1196"/>
      <c r="M126" s="1197"/>
    </row>
    <row r="127" spans="1:13" ht="15">
      <c r="A127" s="454"/>
      <c r="B127" s="457"/>
      <c r="C127" s="455"/>
      <c r="D127" s="455"/>
      <c r="E127" s="455"/>
      <c r="F127" s="455"/>
      <c r="G127" s="455"/>
      <c r="H127" s="455"/>
      <c r="I127" s="455"/>
      <c r="J127" s="455"/>
      <c r="K127" s="455"/>
      <c r="L127" s="455"/>
      <c r="M127" s="216"/>
    </row>
    <row r="128" spans="1:13" ht="15">
      <c r="A128" s="454"/>
      <c r="B128" s="458" t="s">
        <v>196</v>
      </c>
      <c r="C128" s="459">
        <f>I108+I110+I112+I117+I120+I123+G126</f>
        <v>111.06</v>
      </c>
      <c r="D128" s="460"/>
      <c r="E128" s="461" t="s">
        <v>3</v>
      </c>
      <c r="F128" s="455"/>
      <c r="G128" s="455"/>
      <c r="H128" s="455"/>
      <c r="I128" s="455"/>
      <c r="J128" s="455"/>
      <c r="K128" s="455"/>
      <c r="L128" s="455"/>
      <c r="M128" s="216"/>
    </row>
    <row r="129" ht="12.75" customHeight="1"/>
    <row r="130" spans="1:14" ht="15" customHeight="1">
      <c r="A130" s="201" t="str">
        <f>'ORÇAMENTO NÃO DESONERADO'!A79</f>
        <v>5.2.3</v>
      </c>
      <c r="B130" s="1143" t="str">
        <f>'ORÇAMENTO NÃO DESONERADO'!C79</f>
        <v xml:space="preserve">EXECUÇÃO DE ESTRUTURA DE CONCRETO ARMADO, FCK = 20 MPA, AMAÇÃO: 5,0MM,6,3MM,10,0MM,12,5MM E 8,0MM/ AÇO CA-50 E CA-60.
</v>
      </c>
      <c r="C130" s="1143"/>
      <c r="D130" s="1143"/>
      <c r="E130" s="1143"/>
      <c r="F130" s="1143"/>
      <c r="G130" s="1143"/>
      <c r="H130" s="1143"/>
      <c r="I130" s="1143"/>
      <c r="J130" s="1143"/>
      <c r="K130" s="1143"/>
      <c r="L130" s="1143"/>
      <c r="M130" s="1143"/>
      <c r="N130" s="1143"/>
    </row>
    <row r="131" spans="1:14" ht="15" customHeight="1">
      <c r="A131" s="201"/>
      <c r="B131" s="1143"/>
      <c r="C131" s="1143"/>
      <c r="D131" s="1143"/>
      <c r="E131" s="1143"/>
      <c r="F131" s="1143"/>
      <c r="G131" s="1143"/>
      <c r="H131" s="1143"/>
      <c r="I131" s="1143"/>
      <c r="J131" s="1143"/>
      <c r="K131" s="1143"/>
      <c r="L131" s="1143"/>
      <c r="M131" s="1143"/>
      <c r="N131" s="1143"/>
    </row>
    <row r="132" spans="1:14" ht="15" customHeight="1">
      <c r="A132" s="201"/>
      <c r="B132" s="1143"/>
      <c r="C132" s="1143"/>
      <c r="D132" s="1143"/>
      <c r="E132" s="1143"/>
      <c r="F132" s="1143"/>
      <c r="G132" s="1143"/>
      <c r="H132" s="1143"/>
      <c r="I132" s="1143"/>
      <c r="J132" s="1143"/>
      <c r="K132" s="1143"/>
      <c r="L132" s="1143"/>
      <c r="M132" s="1143"/>
      <c r="N132" s="1143"/>
    </row>
    <row r="133" spans="1:13" ht="12.75">
      <c r="A133" s="451" t="s">
        <v>193</v>
      </c>
      <c r="B133" s="434"/>
      <c r="C133" s="452" t="s">
        <v>32</v>
      </c>
      <c r="D133" s="451"/>
      <c r="E133" s="693" t="s">
        <v>402</v>
      </c>
      <c r="G133" s="452" t="s">
        <v>33</v>
      </c>
      <c r="H133" s="434"/>
      <c r="I133" s="238" t="s">
        <v>191</v>
      </c>
      <c r="J133" s="451"/>
      <c r="K133" s="451" t="s">
        <v>408</v>
      </c>
      <c r="L133" s="453"/>
      <c r="M133" s="434"/>
    </row>
    <row r="134" spans="1:13" ht="20.25" customHeight="1">
      <c r="A134" s="454"/>
      <c r="B134" s="451" t="s">
        <v>196</v>
      </c>
      <c r="C134" s="452">
        <v>1</v>
      </c>
      <c r="D134" s="452" t="s">
        <v>29</v>
      </c>
      <c r="E134" s="693">
        <v>1</v>
      </c>
      <c r="F134" s="452" t="s">
        <v>29</v>
      </c>
      <c r="G134" s="452">
        <v>0.5</v>
      </c>
      <c r="H134" s="451" t="s">
        <v>29</v>
      </c>
      <c r="I134" s="238">
        <v>8</v>
      </c>
      <c r="J134" s="601" t="s">
        <v>30</v>
      </c>
      <c r="K134" s="601">
        <f>ROUND((C134*E134*G134*I134),2)</f>
        <v>4</v>
      </c>
      <c r="L134" s="601"/>
      <c r="M134" s="601"/>
    </row>
    <row r="135" spans="1:13" ht="16.5" customHeight="1">
      <c r="A135" s="454"/>
      <c r="B135" s="451"/>
      <c r="C135" s="452"/>
      <c r="D135" s="452"/>
      <c r="E135" s="693" t="s">
        <v>402</v>
      </c>
      <c r="G135" s="452"/>
      <c r="H135" s="451"/>
      <c r="I135" s="238"/>
      <c r="J135" s="455"/>
      <c r="K135" s="452"/>
      <c r="L135" s="601"/>
      <c r="M135" s="601"/>
    </row>
    <row r="136" spans="1:13" ht="19.5" customHeight="1">
      <c r="A136" s="454"/>
      <c r="B136" s="451" t="s">
        <v>196</v>
      </c>
      <c r="C136" s="452">
        <v>0.7</v>
      </c>
      <c r="D136" s="452" t="s">
        <v>29</v>
      </c>
      <c r="E136" s="693">
        <v>0.8</v>
      </c>
      <c r="F136" s="452" t="s">
        <v>29</v>
      </c>
      <c r="G136" s="452">
        <v>0.5</v>
      </c>
      <c r="H136" s="451" t="s">
        <v>29</v>
      </c>
      <c r="I136" s="238">
        <v>5</v>
      </c>
      <c r="J136" s="601" t="s">
        <v>30</v>
      </c>
      <c r="K136" s="601">
        <f>ROUND((C136*E136*G136*I136),2)</f>
        <v>1.4</v>
      </c>
      <c r="L136" s="601"/>
      <c r="M136" s="601"/>
    </row>
    <row r="137" spans="1:13" ht="20.25" customHeight="1">
      <c r="A137" s="454"/>
      <c r="B137" s="451"/>
      <c r="C137" s="452"/>
      <c r="D137" s="452"/>
      <c r="E137" s="693" t="s">
        <v>402</v>
      </c>
      <c r="G137" s="452"/>
      <c r="H137" s="451"/>
      <c r="I137" s="238"/>
      <c r="J137" s="455"/>
      <c r="K137" s="452"/>
      <c r="L137" s="601"/>
      <c r="M137" s="601"/>
    </row>
    <row r="138" spans="1:13" ht="17.25" customHeight="1">
      <c r="A138" s="454"/>
      <c r="B138" s="451" t="s">
        <v>196</v>
      </c>
      <c r="C138" s="452">
        <v>0.7</v>
      </c>
      <c r="D138" s="452" t="s">
        <v>29</v>
      </c>
      <c r="E138" s="693">
        <v>0.85</v>
      </c>
      <c r="F138" s="452" t="s">
        <v>29</v>
      </c>
      <c r="G138" s="452">
        <v>0.5</v>
      </c>
      <c r="H138" s="451" t="s">
        <v>29</v>
      </c>
      <c r="I138" s="238">
        <v>2</v>
      </c>
      <c r="J138" s="601" t="s">
        <v>30</v>
      </c>
      <c r="K138" s="601">
        <f>ROUND((C138*E138*G138*I138),2)</f>
        <v>0.6</v>
      </c>
      <c r="L138" s="601"/>
      <c r="M138" s="601"/>
    </row>
    <row r="139" spans="1:13" ht="20.25" customHeight="1">
      <c r="A139" s="454"/>
      <c r="B139" s="451"/>
      <c r="C139" s="452"/>
      <c r="D139" s="452"/>
      <c r="G139" s="452"/>
      <c r="H139" s="451"/>
      <c r="I139" s="238"/>
      <c r="J139" s="455"/>
      <c r="K139" s="452"/>
      <c r="L139" s="601"/>
      <c r="M139" s="601"/>
    </row>
    <row r="140" spans="1:13" ht="16.5" customHeight="1">
      <c r="A140" s="451" t="s">
        <v>197</v>
      </c>
      <c r="B140" s="434"/>
      <c r="C140" s="452" t="s">
        <v>32</v>
      </c>
      <c r="D140" s="451"/>
      <c r="E140" s="693" t="s">
        <v>402</v>
      </c>
      <c r="G140" s="452" t="s">
        <v>33</v>
      </c>
      <c r="H140" s="434"/>
      <c r="I140" s="238" t="s">
        <v>261</v>
      </c>
      <c r="J140" s="451"/>
      <c r="K140" s="451" t="s">
        <v>408</v>
      </c>
      <c r="L140" s="453"/>
      <c r="M140" s="434"/>
    </row>
    <row r="141" spans="1:13" ht="18.75" customHeight="1">
      <c r="A141" s="454"/>
      <c r="B141" s="451" t="s">
        <v>196</v>
      </c>
      <c r="C141" s="452">
        <v>0.3</v>
      </c>
      <c r="D141" s="452" t="s">
        <v>29</v>
      </c>
      <c r="E141" s="597">
        <v>0.2</v>
      </c>
      <c r="G141" s="452">
        <v>1.1</v>
      </c>
      <c r="H141" s="451" t="s">
        <v>29</v>
      </c>
      <c r="I141" s="238">
        <f>I134</f>
        <v>8</v>
      </c>
      <c r="J141" s="601" t="s">
        <v>30</v>
      </c>
      <c r="K141" s="601">
        <f>ROUND((C141*E141*G141*I141),2)</f>
        <v>0.53</v>
      </c>
      <c r="L141" s="601"/>
      <c r="M141" s="601"/>
    </row>
    <row r="142" spans="1:13" ht="21" customHeight="1">
      <c r="A142" s="454"/>
      <c r="B142" s="451"/>
      <c r="C142" s="452"/>
      <c r="D142" s="452"/>
      <c r="E142" s="602"/>
      <c r="G142" s="452"/>
      <c r="H142" s="451"/>
      <c r="I142" s="238"/>
      <c r="J142" s="455"/>
      <c r="K142" s="452"/>
      <c r="L142" s="601"/>
      <c r="M142" s="601"/>
    </row>
    <row r="143" spans="1:13" ht="18" customHeight="1">
      <c r="A143" s="454"/>
      <c r="B143" s="434"/>
      <c r="C143" s="452" t="s">
        <v>32</v>
      </c>
      <c r="D143" s="451"/>
      <c r="E143" s="693" t="s">
        <v>402</v>
      </c>
      <c r="G143" s="452" t="s">
        <v>33</v>
      </c>
      <c r="H143" s="434"/>
      <c r="I143" s="238" t="s">
        <v>261</v>
      </c>
      <c r="J143" s="451"/>
      <c r="K143" s="451" t="s">
        <v>408</v>
      </c>
      <c r="L143" s="453"/>
      <c r="M143" s="601"/>
    </row>
    <row r="144" spans="1:13" ht="18" customHeight="1">
      <c r="A144" s="454"/>
      <c r="B144" s="451" t="s">
        <v>196</v>
      </c>
      <c r="C144" s="452">
        <v>0.3</v>
      </c>
      <c r="D144" s="452" t="s">
        <v>29</v>
      </c>
      <c r="E144" s="597">
        <v>0.15</v>
      </c>
      <c r="G144" s="452">
        <v>1.1</v>
      </c>
      <c r="H144" s="451" t="s">
        <v>29</v>
      </c>
      <c r="I144" s="238">
        <v>5</v>
      </c>
      <c r="J144" s="601" t="s">
        <v>30</v>
      </c>
      <c r="K144" s="601">
        <f>ROUND((C144*E144*G144*I144),2)</f>
        <v>0.25</v>
      </c>
      <c r="L144" s="601"/>
      <c r="M144" s="601"/>
    </row>
    <row r="145" spans="1:13" ht="17.25" customHeight="1">
      <c r="A145" s="454"/>
      <c r="B145" s="451"/>
      <c r="C145" s="452"/>
      <c r="D145" s="452"/>
      <c r="E145" s="602"/>
      <c r="G145" s="452"/>
      <c r="H145" s="451"/>
      <c r="I145" s="238"/>
      <c r="J145" s="455"/>
      <c r="K145" s="452"/>
      <c r="L145" s="601"/>
      <c r="M145" s="601"/>
    </row>
    <row r="146" spans="1:13" ht="17.25" customHeight="1">
      <c r="A146" s="454"/>
      <c r="B146" s="434"/>
      <c r="C146" s="452" t="s">
        <v>32</v>
      </c>
      <c r="D146" s="451"/>
      <c r="E146" s="693" t="s">
        <v>402</v>
      </c>
      <c r="G146" s="452" t="s">
        <v>33</v>
      </c>
      <c r="H146" s="434"/>
      <c r="I146" s="238" t="s">
        <v>261</v>
      </c>
      <c r="J146" s="451"/>
      <c r="K146" s="451" t="s">
        <v>408</v>
      </c>
      <c r="L146" s="453"/>
      <c r="M146" s="601"/>
    </row>
    <row r="147" spans="1:13" ht="23.25" customHeight="1">
      <c r="A147" s="454"/>
      <c r="B147" s="451" t="s">
        <v>196</v>
      </c>
      <c r="C147" s="452">
        <v>0.2</v>
      </c>
      <c r="D147" s="452" t="s">
        <v>29</v>
      </c>
      <c r="E147" s="597">
        <v>0.15</v>
      </c>
      <c r="G147" s="452">
        <v>1.1</v>
      </c>
      <c r="H147" s="451" t="s">
        <v>29</v>
      </c>
      <c r="I147" s="238">
        <v>2</v>
      </c>
      <c r="J147" s="601" t="s">
        <v>30</v>
      </c>
      <c r="K147" s="601">
        <f>ROUND((C147*E147*G147*I147),2)</f>
        <v>0.07</v>
      </c>
      <c r="L147" s="601"/>
      <c r="M147" s="455"/>
    </row>
    <row r="148" spans="1:13" ht="21.75" customHeight="1">
      <c r="A148" s="454"/>
      <c r="B148" s="451"/>
      <c r="C148" s="452"/>
      <c r="D148" s="452"/>
      <c r="E148" s="452"/>
      <c r="F148" s="451"/>
      <c r="G148" s="238"/>
      <c r="H148" s="601"/>
      <c r="I148" s="601"/>
      <c r="J148" s="601"/>
      <c r="K148" s="455"/>
      <c r="L148" s="455"/>
      <c r="M148" s="216"/>
    </row>
    <row r="149" spans="1:13" ht="21" customHeight="1">
      <c r="A149" s="451" t="s">
        <v>192</v>
      </c>
      <c r="B149" s="434"/>
      <c r="C149" s="452" t="s">
        <v>32</v>
      </c>
      <c r="D149" s="452"/>
      <c r="E149" s="693" t="s">
        <v>402</v>
      </c>
      <c r="G149" s="452" t="s">
        <v>33</v>
      </c>
      <c r="H149" s="451"/>
      <c r="I149" s="451" t="s">
        <v>432</v>
      </c>
      <c r="J149" s="238"/>
      <c r="K149" s="1183" t="s">
        <v>433</v>
      </c>
      <c r="L149" s="1184"/>
      <c r="M149" s="1185"/>
    </row>
    <row r="150" spans="1:13" ht="16.5" customHeight="1">
      <c r="A150" s="454"/>
      <c r="B150" s="451" t="s">
        <v>196</v>
      </c>
      <c r="C150" s="452">
        <f>SUM(B76:B97)</f>
        <v>86.24999999999999</v>
      </c>
      <c r="D150" s="452" t="s">
        <v>29</v>
      </c>
      <c r="E150" s="597">
        <v>0.15</v>
      </c>
      <c r="F150" s="41" t="s">
        <v>29</v>
      </c>
      <c r="G150" s="602">
        <v>0.4</v>
      </c>
      <c r="H150" s="601" t="s">
        <v>30</v>
      </c>
      <c r="I150" s="601">
        <f>ROUND((C150*E150*G150),2)</f>
        <v>5.18</v>
      </c>
      <c r="J150" s="601"/>
      <c r="K150" s="1186"/>
      <c r="L150" s="1187"/>
      <c r="M150" s="1188"/>
    </row>
    <row r="151" spans="1:13" ht="15">
      <c r="A151" s="454"/>
      <c r="B151" s="457"/>
      <c r="C151" s="455"/>
      <c r="D151" s="455"/>
      <c r="E151" s="455"/>
      <c r="F151" s="455"/>
      <c r="G151" s="455"/>
      <c r="H151" s="455"/>
      <c r="I151" s="711"/>
      <c r="J151" s="711"/>
      <c r="K151" s="1189"/>
      <c r="L151" s="1190"/>
      <c r="M151" s="1191"/>
    </row>
    <row r="152" spans="1:13" ht="12.75" customHeight="1">
      <c r="A152" s="454"/>
      <c r="B152" s="458" t="s">
        <v>196</v>
      </c>
      <c r="C152" s="459">
        <f>K134+K136+K138+K141+K144+K147+I150</f>
        <v>12.030000000000001</v>
      </c>
      <c r="D152" s="460"/>
      <c r="E152" s="461" t="s">
        <v>2</v>
      </c>
      <c r="F152" s="455"/>
      <c r="G152" s="455"/>
      <c r="H152" s="455"/>
      <c r="I152" s="711"/>
      <c r="J152" s="711"/>
      <c r="K152" s="711"/>
      <c r="L152" s="711"/>
      <c r="M152" s="711"/>
    </row>
    <row r="153" spans="1:13" ht="15" customHeight="1">
      <c r="A153" s="452"/>
      <c r="B153" s="462"/>
      <c r="C153" s="456"/>
      <c r="D153" s="456"/>
      <c r="E153" s="456"/>
      <c r="F153" s="456"/>
      <c r="G153" s="456"/>
      <c r="H153" s="456"/>
      <c r="I153" s="711"/>
      <c r="J153" s="711"/>
      <c r="K153" s="711"/>
      <c r="L153" s="711"/>
      <c r="M153" s="711"/>
    </row>
    <row r="154" spans="14:16" ht="12.75">
      <c r="N154" s="411"/>
      <c r="O154" s="403"/>
      <c r="P154" s="403"/>
    </row>
    <row r="155" spans="1:16" ht="15">
      <c r="A155" s="399" t="str">
        <f>'ORÇAMENTO NÃO DESONERADO'!A80</f>
        <v>5.2.4</v>
      </c>
      <c r="B155" s="420" t="str">
        <f>'ORÇAMENTO NÃO DESONERADO'!C80</f>
        <v>IMPERMEABILIZACAO DE ESTRUTURAS ENTERRADAS, COM TINTA ASFALTICA, DUAS DEMAOS.</v>
      </c>
      <c r="C155" s="420"/>
      <c r="D155" s="420"/>
      <c r="E155" s="420"/>
      <c r="F155" s="420"/>
      <c r="G155" s="420"/>
      <c r="H155" s="420"/>
      <c r="I155" s="420"/>
      <c r="J155" s="420"/>
      <c r="K155" s="416"/>
      <c r="L155" s="416"/>
      <c r="M155" s="414"/>
      <c r="N155" s="412"/>
      <c r="O155" s="412"/>
      <c r="P155" s="412"/>
    </row>
    <row r="156" spans="1:16" ht="15">
      <c r="A156" s="417"/>
      <c r="B156" s="417"/>
      <c r="C156" s="421"/>
      <c r="D156" s="421"/>
      <c r="E156" s="421"/>
      <c r="F156" s="416"/>
      <c r="G156" s="416"/>
      <c r="H156" s="416"/>
      <c r="I156" s="416"/>
      <c r="J156" s="416"/>
      <c r="K156" s="416"/>
      <c r="L156" s="416"/>
      <c r="M156" s="414"/>
      <c r="N156" s="412"/>
      <c r="O156" s="412"/>
      <c r="P156" s="412"/>
    </row>
    <row r="157" spans="1:16" ht="12.75">
      <c r="A157" s="451" t="s">
        <v>193</v>
      </c>
      <c r="B157" s="434"/>
      <c r="C157" s="452" t="s">
        <v>195</v>
      </c>
      <c r="D157" s="451"/>
      <c r="E157" s="452" t="s">
        <v>33</v>
      </c>
      <c r="F157" s="434"/>
      <c r="G157" s="238" t="s">
        <v>191</v>
      </c>
      <c r="H157" s="451"/>
      <c r="I157" s="451" t="s">
        <v>432</v>
      </c>
      <c r="J157" s="453"/>
      <c r="K157" s="434"/>
      <c r="L157" s="453"/>
      <c r="M157" s="216"/>
      <c r="N157" s="412"/>
      <c r="O157" s="412"/>
      <c r="P157" s="412"/>
    </row>
    <row r="158" spans="1:16" ht="15">
      <c r="A158" s="454"/>
      <c r="B158" s="451" t="s">
        <v>196</v>
      </c>
      <c r="C158" s="452">
        <v>4</v>
      </c>
      <c r="D158" s="452" t="s">
        <v>29</v>
      </c>
      <c r="E158" s="452">
        <v>0.5</v>
      </c>
      <c r="F158" s="451" t="s">
        <v>29</v>
      </c>
      <c r="G158" s="238">
        <v>8</v>
      </c>
      <c r="H158" s="601" t="s">
        <v>30</v>
      </c>
      <c r="I158" s="601">
        <f>ROUND((C158*E158*G158),2)</f>
        <v>16</v>
      </c>
      <c r="J158" s="1182"/>
      <c r="K158" s="1182"/>
      <c r="M158" s="216"/>
      <c r="N158" s="412"/>
      <c r="O158" s="412"/>
      <c r="P158" s="412"/>
    </row>
    <row r="159" spans="1:16" ht="15">
      <c r="A159" s="454"/>
      <c r="B159" s="451"/>
      <c r="C159" s="452"/>
      <c r="D159" s="452"/>
      <c r="E159" s="452"/>
      <c r="F159" s="451"/>
      <c r="G159" s="238"/>
      <c r="H159" s="455"/>
      <c r="I159" s="452"/>
      <c r="J159" s="601"/>
      <c r="K159" s="601"/>
      <c r="L159" s="601"/>
      <c r="M159" s="216"/>
      <c r="N159" s="412"/>
      <c r="O159" s="412"/>
      <c r="P159" s="412"/>
    </row>
    <row r="160" spans="1:16" ht="15">
      <c r="A160" s="454"/>
      <c r="B160" s="451" t="s">
        <v>196</v>
      </c>
      <c r="C160" s="452">
        <v>3</v>
      </c>
      <c r="D160" s="452" t="s">
        <v>29</v>
      </c>
      <c r="E160" s="452">
        <v>0.5</v>
      </c>
      <c r="F160" s="451" t="s">
        <v>29</v>
      </c>
      <c r="G160" s="238">
        <v>5</v>
      </c>
      <c r="H160" s="601" t="s">
        <v>30</v>
      </c>
      <c r="I160" s="601">
        <f>ROUND((C160*E160*G160),2)</f>
        <v>7.5</v>
      </c>
      <c r="J160" s="601"/>
      <c r="K160" s="601"/>
      <c r="L160" s="601"/>
      <c r="M160" s="216"/>
      <c r="N160" s="412"/>
      <c r="O160" s="412"/>
      <c r="P160" s="412"/>
    </row>
    <row r="161" spans="1:16" ht="15">
      <c r="A161" s="454"/>
      <c r="B161" s="451"/>
      <c r="C161" s="452"/>
      <c r="D161" s="452"/>
      <c r="E161" s="452"/>
      <c r="F161" s="451"/>
      <c r="G161" s="238"/>
      <c r="H161" s="455"/>
      <c r="I161" s="452"/>
      <c r="J161" s="601"/>
      <c r="K161" s="601"/>
      <c r="L161" s="601"/>
      <c r="M161" s="216"/>
      <c r="N161" s="412"/>
      <c r="O161" s="412"/>
      <c r="P161" s="412"/>
    </row>
    <row r="162" spans="1:16" ht="15">
      <c r="A162" s="454"/>
      <c r="B162" s="451" t="s">
        <v>196</v>
      </c>
      <c r="C162" s="452">
        <v>3.05</v>
      </c>
      <c r="D162" s="452" t="s">
        <v>29</v>
      </c>
      <c r="E162" s="452">
        <v>0.5</v>
      </c>
      <c r="F162" s="451" t="s">
        <v>29</v>
      </c>
      <c r="G162" s="238">
        <v>2</v>
      </c>
      <c r="H162" s="601" t="s">
        <v>30</v>
      </c>
      <c r="I162" s="601">
        <f>ROUND((C162*E162*G162),2)</f>
        <v>3.05</v>
      </c>
      <c r="J162" s="601"/>
      <c r="K162" s="601"/>
      <c r="L162" s="601"/>
      <c r="M162" s="216"/>
      <c r="N162" s="412"/>
      <c r="O162" s="412"/>
      <c r="P162" s="412"/>
    </row>
    <row r="163" spans="1:16" ht="15">
      <c r="A163" s="454"/>
      <c r="B163" s="451"/>
      <c r="C163" s="452"/>
      <c r="D163" s="452"/>
      <c r="E163" s="452"/>
      <c r="F163" s="451"/>
      <c r="G163" s="238"/>
      <c r="H163" s="455"/>
      <c r="I163" s="452"/>
      <c r="J163" s="601"/>
      <c r="K163" s="601"/>
      <c r="L163" s="601"/>
      <c r="M163" s="216"/>
      <c r="N163" s="412"/>
      <c r="O163" s="412"/>
      <c r="P163" s="412"/>
    </row>
    <row r="164" spans="1:16" ht="12.75">
      <c r="A164" s="451" t="s">
        <v>197</v>
      </c>
      <c r="B164" s="434"/>
      <c r="C164" s="452" t="s">
        <v>195</v>
      </c>
      <c r="D164" s="451"/>
      <c r="E164" s="452" t="s">
        <v>33</v>
      </c>
      <c r="F164" s="434"/>
      <c r="G164" s="238" t="s">
        <v>261</v>
      </c>
      <c r="H164" s="451"/>
      <c r="I164" s="451" t="s">
        <v>432</v>
      </c>
      <c r="J164" s="453"/>
      <c r="K164" s="434"/>
      <c r="L164" s="453"/>
      <c r="M164" s="216"/>
      <c r="N164" s="412"/>
      <c r="O164" s="412"/>
      <c r="P164" s="412"/>
    </row>
    <row r="165" spans="1:16" ht="15">
      <c r="A165" s="454"/>
      <c r="B165" s="451" t="s">
        <v>196</v>
      </c>
      <c r="C165" s="452">
        <v>1</v>
      </c>
      <c r="D165" s="452" t="s">
        <v>29</v>
      </c>
      <c r="E165" s="452">
        <v>1.1</v>
      </c>
      <c r="F165" s="451" t="s">
        <v>29</v>
      </c>
      <c r="G165" s="238">
        <f>G158</f>
        <v>8</v>
      </c>
      <c r="H165" s="601" t="s">
        <v>30</v>
      </c>
      <c r="I165" s="601">
        <f>ROUND((C165*E165*G165),2)</f>
        <v>8.8</v>
      </c>
      <c r="J165" s="601"/>
      <c r="K165" s="601"/>
      <c r="L165" s="601"/>
      <c r="M165" s="216"/>
      <c r="N165" s="412"/>
      <c r="O165" s="412"/>
      <c r="P165" s="412"/>
    </row>
    <row r="166" spans="1:16" ht="15">
      <c r="A166" s="454"/>
      <c r="B166" s="451"/>
      <c r="C166" s="452"/>
      <c r="D166" s="452"/>
      <c r="E166" s="452"/>
      <c r="F166" s="451"/>
      <c r="G166" s="238"/>
      <c r="H166" s="455"/>
      <c r="I166" s="452"/>
      <c r="J166" s="601"/>
      <c r="K166" s="601"/>
      <c r="L166" s="601"/>
      <c r="M166" s="216"/>
      <c r="N166" s="412"/>
      <c r="O166" s="412"/>
      <c r="P166" s="412"/>
    </row>
    <row r="167" spans="1:16" ht="15">
      <c r="A167" s="454"/>
      <c r="B167" s="434"/>
      <c r="C167" s="452" t="s">
        <v>195</v>
      </c>
      <c r="D167" s="451"/>
      <c r="E167" s="452" t="s">
        <v>33</v>
      </c>
      <c r="F167" s="434"/>
      <c r="G167" s="238" t="s">
        <v>261</v>
      </c>
      <c r="H167" s="451"/>
      <c r="I167" s="451" t="s">
        <v>432</v>
      </c>
      <c r="J167" s="453"/>
      <c r="K167" s="601"/>
      <c r="L167" s="601"/>
      <c r="M167" s="216"/>
      <c r="N167" s="412"/>
      <c r="O167" s="412"/>
      <c r="P167" s="412"/>
    </row>
    <row r="168" spans="1:16" ht="15">
      <c r="A168" s="454"/>
      <c r="B168" s="451" t="s">
        <v>196</v>
      </c>
      <c r="C168" s="452">
        <v>0.9</v>
      </c>
      <c r="D168" s="452" t="s">
        <v>29</v>
      </c>
      <c r="E168" s="452">
        <v>1.1</v>
      </c>
      <c r="F168" s="451" t="s">
        <v>29</v>
      </c>
      <c r="G168" s="238">
        <v>5</v>
      </c>
      <c r="H168" s="601" t="s">
        <v>30</v>
      </c>
      <c r="I168" s="601">
        <f>ROUND((C168*E168*G168),2)</f>
        <v>4.95</v>
      </c>
      <c r="J168" s="601"/>
      <c r="K168" s="601"/>
      <c r="L168" s="601"/>
      <c r="M168" s="216"/>
      <c r="N168" s="412"/>
      <c r="O168" s="412"/>
      <c r="P168" s="412"/>
    </row>
    <row r="169" spans="1:16" ht="15">
      <c r="A169" s="454"/>
      <c r="B169" s="451"/>
      <c r="C169" s="452"/>
      <c r="D169" s="452"/>
      <c r="E169" s="452"/>
      <c r="F169" s="451"/>
      <c r="G169" s="238"/>
      <c r="H169" s="455"/>
      <c r="I169" s="452"/>
      <c r="J169" s="601"/>
      <c r="K169" s="601"/>
      <c r="L169" s="601"/>
      <c r="M169" s="216"/>
      <c r="N169" s="412"/>
      <c r="O169" s="412"/>
      <c r="P169" s="412"/>
    </row>
    <row r="170" spans="1:16" s="592" customFormat="1" ht="15">
      <c r="A170" s="454"/>
      <c r="B170" s="434"/>
      <c r="C170" s="452" t="s">
        <v>195</v>
      </c>
      <c r="D170" s="451"/>
      <c r="E170" s="452" t="s">
        <v>33</v>
      </c>
      <c r="F170" s="434"/>
      <c r="G170" s="238" t="s">
        <v>261</v>
      </c>
      <c r="H170" s="451"/>
      <c r="I170" s="451" t="s">
        <v>432</v>
      </c>
      <c r="J170" s="453"/>
      <c r="K170" s="601"/>
      <c r="L170" s="601"/>
      <c r="M170" s="216"/>
      <c r="N170" s="412"/>
      <c r="O170" s="412"/>
      <c r="P170" s="412"/>
    </row>
    <row r="171" spans="1:16" s="592" customFormat="1" ht="15">
      <c r="A171" s="454"/>
      <c r="B171" s="451" t="s">
        <v>196</v>
      </c>
      <c r="C171" s="452">
        <v>0.8</v>
      </c>
      <c r="D171" s="452" t="s">
        <v>29</v>
      </c>
      <c r="E171" s="452">
        <v>1.1</v>
      </c>
      <c r="F171" s="451" t="s">
        <v>29</v>
      </c>
      <c r="G171" s="238">
        <v>2</v>
      </c>
      <c r="H171" s="601" t="s">
        <v>30</v>
      </c>
      <c r="I171" s="601">
        <f>ROUND((C171*E171*G171),2)</f>
        <v>1.76</v>
      </c>
      <c r="J171" s="601"/>
      <c r="K171" s="455"/>
      <c r="L171" s="455"/>
      <c r="M171" s="216"/>
      <c r="N171" s="412"/>
      <c r="O171" s="412"/>
      <c r="P171" s="412"/>
    </row>
    <row r="172" spans="1:16" s="592" customFormat="1" ht="15">
      <c r="A172" s="454"/>
      <c r="B172" s="451"/>
      <c r="C172" s="452"/>
      <c r="D172" s="452"/>
      <c r="E172" s="452"/>
      <c r="F172" s="451"/>
      <c r="G172" s="238"/>
      <c r="H172" s="601"/>
      <c r="I172" s="601"/>
      <c r="J172" s="601"/>
      <c r="K172" s="455"/>
      <c r="L172" s="455"/>
      <c r="M172" s="216"/>
      <c r="N172" s="412"/>
      <c r="O172" s="412"/>
      <c r="P172" s="412"/>
    </row>
    <row r="173" spans="1:16" s="592" customFormat="1" ht="12.75">
      <c r="A173" s="451" t="s">
        <v>192</v>
      </c>
      <c r="B173" s="434"/>
      <c r="C173" s="452" t="s">
        <v>195</v>
      </c>
      <c r="D173" s="452"/>
      <c r="E173" s="452" t="s">
        <v>434</v>
      </c>
      <c r="F173" s="451"/>
      <c r="G173" s="451" t="s">
        <v>432</v>
      </c>
      <c r="H173" s="238"/>
      <c r="I173" s="1192" t="s">
        <v>433</v>
      </c>
      <c r="J173" s="1193"/>
      <c r="K173" s="1193"/>
      <c r="L173" s="1193"/>
      <c r="M173" s="1194"/>
      <c r="N173" s="412"/>
      <c r="O173" s="412"/>
      <c r="P173" s="412"/>
    </row>
    <row r="174" spans="1:16" s="592" customFormat="1" ht="15">
      <c r="A174" s="454"/>
      <c r="B174" s="451" t="s">
        <v>196</v>
      </c>
      <c r="C174" s="452">
        <v>0.95</v>
      </c>
      <c r="D174" s="452" t="s">
        <v>29</v>
      </c>
      <c r="E174" s="452">
        <f>SUM(B76:B97)</f>
        <v>86.24999999999999</v>
      </c>
      <c r="F174" s="601" t="s">
        <v>30</v>
      </c>
      <c r="G174" s="601">
        <f>ROUND((C174*E174),2)</f>
        <v>81.94</v>
      </c>
      <c r="H174" s="601"/>
      <c r="I174" s="1195"/>
      <c r="J174" s="1196"/>
      <c r="K174" s="1196"/>
      <c r="L174" s="1196"/>
      <c r="M174" s="1197"/>
      <c r="N174" s="412"/>
      <c r="O174" s="412"/>
      <c r="P174" s="412"/>
    </row>
    <row r="175" spans="1:16" s="592" customFormat="1" ht="15">
      <c r="A175" s="454"/>
      <c r="B175" s="457"/>
      <c r="C175" s="455"/>
      <c r="D175" s="455"/>
      <c r="E175" s="455"/>
      <c r="F175" s="455"/>
      <c r="G175" s="455"/>
      <c r="H175" s="455"/>
      <c r="I175" s="455"/>
      <c r="J175" s="455"/>
      <c r="K175" s="455"/>
      <c r="L175" s="455"/>
      <c r="M175" s="216"/>
      <c r="N175" s="412"/>
      <c r="O175" s="412"/>
      <c r="P175" s="412"/>
    </row>
    <row r="176" spans="1:16" s="592" customFormat="1" ht="15">
      <c r="A176" s="454"/>
      <c r="B176" s="458" t="s">
        <v>196</v>
      </c>
      <c r="C176" s="459">
        <f>I158+I160+I162+I165+I168+I171+G174</f>
        <v>124</v>
      </c>
      <c r="D176" s="460"/>
      <c r="E176" s="461" t="s">
        <v>3</v>
      </c>
      <c r="F176" s="455"/>
      <c r="G176" s="455"/>
      <c r="H176" s="455"/>
      <c r="I176" s="455"/>
      <c r="J176" s="455"/>
      <c r="K176" s="455"/>
      <c r="L176" s="455"/>
      <c r="M176" s="216"/>
      <c r="N176" s="412"/>
      <c r="O176" s="412"/>
      <c r="P176" s="412"/>
    </row>
    <row r="177" spans="1:16" s="592" customFormat="1" ht="15">
      <c r="A177" s="454"/>
      <c r="B177" s="451"/>
      <c r="C177" s="452"/>
      <c r="D177" s="452"/>
      <c r="E177" s="452"/>
      <c r="F177" s="452"/>
      <c r="G177" s="601"/>
      <c r="H177" s="601"/>
      <c r="I177" s="601"/>
      <c r="J177" s="418"/>
      <c r="K177" s="418"/>
      <c r="L177" s="418"/>
      <c r="M177" s="413"/>
      <c r="N177" s="403"/>
      <c r="O177" s="403"/>
      <c r="P177" s="403"/>
    </row>
    <row r="178" spans="1:16" s="592" customFormat="1" ht="12.75">
      <c r="A178" s="205"/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412"/>
      <c r="O178" s="412"/>
      <c r="P178" s="403"/>
    </row>
    <row r="179" spans="1:16" ht="15">
      <c r="A179" s="407"/>
      <c r="B179" s="400" t="str">
        <f>'ORÇAMENTO NÃO DESONERADO'!C82</f>
        <v>SUPERESTRUTURA</v>
      </c>
      <c r="C179" s="401"/>
      <c r="D179" s="401"/>
      <c r="E179" s="401"/>
      <c r="F179" s="401"/>
      <c r="G179" s="401"/>
      <c r="H179" s="401"/>
      <c r="I179" s="401"/>
      <c r="J179" s="401"/>
      <c r="K179" s="415"/>
      <c r="L179" s="415"/>
      <c r="M179" s="410"/>
      <c r="N179" s="412"/>
      <c r="O179" s="412"/>
      <c r="P179" s="403"/>
    </row>
    <row r="180" spans="1:16" ht="15">
      <c r="A180" s="407"/>
      <c r="B180" s="400" t="str">
        <f>'ORÇAMENTO NÃO DESONERADO'!C83</f>
        <v>PILAR</v>
      </c>
      <c r="C180" s="401"/>
      <c r="D180" s="401"/>
      <c r="E180" s="401"/>
      <c r="F180" s="401"/>
      <c r="G180" s="401"/>
      <c r="H180" s="401"/>
      <c r="I180" s="401"/>
      <c r="J180" s="401"/>
      <c r="K180" s="415"/>
      <c r="L180" s="415"/>
      <c r="M180" s="410"/>
      <c r="N180" s="412"/>
      <c r="O180" s="412"/>
      <c r="P180" s="403"/>
    </row>
    <row r="181" spans="1:16" ht="15">
      <c r="A181" s="407" t="str">
        <f>'ORÇAMENTO NÃO DESONERADO'!A84</f>
        <v>5.3.1</v>
      </c>
      <c r="B181" s="400" t="str">
        <f>'ORÇAMENTO NÃO DESONERADO'!C84</f>
        <v>FABRICAÇÃO DE FÔRMA PARA PILARES E ESTRUTURAS SIMILARES, EM MADEIRA SERRADA, E=25 MM. AF_12/2015</v>
      </c>
      <c r="C181" s="401"/>
      <c r="D181" s="401"/>
      <c r="E181" s="401"/>
      <c r="F181" s="401"/>
      <c r="G181" s="401"/>
      <c r="H181" s="401"/>
      <c r="I181" s="401"/>
      <c r="J181" s="401"/>
      <c r="K181" s="422"/>
      <c r="L181" s="415"/>
      <c r="M181" s="410"/>
      <c r="N181" s="412"/>
      <c r="O181" s="412"/>
      <c r="P181" s="403"/>
    </row>
    <row r="182" spans="1:16" ht="15">
      <c r="A182" s="407"/>
      <c r="B182" s="400"/>
      <c r="C182" s="401"/>
      <c r="D182" s="401"/>
      <c r="E182" s="401"/>
      <c r="F182" s="401"/>
      <c r="G182" s="401"/>
      <c r="H182" s="401"/>
      <c r="I182" s="401"/>
      <c r="J182" s="401"/>
      <c r="K182" s="415"/>
      <c r="L182" s="415"/>
      <c r="M182" s="403"/>
      <c r="N182" s="412"/>
      <c r="O182" s="412"/>
      <c r="P182" s="403"/>
    </row>
    <row r="183" spans="1:16" ht="12.75">
      <c r="A183" s="451" t="s">
        <v>491</v>
      </c>
      <c r="B183" s="434"/>
      <c r="C183" s="452" t="s">
        <v>195</v>
      </c>
      <c r="D183" s="451"/>
      <c r="E183" s="452" t="s">
        <v>492</v>
      </c>
      <c r="F183" s="434"/>
      <c r="G183" s="238" t="s">
        <v>191</v>
      </c>
      <c r="H183" s="451"/>
      <c r="I183" s="451" t="s">
        <v>432</v>
      </c>
      <c r="J183" s="453"/>
      <c r="K183" s="415"/>
      <c r="L183" s="415"/>
      <c r="M183" s="401"/>
      <c r="N183" s="412"/>
      <c r="O183" s="412"/>
      <c r="P183" s="403"/>
    </row>
    <row r="184" spans="1:16" ht="15">
      <c r="A184" s="454"/>
      <c r="B184" s="451" t="s">
        <v>196</v>
      </c>
      <c r="C184" s="452">
        <v>1</v>
      </c>
      <c r="D184" s="452" t="s">
        <v>29</v>
      </c>
      <c r="E184" s="452">
        <v>3.1</v>
      </c>
      <c r="F184" s="451" t="s">
        <v>29</v>
      </c>
      <c r="G184" s="238">
        <v>8</v>
      </c>
      <c r="H184" s="601" t="s">
        <v>30</v>
      </c>
      <c r="I184" s="601">
        <f>ROUND((C184*E184*G184),2)</f>
        <v>24.8</v>
      </c>
      <c r="J184" s="601"/>
      <c r="L184" s="401"/>
      <c r="M184" s="401" t="s">
        <v>224</v>
      </c>
      <c r="N184" s="403"/>
      <c r="O184" s="403"/>
      <c r="P184" s="403"/>
    </row>
    <row r="185" spans="1:16" ht="15">
      <c r="A185" s="454"/>
      <c r="B185" s="451"/>
      <c r="C185" s="452"/>
      <c r="D185" s="452"/>
      <c r="E185" s="452"/>
      <c r="F185" s="451"/>
      <c r="G185" s="238"/>
      <c r="H185" s="455"/>
      <c r="I185" s="452"/>
      <c r="J185" s="601"/>
      <c r="K185" s="427"/>
      <c r="L185" s="401"/>
      <c r="M185" s="401"/>
      <c r="N185" s="403"/>
      <c r="O185" s="403"/>
      <c r="P185" s="403"/>
    </row>
    <row r="186" spans="1:16" ht="15">
      <c r="A186" s="454"/>
      <c r="B186" s="434"/>
      <c r="C186" s="452" t="s">
        <v>195</v>
      </c>
      <c r="D186" s="451"/>
      <c r="E186" s="452" t="s">
        <v>492</v>
      </c>
      <c r="F186" s="434"/>
      <c r="G186" s="238" t="s">
        <v>191</v>
      </c>
      <c r="H186" s="451"/>
      <c r="I186" s="451" t="s">
        <v>432</v>
      </c>
      <c r="J186" s="453"/>
      <c r="K186" s="465"/>
      <c r="L186" s="423"/>
      <c r="M186" s="403"/>
      <c r="N186" s="419"/>
      <c r="O186" s="419"/>
      <c r="P186" s="403"/>
    </row>
    <row r="187" spans="1:16" ht="15">
      <c r="A187" s="454"/>
      <c r="B187" s="451" t="s">
        <v>196</v>
      </c>
      <c r="C187" s="452">
        <v>0.9</v>
      </c>
      <c r="D187" s="452" t="s">
        <v>29</v>
      </c>
      <c r="E187" s="452">
        <v>3.1</v>
      </c>
      <c r="F187" s="451" t="s">
        <v>29</v>
      </c>
      <c r="G187" s="238">
        <v>5</v>
      </c>
      <c r="H187" s="601" t="s">
        <v>30</v>
      </c>
      <c r="I187" s="601">
        <f>ROUND((C187*E187*G187),2)</f>
        <v>13.95</v>
      </c>
      <c r="J187" s="601"/>
      <c r="K187" s="209"/>
      <c r="L187" s="424"/>
      <c r="M187" s="403"/>
      <c r="N187" s="419"/>
      <c r="O187" s="419"/>
      <c r="P187" s="403"/>
    </row>
    <row r="188" spans="1:16" ht="15" customHeight="1">
      <c r="A188" s="454"/>
      <c r="B188" s="451"/>
      <c r="C188" s="452"/>
      <c r="D188" s="452"/>
      <c r="E188" s="452"/>
      <c r="F188" s="451"/>
      <c r="G188" s="238"/>
      <c r="H188" s="455"/>
      <c r="I188" s="452"/>
      <c r="J188" s="601"/>
      <c r="K188" s="424"/>
      <c r="L188" s="424"/>
      <c r="M188" s="403"/>
      <c r="N188" s="416"/>
      <c r="O188" s="403"/>
      <c r="P188" s="403"/>
    </row>
    <row r="189" spans="1:13" ht="15">
      <c r="A189" s="454"/>
      <c r="B189" s="434"/>
      <c r="C189" s="452" t="s">
        <v>195</v>
      </c>
      <c r="D189" s="451"/>
      <c r="E189" s="452" t="s">
        <v>492</v>
      </c>
      <c r="F189" s="434"/>
      <c r="G189" s="238" t="s">
        <v>191</v>
      </c>
      <c r="H189" s="451"/>
      <c r="I189" s="451" t="s">
        <v>432</v>
      </c>
      <c r="J189" s="453"/>
      <c r="K189" s="423"/>
      <c r="L189" s="209"/>
      <c r="M189" s="403"/>
    </row>
    <row r="190" spans="1:16" ht="35.25" customHeight="1">
      <c r="A190" s="454"/>
      <c r="B190" s="451" t="s">
        <v>196</v>
      </c>
      <c r="C190" s="452">
        <v>0.8</v>
      </c>
      <c r="D190" s="452" t="s">
        <v>29</v>
      </c>
      <c r="E190" s="452">
        <v>3.1</v>
      </c>
      <c r="F190" s="451" t="s">
        <v>29</v>
      </c>
      <c r="G190" s="238">
        <v>2</v>
      </c>
      <c r="H190" s="601" t="s">
        <v>30</v>
      </c>
      <c r="I190" s="601">
        <f>ROUND((C190*E190*G190),2)</f>
        <v>4.96</v>
      </c>
      <c r="J190" s="601"/>
      <c r="K190" s="405"/>
      <c r="L190" s="209"/>
      <c r="M190" s="403"/>
      <c r="N190" s="599"/>
      <c r="O190" s="447"/>
      <c r="P190" s="401"/>
    </row>
    <row r="191" spans="1:16" ht="15">
      <c r="A191" s="407"/>
      <c r="B191" s="401"/>
      <c r="C191" s="405"/>
      <c r="D191" s="401"/>
      <c r="E191" s="405"/>
      <c r="F191" s="401"/>
      <c r="G191" s="405"/>
      <c r="H191" s="401"/>
      <c r="I191" s="405"/>
      <c r="J191" s="401"/>
      <c r="K191" s="424"/>
      <c r="L191" s="401"/>
      <c r="M191" s="403"/>
      <c r="N191" s="419"/>
      <c r="O191" s="419"/>
      <c r="P191" s="430"/>
    </row>
    <row r="192" spans="1:16" ht="15">
      <c r="A192" s="407"/>
      <c r="B192" s="406" t="s">
        <v>225</v>
      </c>
      <c r="C192" s="408">
        <f>I184+I187+I190</f>
        <v>43.71</v>
      </c>
      <c r="D192" s="425" t="s">
        <v>3</v>
      </c>
      <c r="E192" s="413"/>
      <c r="F192" s="401"/>
      <c r="G192" s="401"/>
      <c r="H192" s="401"/>
      <c r="I192" s="401"/>
      <c r="J192" s="401"/>
      <c r="K192" s="424"/>
      <c r="L192" s="401"/>
      <c r="M192" s="403"/>
      <c r="N192" s="416"/>
      <c r="O192" s="403"/>
      <c r="P192" s="401"/>
    </row>
    <row r="193" spans="1:16" ht="15">
      <c r="A193" s="407"/>
      <c r="B193" s="401"/>
      <c r="C193" s="401"/>
      <c r="D193" s="401"/>
      <c r="E193" s="401"/>
      <c r="F193" s="403"/>
      <c r="G193" s="403"/>
      <c r="H193" s="403"/>
      <c r="I193" s="403"/>
      <c r="J193" s="403"/>
      <c r="K193" s="403"/>
      <c r="L193" s="403"/>
      <c r="M193" s="403"/>
      <c r="N193" s="403"/>
      <c r="O193" s="403"/>
      <c r="P193" s="401"/>
    </row>
    <row r="194" spans="1:16" ht="30.75" customHeight="1">
      <c r="A194" s="407" t="str">
        <f>'ORÇAMENTO NÃO DESONERADO'!A85</f>
        <v>5.3.2</v>
      </c>
      <c r="B194" s="1181" t="str">
        <f>'ORÇAMENTO NÃO DESONERADO'!C85</f>
        <v xml:space="preserve">EXECUÇÃO DE ESTRUTURA DE CONCRETO ARMADO, FCK = 20 MPA, AMAÇÃO: 5,0MM,6,3MM,10,0MM,12,5MM E 8,0MM/ AÇO CA-50 E CA-60.
</v>
      </c>
      <c r="C194" s="1181"/>
      <c r="D194" s="1181"/>
      <c r="E194" s="1181"/>
      <c r="F194" s="1181"/>
      <c r="G194" s="1181"/>
      <c r="H194" s="1181"/>
      <c r="I194" s="1181"/>
      <c r="J194" s="1181"/>
      <c r="K194" s="1181"/>
      <c r="L194" s="1181"/>
      <c r="M194" s="1181"/>
      <c r="N194" s="1181"/>
      <c r="O194" s="403"/>
      <c r="P194" s="401"/>
    </row>
    <row r="195" spans="1:16" ht="15">
      <c r="A195" s="407"/>
      <c r="B195" s="1181"/>
      <c r="C195" s="1181"/>
      <c r="D195" s="1181"/>
      <c r="E195" s="1181"/>
      <c r="F195" s="1181"/>
      <c r="G195" s="1181"/>
      <c r="H195" s="1181"/>
      <c r="I195" s="1181"/>
      <c r="J195" s="1181"/>
      <c r="K195" s="1181"/>
      <c r="L195" s="1181"/>
      <c r="M195" s="1181"/>
      <c r="N195" s="1181"/>
      <c r="O195" s="403"/>
      <c r="P195" s="401"/>
    </row>
    <row r="196" spans="1:16" ht="15">
      <c r="A196" s="407"/>
      <c r="B196" s="423"/>
      <c r="C196" s="424"/>
      <c r="D196" s="423"/>
      <c r="E196" s="424"/>
      <c r="F196" s="423"/>
      <c r="G196" s="433"/>
      <c r="H196" s="423"/>
      <c r="I196" s="424"/>
      <c r="J196" s="423"/>
      <c r="K196" s="433"/>
      <c r="L196" s="401"/>
      <c r="M196" s="401"/>
      <c r="N196" s="416"/>
      <c r="O196" s="403"/>
      <c r="P196" s="401"/>
    </row>
    <row r="197" spans="1:16" ht="12.75">
      <c r="A197" s="451" t="s">
        <v>491</v>
      </c>
      <c r="B197" s="434"/>
      <c r="C197" s="452" t="s">
        <v>32</v>
      </c>
      <c r="D197" s="451"/>
      <c r="E197" s="693" t="s">
        <v>402</v>
      </c>
      <c r="G197" s="452" t="s">
        <v>492</v>
      </c>
      <c r="H197" s="434"/>
      <c r="I197" s="238" t="s">
        <v>261</v>
      </c>
      <c r="J197" s="451"/>
      <c r="K197" s="451" t="s">
        <v>408</v>
      </c>
      <c r="L197" s="453"/>
      <c r="M197" s="401"/>
      <c r="N197" s="416"/>
      <c r="O197" s="403"/>
      <c r="P197" s="401"/>
    </row>
    <row r="198" spans="1:16" ht="15">
      <c r="A198" s="454"/>
      <c r="B198" s="451" t="s">
        <v>196</v>
      </c>
      <c r="C198" s="452">
        <v>0.3</v>
      </c>
      <c r="D198" s="452" t="s">
        <v>29</v>
      </c>
      <c r="E198" s="597">
        <v>0.2</v>
      </c>
      <c r="G198" s="452">
        <v>3.1</v>
      </c>
      <c r="H198" s="451" t="s">
        <v>29</v>
      </c>
      <c r="I198" s="238">
        <v>8</v>
      </c>
      <c r="J198" s="601" t="s">
        <v>30</v>
      </c>
      <c r="K198" s="601">
        <f>ROUND((C198*E198*G198*I198),2)</f>
        <v>1.49</v>
      </c>
      <c r="L198" s="601"/>
      <c r="M198" s="401"/>
      <c r="N198" s="416"/>
      <c r="O198" s="403"/>
      <c r="P198" s="401"/>
    </row>
    <row r="199" spans="1:16" ht="15">
      <c r="A199" s="454"/>
      <c r="B199" s="451"/>
      <c r="C199" s="452"/>
      <c r="D199" s="452"/>
      <c r="E199" s="602"/>
      <c r="G199" s="452"/>
      <c r="H199" s="451"/>
      <c r="I199" s="238"/>
      <c r="J199" s="455"/>
      <c r="K199" s="452"/>
      <c r="L199" s="601"/>
      <c r="M199" s="401"/>
      <c r="N199" s="416"/>
      <c r="O199" s="403"/>
      <c r="P199" s="401"/>
    </row>
    <row r="200" spans="1:16" ht="15">
      <c r="A200" s="454"/>
      <c r="B200" s="434"/>
      <c r="C200" s="452" t="s">
        <v>32</v>
      </c>
      <c r="D200" s="451"/>
      <c r="E200" s="693" t="s">
        <v>402</v>
      </c>
      <c r="G200" s="452" t="s">
        <v>492</v>
      </c>
      <c r="H200" s="434"/>
      <c r="I200" s="238" t="s">
        <v>261</v>
      </c>
      <c r="J200" s="451"/>
      <c r="K200" s="451" t="s">
        <v>408</v>
      </c>
      <c r="L200" s="453"/>
      <c r="M200" s="401"/>
      <c r="N200" s="416"/>
      <c r="O200" s="403"/>
      <c r="P200" s="401"/>
    </row>
    <row r="201" spans="1:16" ht="15">
      <c r="A201" s="454"/>
      <c r="B201" s="451" t="s">
        <v>196</v>
      </c>
      <c r="C201" s="452">
        <v>0.3</v>
      </c>
      <c r="D201" s="452" t="s">
        <v>29</v>
      </c>
      <c r="E201" s="597">
        <v>0.15</v>
      </c>
      <c r="G201" s="452">
        <v>3.1</v>
      </c>
      <c r="H201" s="451" t="s">
        <v>29</v>
      </c>
      <c r="I201" s="238">
        <v>5</v>
      </c>
      <c r="J201" s="601" t="s">
        <v>30</v>
      </c>
      <c r="K201" s="601">
        <f>ROUND((C201*E201*G201*I201),2)</f>
        <v>0.7</v>
      </c>
      <c r="L201" s="601"/>
      <c r="M201" s="405"/>
      <c r="N201" s="416"/>
      <c r="O201" s="403"/>
      <c r="P201" s="401"/>
    </row>
    <row r="202" spans="1:16" ht="15">
      <c r="A202" s="454"/>
      <c r="B202" s="451"/>
      <c r="C202" s="452"/>
      <c r="D202" s="452"/>
      <c r="E202" s="602"/>
      <c r="G202" s="452"/>
      <c r="H202" s="451"/>
      <c r="I202" s="238"/>
      <c r="J202" s="455"/>
      <c r="K202" s="452"/>
      <c r="L202" s="601"/>
      <c r="M202" s="405"/>
      <c r="N202" s="403"/>
      <c r="O202" s="403"/>
      <c r="P202" s="401"/>
    </row>
    <row r="203" spans="1:16" ht="15">
      <c r="A203" s="454"/>
      <c r="B203" s="434"/>
      <c r="C203" s="452" t="s">
        <v>32</v>
      </c>
      <c r="D203" s="451"/>
      <c r="E203" s="693" t="s">
        <v>402</v>
      </c>
      <c r="G203" s="452" t="s">
        <v>492</v>
      </c>
      <c r="H203" s="434"/>
      <c r="I203" s="238" t="s">
        <v>261</v>
      </c>
      <c r="J203" s="451"/>
      <c r="K203" s="451" t="s">
        <v>408</v>
      </c>
      <c r="L203" s="453"/>
      <c r="M203" s="721"/>
      <c r="N203" s="403"/>
      <c r="O203" s="403"/>
      <c r="P203" s="401"/>
    </row>
    <row r="204" spans="1:16" ht="15">
      <c r="A204" s="454"/>
      <c r="B204" s="451" t="s">
        <v>196</v>
      </c>
      <c r="C204" s="452">
        <v>0.2</v>
      </c>
      <c r="D204" s="452" t="s">
        <v>29</v>
      </c>
      <c r="E204" s="597">
        <v>0.15</v>
      </c>
      <c r="G204" s="452">
        <v>3.1</v>
      </c>
      <c r="H204" s="451" t="s">
        <v>29</v>
      </c>
      <c r="I204" s="238">
        <v>2</v>
      </c>
      <c r="J204" s="601" t="s">
        <v>30</v>
      </c>
      <c r="K204" s="601">
        <f>ROUND((C204*E204*G204*I204),2)</f>
        <v>0.19</v>
      </c>
      <c r="L204" s="601"/>
      <c r="M204" s="721"/>
      <c r="N204" s="416"/>
      <c r="O204" s="403"/>
      <c r="P204" s="401"/>
    </row>
    <row r="205" spans="1:16" ht="15">
      <c r="A205" s="407"/>
      <c r="B205" s="401"/>
      <c r="C205" s="424"/>
      <c r="D205" s="401"/>
      <c r="E205" s="424"/>
      <c r="F205" s="401"/>
      <c r="G205" s="603"/>
      <c r="H205" s="401"/>
      <c r="I205" s="424"/>
      <c r="J205" s="401"/>
      <c r="K205" s="405"/>
      <c r="L205" s="405"/>
      <c r="M205" s="421"/>
      <c r="N205" s="416"/>
      <c r="O205" s="403"/>
      <c r="P205" s="401"/>
    </row>
    <row r="206" spans="1:16" ht="15">
      <c r="A206" s="407"/>
      <c r="B206" s="406" t="s">
        <v>225</v>
      </c>
      <c r="C206" s="408">
        <f>K198+K201+K204</f>
        <v>2.38</v>
      </c>
      <c r="D206" s="425" t="s">
        <v>3</v>
      </c>
      <c r="E206" s="405"/>
      <c r="F206" s="405"/>
      <c r="G206" s="405"/>
      <c r="H206" s="722"/>
      <c r="I206" s="723"/>
      <c r="J206" s="428"/>
      <c r="K206" s="405"/>
      <c r="L206" s="405"/>
      <c r="M206" s="405"/>
      <c r="N206" s="401"/>
      <c r="O206" s="401"/>
      <c r="P206" s="401"/>
    </row>
    <row r="207" spans="1:16" ht="15">
      <c r="A207" s="407"/>
      <c r="B207" s="401"/>
      <c r="C207" s="405"/>
      <c r="D207" s="405"/>
      <c r="E207" s="405"/>
      <c r="F207" s="405"/>
      <c r="G207" s="405"/>
      <c r="H207" s="722"/>
      <c r="I207" s="723"/>
      <c r="J207" s="428"/>
      <c r="K207" s="405"/>
      <c r="L207" s="405"/>
      <c r="M207" s="421"/>
      <c r="N207" s="413"/>
      <c r="O207" s="413"/>
      <c r="P207" s="401"/>
    </row>
    <row r="208" spans="2:15" ht="15">
      <c r="B208" s="201" t="str">
        <f>'ORÇAMENTO NÃO DESONERADO'!C87</f>
        <v>VIGAS</v>
      </c>
      <c r="N208" s="419"/>
      <c r="O208" s="419"/>
    </row>
    <row r="209" spans="14:15" ht="12.75">
      <c r="N209" s="415"/>
      <c r="O209" s="415"/>
    </row>
    <row r="210" spans="1:2" ht="15">
      <c r="A210" s="45" t="str">
        <f>'ORÇAMENTO NÃO DESONERADO'!A88</f>
        <v>5.4.1</v>
      </c>
      <c r="B210" s="201" t="str">
        <f>'ORÇAMENTO NÃO DESONERADO'!C88</f>
        <v>FABRICAÇÃO DE FÔRMA PARA VIGAS, EM MADEIRA SERRADA, E=25 MM. AF_12/2015</v>
      </c>
    </row>
    <row r="211" spans="1:14" ht="15">
      <c r="A211" s="724"/>
      <c r="B211" s="724"/>
      <c r="C211" s="724"/>
      <c r="D211" s="724"/>
      <c r="E211" s="724"/>
      <c r="F211" s="724"/>
      <c r="G211" s="724"/>
      <c r="H211" s="724"/>
      <c r="I211" s="724"/>
      <c r="J211" s="724"/>
      <c r="K211" s="724"/>
      <c r="L211" s="724"/>
      <c r="M211" s="724"/>
      <c r="N211" s="724"/>
    </row>
    <row r="212" spans="1:14" ht="15">
      <c r="A212" s="451" t="s">
        <v>448</v>
      </c>
      <c r="B212" s="434"/>
      <c r="C212" s="452" t="s">
        <v>195</v>
      </c>
      <c r="D212" s="452"/>
      <c r="E212" s="452" t="s">
        <v>434</v>
      </c>
      <c r="F212" s="451"/>
      <c r="G212" s="451" t="s">
        <v>432</v>
      </c>
      <c r="H212" s="238"/>
      <c r="I212" s="1192" t="s">
        <v>449</v>
      </c>
      <c r="J212" s="1193"/>
      <c r="K212" s="1193"/>
      <c r="L212" s="1193"/>
      <c r="M212" s="1194"/>
      <c r="N212" s="724"/>
    </row>
    <row r="213" spans="1:14" ht="15">
      <c r="A213" s="454"/>
      <c r="B213" s="451" t="s">
        <v>196</v>
      </c>
      <c r="C213" s="452">
        <v>0.75</v>
      </c>
      <c r="D213" s="452" t="s">
        <v>29</v>
      </c>
      <c r="E213" s="452">
        <f>SUM(B223:B244)</f>
        <v>88.08999999999999</v>
      </c>
      <c r="F213" s="601" t="s">
        <v>30</v>
      </c>
      <c r="G213" s="601">
        <f>ROUND((C213*E213),2)</f>
        <v>66.07</v>
      </c>
      <c r="H213" s="601"/>
      <c r="I213" s="1195"/>
      <c r="J213" s="1196"/>
      <c r="K213" s="1196"/>
      <c r="L213" s="1196"/>
      <c r="M213" s="1197"/>
      <c r="N213" s="724"/>
    </row>
    <row r="214" spans="1:14" ht="15">
      <c r="A214" s="454"/>
      <c r="B214" s="457"/>
      <c r="C214" s="455"/>
      <c r="D214" s="455"/>
      <c r="E214" s="455"/>
      <c r="F214" s="455"/>
      <c r="G214" s="455"/>
      <c r="H214" s="455"/>
      <c r="I214" s="455"/>
      <c r="J214" s="455"/>
      <c r="K214" s="455"/>
      <c r="L214" s="455"/>
      <c r="M214" s="216"/>
      <c r="N214" s="724"/>
    </row>
    <row r="215" spans="1:14" ht="15">
      <c r="A215" s="454"/>
      <c r="B215" s="458" t="s">
        <v>196</v>
      </c>
      <c r="C215" s="459">
        <f>G213</f>
        <v>66.07</v>
      </c>
      <c r="D215" s="460"/>
      <c r="E215" s="461" t="s">
        <v>3</v>
      </c>
      <c r="F215" s="455"/>
      <c r="G215" s="455"/>
      <c r="H215" s="455"/>
      <c r="I215" s="455"/>
      <c r="J215" s="455"/>
      <c r="K215" s="455"/>
      <c r="L215" s="455"/>
      <c r="M215" s="216"/>
      <c r="N215" s="724"/>
    </row>
    <row r="216" spans="12:14" ht="15">
      <c r="L216" s="724"/>
      <c r="M216" s="724"/>
      <c r="N216" s="724"/>
    </row>
    <row r="217" spans="2:25" ht="15">
      <c r="B217" s="401"/>
      <c r="C217" s="401"/>
      <c r="D217" s="401"/>
      <c r="E217" s="401"/>
      <c r="F217" s="401"/>
      <c r="G217" s="401"/>
      <c r="N217" s="401"/>
      <c r="O217" s="401"/>
      <c r="P217" s="407"/>
      <c r="Q217" s="401"/>
      <c r="R217" s="401"/>
      <c r="S217" s="401"/>
      <c r="T217" s="401"/>
      <c r="U217" s="405"/>
      <c r="V217" s="401"/>
      <c r="W217" s="401"/>
      <c r="X217" s="401"/>
      <c r="Y217" s="401"/>
    </row>
    <row r="218" spans="1:25" ht="15">
      <c r="A218" s="399" t="str">
        <f>'ORÇAMENTO NÃO DESONERADO'!A89</f>
        <v>5.4.2</v>
      </c>
      <c r="B218" s="1233" t="str">
        <f>'ORÇAMENTO NÃO DESONERADO'!C89</f>
        <v xml:space="preserve">EXECUÇÃO DE ESTRUTURA DE CONCRETO ARMADO, FCK = 20 MPA, AMAÇÃO: 5,0MM,6,3MM,10,0MM,12,5MM E 8,0MM/ AÇO CA-50 E CA-60.
</v>
      </c>
      <c r="C218" s="1233"/>
      <c r="D218" s="1233"/>
      <c r="E218" s="1233"/>
      <c r="F218" s="1233"/>
      <c r="G218" s="1233"/>
      <c r="H218" s="1233"/>
      <c r="I218" s="1233"/>
      <c r="J218" s="1233"/>
      <c r="K218" s="1233"/>
      <c r="L218" s="1233"/>
      <c r="M218" s="1233"/>
      <c r="N218" s="1233"/>
      <c r="O218" s="401"/>
      <c r="P218" s="407"/>
      <c r="Q218" s="401"/>
      <c r="R218" s="401"/>
      <c r="S218" s="401"/>
      <c r="T218" s="401"/>
      <c r="U218" s="405"/>
      <c r="V218" s="401"/>
      <c r="W218" s="401"/>
      <c r="X218" s="401"/>
      <c r="Y218" s="401"/>
    </row>
    <row r="219" spans="1:25" ht="15">
      <c r="A219" s="399"/>
      <c r="B219" s="403"/>
      <c r="C219" s="403"/>
      <c r="D219" s="403"/>
      <c r="E219" s="403"/>
      <c r="F219" s="403"/>
      <c r="G219" s="403"/>
      <c r="H219" s="403"/>
      <c r="I219" s="403"/>
      <c r="J219" s="403"/>
      <c r="K219" s="429"/>
      <c r="L219" s="429"/>
      <c r="M219" s="430"/>
      <c r="N219" s="401"/>
      <c r="O219" s="401"/>
      <c r="P219" s="407"/>
      <c r="Q219" s="401"/>
      <c r="R219" s="401"/>
      <c r="S219" s="401"/>
      <c r="T219" s="401"/>
      <c r="U219" s="405"/>
      <c r="V219" s="401"/>
      <c r="W219" s="401"/>
      <c r="X219" s="401"/>
      <c r="Y219" s="401"/>
    </row>
    <row r="220" spans="1:25" s="592" customFormat="1" ht="15">
      <c r="A220" s="454"/>
      <c r="B220" s="451"/>
      <c r="C220" s="452"/>
      <c r="D220" s="467"/>
      <c r="E220" s="451"/>
      <c r="F220" s="455"/>
      <c r="G220" s="455"/>
      <c r="H220" s="455"/>
      <c r="I220" s="455"/>
      <c r="J220" s="455"/>
      <c r="K220" s="455"/>
      <c r="L220" s="455"/>
      <c r="M220" s="208"/>
      <c r="N220" s="401"/>
      <c r="O220" s="401"/>
      <c r="P220" s="407"/>
      <c r="Q220" s="401"/>
      <c r="R220" s="401"/>
      <c r="S220" s="401"/>
      <c r="T220" s="401"/>
      <c r="U220" s="405"/>
      <c r="V220" s="401"/>
      <c r="W220" s="401"/>
      <c r="X220" s="401"/>
      <c r="Y220" s="401"/>
    </row>
    <row r="221" spans="1:25" s="592" customFormat="1" ht="15">
      <c r="A221" s="1232" t="s">
        <v>447</v>
      </c>
      <c r="B221" s="1232"/>
      <c r="C221" s="1232"/>
      <c r="D221" s="692"/>
      <c r="E221" s="692"/>
      <c r="F221" s="692"/>
      <c r="G221" s="692"/>
      <c r="H221" s="692"/>
      <c r="I221" s="692"/>
      <c r="J221" s="692"/>
      <c r="K221" s="692"/>
      <c r="L221" s="455"/>
      <c r="M221" s="208"/>
      <c r="N221" s="401"/>
      <c r="O221" s="401"/>
      <c r="P221" s="407"/>
      <c r="Q221" s="401"/>
      <c r="R221" s="401"/>
      <c r="S221" s="401"/>
      <c r="T221" s="401"/>
      <c r="U221" s="405"/>
      <c r="V221" s="401"/>
      <c r="W221" s="401"/>
      <c r="X221" s="401"/>
      <c r="Y221" s="401"/>
    </row>
    <row r="222" spans="1:25" s="592" customFormat="1" ht="15">
      <c r="A222" s="692"/>
      <c r="B222" s="693" t="s">
        <v>198</v>
      </c>
      <c r="C222" s="693"/>
      <c r="D222" s="693" t="s">
        <v>445</v>
      </c>
      <c r="E222" s="693"/>
      <c r="F222" s="693" t="s">
        <v>446</v>
      </c>
      <c r="G222" s="692"/>
      <c r="H222" s="693" t="s">
        <v>407</v>
      </c>
      <c r="I222" s="692"/>
      <c r="J222" s="692"/>
      <c r="K222" s="692"/>
      <c r="L222" s="455"/>
      <c r="M222" s="208"/>
      <c r="N222" s="401"/>
      <c r="O222" s="401"/>
      <c r="P222" s="407"/>
      <c r="Q222" s="401"/>
      <c r="R222" s="401"/>
      <c r="S222" s="401"/>
      <c r="T222" s="401"/>
      <c r="U222" s="405"/>
      <c r="V222" s="401"/>
      <c r="W222" s="401"/>
      <c r="X222" s="401"/>
      <c r="Y222" s="401"/>
    </row>
    <row r="223" spans="1:25" s="592" customFormat="1" ht="15">
      <c r="A223" s="693" t="s">
        <v>34</v>
      </c>
      <c r="B223" s="693">
        <v>5</v>
      </c>
      <c r="C223" s="693" t="s">
        <v>29</v>
      </c>
      <c r="D223" s="693">
        <v>0.15</v>
      </c>
      <c r="E223" s="693" t="s">
        <v>29</v>
      </c>
      <c r="F223" s="693">
        <v>0.3</v>
      </c>
      <c r="G223" s="693" t="s">
        <v>29</v>
      </c>
      <c r="H223" s="694">
        <v>1</v>
      </c>
      <c r="I223" s="594" t="s">
        <v>30</v>
      </c>
      <c r="J223" s="693">
        <f aca="true" t="shared" si="4" ref="J223:J244">ROUND((B223*D223*F223*H223),2)</f>
        <v>0.23</v>
      </c>
      <c r="K223" s="698" t="s">
        <v>409</v>
      </c>
      <c r="L223" s="455"/>
      <c r="M223" s="208"/>
      <c r="N223" s="401"/>
      <c r="O223" s="401"/>
      <c r="P223" s="407"/>
      <c r="Q223" s="401"/>
      <c r="R223" s="401"/>
      <c r="S223" s="401"/>
      <c r="T223" s="401"/>
      <c r="U223" s="405"/>
      <c r="V223" s="401"/>
      <c r="W223" s="401"/>
      <c r="X223" s="401"/>
      <c r="Y223" s="401"/>
    </row>
    <row r="224" spans="1:25" s="592" customFormat="1" ht="15">
      <c r="A224" s="693" t="s">
        <v>34</v>
      </c>
      <c r="B224" s="693">
        <v>2.6</v>
      </c>
      <c r="C224" s="693" t="s">
        <v>29</v>
      </c>
      <c r="D224" s="693">
        <v>0.15</v>
      </c>
      <c r="E224" s="693" t="s">
        <v>29</v>
      </c>
      <c r="F224" s="693">
        <v>0.3</v>
      </c>
      <c r="G224" s="693" t="s">
        <v>29</v>
      </c>
      <c r="H224" s="694">
        <v>1</v>
      </c>
      <c r="I224" s="692" t="s">
        <v>30</v>
      </c>
      <c r="J224" s="693">
        <f t="shared" si="4"/>
        <v>0.12</v>
      </c>
      <c r="K224" s="698" t="s">
        <v>410</v>
      </c>
      <c r="L224" s="455"/>
      <c r="M224" s="208"/>
      <c r="N224" s="401"/>
      <c r="O224" s="401"/>
      <c r="P224" s="407"/>
      <c r="Q224" s="401"/>
      <c r="R224" s="401"/>
      <c r="S224" s="401"/>
      <c r="T224" s="401"/>
      <c r="U224" s="405"/>
      <c r="V224" s="401"/>
      <c r="W224" s="401"/>
      <c r="X224" s="401"/>
      <c r="Y224" s="401"/>
    </row>
    <row r="225" spans="1:25" s="592" customFormat="1" ht="15">
      <c r="A225" s="693" t="s">
        <v>34</v>
      </c>
      <c r="B225" s="693">
        <v>3.14</v>
      </c>
      <c r="C225" s="693" t="s">
        <v>29</v>
      </c>
      <c r="D225" s="693">
        <v>0.15</v>
      </c>
      <c r="E225" s="693" t="s">
        <v>29</v>
      </c>
      <c r="F225" s="693">
        <v>0.3</v>
      </c>
      <c r="G225" s="693" t="s">
        <v>29</v>
      </c>
      <c r="H225" s="694">
        <v>1</v>
      </c>
      <c r="I225" s="692" t="s">
        <v>30</v>
      </c>
      <c r="J225" s="693">
        <f t="shared" si="4"/>
        <v>0.14</v>
      </c>
      <c r="K225" s="698" t="s">
        <v>411</v>
      </c>
      <c r="L225" s="455"/>
      <c r="M225" s="208"/>
      <c r="N225" s="401"/>
      <c r="O225" s="401"/>
      <c r="P225" s="407"/>
      <c r="Q225" s="401"/>
      <c r="R225" s="401"/>
      <c r="S225" s="401"/>
      <c r="T225" s="401"/>
      <c r="U225" s="405"/>
      <c r="V225" s="401"/>
      <c r="W225" s="401"/>
      <c r="X225" s="401"/>
      <c r="Y225" s="401"/>
    </row>
    <row r="226" spans="1:25" s="592" customFormat="1" ht="15">
      <c r="A226" s="693" t="s">
        <v>34</v>
      </c>
      <c r="B226" s="693">
        <v>4.68</v>
      </c>
      <c r="C226" s="693" t="s">
        <v>29</v>
      </c>
      <c r="D226" s="693">
        <v>0.15</v>
      </c>
      <c r="E226" s="693" t="s">
        <v>29</v>
      </c>
      <c r="F226" s="693">
        <v>0.3</v>
      </c>
      <c r="G226" s="693" t="s">
        <v>29</v>
      </c>
      <c r="H226" s="694">
        <v>1</v>
      </c>
      <c r="I226" s="692" t="s">
        <v>30</v>
      </c>
      <c r="J226" s="693">
        <f t="shared" si="4"/>
        <v>0.21</v>
      </c>
      <c r="K226" s="698" t="s">
        <v>412</v>
      </c>
      <c r="L226" s="455"/>
      <c r="M226" s="208"/>
      <c r="N226" s="401"/>
      <c r="O226" s="401"/>
      <c r="P226" s="407"/>
      <c r="Q226" s="401"/>
      <c r="R226" s="401"/>
      <c r="S226" s="401"/>
      <c r="T226" s="401"/>
      <c r="U226" s="405"/>
      <c r="V226" s="401"/>
      <c r="W226" s="401"/>
      <c r="X226" s="401"/>
      <c r="Y226" s="401"/>
    </row>
    <row r="227" spans="1:25" s="592" customFormat="1" ht="15">
      <c r="A227" s="693" t="s">
        <v>34</v>
      </c>
      <c r="B227" s="693">
        <v>4.63</v>
      </c>
      <c r="C227" s="693" t="s">
        <v>29</v>
      </c>
      <c r="D227" s="693">
        <v>0.15</v>
      </c>
      <c r="E227" s="693" t="s">
        <v>29</v>
      </c>
      <c r="F227" s="693">
        <v>0.3</v>
      </c>
      <c r="G227" s="693" t="s">
        <v>29</v>
      </c>
      <c r="H227" s="694">
        <v>1</v>
      </c>
      <c r="I227" s="692" t="s">
        <v>30</v>
      </c>
      <c r="J227" s="693">
        <f t="shared" si="4"/>
        <v>0.21</v>
      </c>
      <c r="K227" s="698" t="s">
        <v>413</v>
      </c>
      <c r="L227" s="455"/>
      <c r="M227" s="208"/>
      <c r="N227" s="401"/>
      <c r="O227" s="401"/>
      <c r="P227" s="407"/>
      <c r="Q227" s="401"/>
      <c r="R227" s="401"/>
      <c r="S227" s="401"/>
      <c r="T227" s="401"/>
      <c r="U227" s="405"/>
      <c r="V227" s="401"/>
      <c r="W227" s="401"/>
      <c r="X227" s="401"/>
      <c r="Y227" s="401"/>
    </row>
    <row r="228" spans="1:25" s="592" customFormat="1" ht="15">
      <c r="A228" s="693" t="s">
        <v>34</v>
      </c>
      <c r="B228" s="693">
        <v>2.94</v>
      </c>
      <c r="C228" s="693" t="s">
        <v>29</v>
      </c>
      <c r="D228" s="693">
        <v>0.15</v>
      </c>
      <c r="E228" s="693" t="s">
        <v>29</v>
      </c>
      <c r="F228" s="693">
        <v>0.3</v>
      </c>
      <c r="G228" s="693" t="s">
        <v>29</v>
      </c>
      <c r="H228" s="694">
        <v>1</v>
      </c>
      <c r="I228" s="692" t="s">
        <v>30</v>
      </c>
      <c r="J228" s="693">
        <f t="shared" si="4"/>
        <v>0.13</v>
      </c>
      <c r="K228" s="698" t="s">
        <v>414</v>
      </c>
      <c r="L228" s="455"/>
      <c r="M228" s="208"/>
      <c r="N228" s="401"/>
      <c r="O228" s="401"/>
      <c r="P228" s="407"/>
      <c r="Q228" s="401"/>
      <c r="R228" s="401"/>
      <c r="S228" s="401"/>
      <c r="T228" s="401"/>
      <c r="U228" s="405"/>
      <c r="V228" s="401"/>
      <c r="W228" s="401"/>
      <c r="X228" s="401"/>
      <c r="Y228" s="401"/>
    </row>
    <row r="229" spans="1:25" s="592" customFormat="1" ht="15">
      <c r="A229" s="693" t="s">
        <v>34</v>
      </c>
      <c r="B229" s="693">
        <v>2.79</v>
      </c>
      <c r="C229" s="693" t="s">
        <v>29</v>
      </c>
      <c r="D229" s="693">
        <v>0.15</v>
      </c>
      <c r="E229" s="693" t="s">
        <v>29</v>
      </c>
      <c r="F229" s="693">
        <v>0.3</v>
      </c>
      <c r="G229" s="693" t="s">
        <v>29</v>
      </c>
      <c r="H229" s="694">
        <v>1</v>
      </c>
      <c r="I229" s="692" t="s">
        <v>30</v>
      </c>
      <c r="J229" s="693">
        <f t="shared" si="4"/>
        <v>0.13</v>
      </c>
      <c r="K229" s="698" t="s">
        <v>415</v>
      </c>
      <c r="L229" s="455"/>
      <c r="M229" s="208"/>
      <c r="N229" s="401"/>
      <c r="O229" s="401"/>
      <c r="P229" s="407"/>
      <c r="Q229" s="401"/>
      <c r="R229" s="401"/>
      <c r="S229" s="401"/>
      <c r="T229" s="401"/>
      <c r="U229" s="405"/>
      <c r="V229" s="401"/>
      <c r="W229" s="401"/>
      <c r="X229" s="401"/>
      <c r="Y229" s="401"/>
    </row>
    <row r="230" spans="1:25" s="592" customFormat="1" ht="15">
      <c r="A230" s="693" t="s">
        <v>34</v>
      </c>
      <c r="B230" s="693">
        <v>3.79</v>
      </c>
      <c r="C230" s="693" t="s">
        <v>29</v>
      </c>
      <c r="D230" s="693">
        <v>0.15</v>
      </c>
      <c r="E230" s="693" t="s">
        <v>29</v>
      </c>
      <c r="F230" s="693">
        <v>0.3</v>
      </c>
      <c r="G230" s="693" t="s">
        <v>29</v>
      </c>
      <c r="H230" s="694">
        <v>1</v>
      </c>
      <c r="I230" s="692" t="s">
        <v>30</v>
      </c>
      <c r="J230" s="693">
        <f t="shared" si="4"/>
        <v>0.17</v>
      </c>
      <c r="K230" s="698" t="s">
        <v>416</v>
      </c>
      <c r="L230" s="455"/>
      <c r="M230" s="208"/>
      <c r="N230" s="401"/>
      <c r="O230" s="401"/>
      <c r="P230" s="407"/>
      <c r="Q230" s="401"/>
      <c r="R230" s="401"/>
      <c r="S230" s="401"/>
      <c r="T230" s="401"/>
      <c r="U230" s="405"/>
      <c r="V230" s="401"/>
      <c r="W230" s="401"/>
      <c r="X230" s="401"/>
      <c r="Y230" s="401"/>
    </row>
    <row r="231" spans="1:25" s="592" customFormat="1" ht="15">
      <c r="A231" s="693" t="s">
        <v>34</v>
      </c>
      <c r="B231" s="693">
        <v>0.93</v>
      </c>
      <c r="C231" s="693" t="s">
        <v>29</v>
      </c>
      <c r="D231" s="693">
        <v>0.15</v>
      </c>
      <c r="E231" s="693" t="s">
        <v>29</v>
      </c>
      <c r="F231" s="693">
        <v>0.3</v>
      </c>
      <c r="G231" s="693" t="s">
        <v>29</v>
      </c>
      <c r="H231" s="694">
        <v>1</v>
      </c>
      <c r="I231" s="692" t="s">
        <v>30</v>
      </c>
      <c r="J231" s="693">
        <f t="shared" si="4"/>
        <v>0.04</v>
      </c>
      <c r="K231" s="698" t="s">
        <v>417</v>
      </c>
      <c r="L231" s="455"/>
      <c r="M231" s="208"/>
      <c r="N231" s="401"/>
      <c r="O231" s="401"/>
      <c r="P231" s="407"/>
      <c r="Q231" s="401"/>
      <c r="R231" s="401"/>
      <c r="S231" s="401"/>
      <c r="T231" s="401"/>
      <c r="U231" s="405"/>
      <c r="V231" s="401"/>
      <c r="W231" s="401"/>
      <c r="X231" s="401"/>
      <c r="Y231" s="401"/>
    </row>
    <row r="232" spans="1:25" s="592" customFormat="1" ht="15">
      <c r="A232" s="693" t="s">
        <v>34</v>
      </c>
      <c r="B232" s="693">
        <v>2.04</v>
      </c>
      <c r="C232" s="693" t="s">
        <v>29</v>
      </c>
      <c r="D232" s="693">
        <v>0.15</v>
      </c>
      <c r="E232" s="693" t="s">
        <v>29</v>
      </c>
      <c r="F232" s="693">
        <v>0.3</v>
      </c>
      <c r="G232" s="693" t="s">
        <v>29</v>
      </c>
      <c r="H232" s="694">
        <v>1</v>
      </c>
      <c r="I232" s="692" t="s">
        <v>30</v>
      </c>
      <c r="J232" s="693">
        <f t="shared" si="4"/>
        <v>0.09</v>
      </c>
      <c r="K232" s="698" t="s">
        <v>418</v>
      </c>
      <c r="L232" s="455"/>
      <c r="M232" s="208"/>
      <c r="N232" s="401"/>
      <c r="O232" s="401"/>
      <c r="P232" s="407"/>
      <c r="Q232" s="401"/>
      <c r="R232" s="401"/>
      <c r="S232" s="401"/>
      <c r="T232" s="401"/>
      <c r="U232" s="405"/>
      <c r="V232" s="401"/>
      <c r="W232" s="401"/>
      <c r="X232" s="401"/>
      <c r="Y232" s="401"/>
    </row>
    <row r="233" spans="1:25" s="592" customFormat="1" ht="15">
      <c r="A233" s="693" t="s">
        <v>34</v>
      </c>
      <c r="B233" s="693">
        <v>3.98</v>
      </c>
      <c r="C233" s="693" t="s">
        <v>29</v>
      </c>
      <c r="D233" s="693">
        <v>0.15</v>
      </c>
      <c r="E233" s="693" t="s">
        <v>29</v>
      </c>
      <c r="F233" s="693">
        <v>0.3</v>
      </c>
      <c r="G233" s="693" t="s">
        <v>29</v>
      </c>
      <c r="H233" s="694">
        <v>1</v>
      </c>
      <c r="I233" s="692" t="s">
        <v>30</v>
      </c>
      <c r="J233" s="693">
        <f t="shared" si="4"/>
        <v>0.18</v>
      </c>
      <c r="K233" s="698" t="s">
        <v>419</v>
      </c>
      <c r="L233" s="455"/>
      <c r="M233" s="208"/>
      <c r="N233" s="401"/>
      <c r="O233" s="401"/>
      <c r="P233" s="407"/>
      <c r="Q233" s="401"/>
      <c r="R233" s="401"/>
      <c r="S233" s="401"/>
      <c r="T233" s="401"/>
      <c r="U233" s="405"/>
      <c r="V233" s="401"/>
      <c r="W233" s="401"/>
      <c r="X233" s="401"/>
      <c r="Y233" s="401"/>
    </row>
    <row r="234" spans="1:25" s="592" customFormat="1" ht="15">
      <c r="A234" s="693" t="s">
        <v>34</v>
      </c>
      <c r="B234" s="693">
        <v>3.98</v>
      </c>
      <c r="C234" s="693" t="s">
        <v>29</v>
      </c>
      <c r="D234" s="693">
        <v>0.15</v>
      </c>
      <c r="E234" s="693" t="s">
        <v>29</v>
      </c>
      <c r="F234" s="693">
        <v>0.3</v>
      </c>
      <c r="G234" s="693" t="s">
        <v>29</v>
      </c>
      <c r="H234" s="694">
        <v>1</v>
      </c>
      <c r="I234" s="692" t="s">
        <v>30</v>
      </c>
      <c r="J234" s="693">
        <f t="shared" si="4"/>
        <v>0.18</v>
      </c>
      <c r="K234" s="698" t="s">
        <v>420</v>
      </c>
      <c r="L234" s="455"/>
      <c r="M234" s="208"/>
      <c r="N234" s="401"/>
      <c r="O234" s="401"/>
      <c r="P234" s="407"/>
      <c r="Q234" s="401"/>
      <c r="R234" s="401"/>
      <c r="S234" s="401"/>
      <c r="T234" s="401"/>
      <c r="U234" s="405"/>
      <c r="V234" s="401"/>
      <c r="W234" s="401"/>
      <c r="X234" s="401"/>
      <c r="Y234" s="401"/>
    </row>
    <row r="235" spans="1:25" s="592" customFormat="1" ht="15">
      <c r="A235" s="693" t="s">
        <v>34</v>
      </c>
      <c r="B235" s="693">
        <v>22.45</v>
      </c>
      <c r="C235" s="693" t="s">
        <v>29</v>
      </c>
      <c r="D235" s="693">
        <v>0.15</v>
      </c>
      <c r="E235" s="693" t="s">
        <v>29</v>
      </c>
      <c r="F235" s="693">
        <v>0.3</v>
      </c>
      <c r="G235" s="693" t="s">
        <v>29</v>
      </c>
      <c r="H235" s="694">
        <v>1</v>
      </c>
      <c r="I235" s="692" t="s">
        <v>30</v>
      </c>
      <c r="J235" s="693">
        <f t="shared" si="4"/>
        <v>1.01</v>
      </c>
      <c r="K235" s="698" t="s">
        <v>421</v>
      </c>
      <c r="L235" s="455"/>
      <c r="M235" s="208"/>
      <c r="N235" s="401"/>
      <c r="O235" s="401"/>
      <c r="P235" s="407"/>
      <c r="Q235" s="401"/>
      <c r="R235" s="401"/>
      <c r="S235" s="401"/>
      <c r="T235" s="401"/>
      <c r="U235" s="405"/>
      <c r="V235" s="401"/>
      <c r="W235" s="401"/>
      <c r="X235" s="401"/>
      <c r="Y235" s="401"/>
    </row>
    <row r="236" spans="1:25" s="592" customFormat="1" ht="15">
      <c r="A236" s="693" t="s">
        <v>34</v>
      </c>
      <c r="B236" s="693">
        <v>2.23</v>
      </c>
      <c r="C236" s="693" t="s">
        <v>29</v>
      </c>
      <c r="D236" s="693">
        <v>0.15</v>
      </c>
      <c r="E236" s="693" t="s">
        <v>29</v>
      </c>
      <c r="F236" s="693">
        <v>0.3</v>
      </c>
      <c r="G236" s="693" t="s">
        <v>29</v>
      </c>
      <c r="H236" s="694">
        <v>1</v>
      </c>
      <c r="I236" s="692" t="s">
        <v>30</v>
      </c>
      <c r="J236" s="693">
        <f t="shared" si="4"/>
        <v>0.1</v>
      </c>
      <c r="K236" s="698" t="s">
        <v>422</v>
      </c>
      <c r="L236" s="455"/>
      <c r="M236" s="208"/>
      <c r="N236" s="401"/>
      <c r="O236" s="401"/>
      <c r="P236" s="407"/>
      <c r="Q236" s="401"/>
      <c r="R236" s="401"/>
      <c r="S236" s="401"/>
      <c r="T236" s="401"/>
      <c r="U236" s="405"/>
      <c r="V236" s="401"/>
      <c r="W236" s="401"/>
      <c r="X236" s="401"/>
      <c r="Y236" s="401"/>
    </row>
    <row r="237" spans="1:25" s="592" customFormat="1" ht="15">
      <c r="A237" s="693" t="s">
        <v>34</v>
      </c>
      <c r="B237" s="693">
        <v>2.3</v>
      </c>
      <c r="C237" s="693" t="s">
        <v>29</v>
      </c>
      <c r="D237" s="693">
        <v>0.15</v>
      </c>
      <c r="E237" s="693" t="s">
        <v>29</v>
      </c>
      <c r="F237" s="693">
        <v>0.3</v>
      </c>
      <c r="G237" s="693" t="s">
        <v>29</v>
      </c>
      <c r="H237" s="694">
        <v>1</v>
      </c>
      <c r="I237" s="692" t="s">
        <v>30</v>
      </c>
      <c r="J237" s="693">
        <f t="shared" si="4"/>
        <v>0.1</v>
      </c>
      <c r="K237" s="698" t="s">
        <v>423</v>
      </c>
      <c r="L237" s="455"/>
      <c r="M237" s="208"/>
      <c r="N237" s="401"/>
      <c r="O237" s="401"/>
      <c r="P237" s="407"/>
      <c r="Q237" s="401"/>
      <c r="R237" s="401"/>
      <c r="S237" s="401"/>
      <c r="T237" s="401"/>
      <c r="U237" s="405"/>
      <c r="V237" s="401"/>
      <c r="W237" s="401"/>
      <c r="X237" s="401"/>
      <c r="Y237" s="401"/>
    </row>
    <row r="238" spans="1:25" s="592" customFormat="1" ht="15">
      <c r="A238" s="693" t="s">
        <v>34</v>
      </c>
      <c r="B238" s="693">
        <v>3</v>
      </c>
      <c r="C238" s="693" t="s">
        <v>29</v>
      </c>
      <c r="D238" s="693">
        <v>0.15</v>
      </c>
      <c r="E238" s="693" t="s">
        <v>29</v>
      </c>
      <c r="F238" s="693">
        <v>0.3</v>
      </c>
      <c r="G238" s="693" t="s">
        <v>29</v>
      </c>
      <c r="H238" s="694">
        <v>1</v>
      </c>
      <c r="I238" s="692" t="s">
        <v>30</v>
      </c>
      <c r="J238" s="693">
        <f t="shared" si="4"/>
        <v>0.14</v>
      </c>
      <c r="K238" s="698" t="s">
        <v>424</v>
      </c>
      <c r="L238" s="455"/>
      <c r="M238" s="208"/>
      <c r="N238" s="401"/>
      <c r="O238" s="401"/>
      <c r="P238" s="407"/>
      <c r="Q238" s="401"/>
      <c r="R238" s="401"/>
      <c r="S238" s="401"/>
      <c r="T238" s="401"/>
      <c r="U238" s="405"/>
      <c r="V238" s="401"/>
      <c r="W238" s="401"/>
      <c r="X238" s="401"/>
      <c r="Y238" s="401"/>
    </row>
    <row r="239" spans="1:25" s="592" customFormat="1" ht="15">
      <c r="A239" s="693" t="s">
        <v>34</v>
      </c>
      <c r="B239" s="693">
        <v>2.35</v>
      </c>
      <c r="C239" s="693" t="s">
        <v>29</v>
      </c>
      <c r="D239" s="693">
        <v>0.15</v>
      </c>
      <c r="E239" s="693" t="s">
        <v>29</v>
      </c>
      <c r="F239" s="693">
        <v>0.3</v>
      </c>
      <c r="G239" s="693" t="s">
        <v>29</v>
      </c>
      <c r="H239" s="694">
        <v>1</v>
      </c>
      <c r="I239" s="692" t="s">
        <v>30</v>
      </c>
      <c r="J239" s="693">
        <f t="shared" si="4"/>
        <v>0.11</v>
      </c>
      <c r="K239" s="698" t="s">
        <v>425</v>
      </c>
      <c r="L239" s="455"/>
      <c r="M239" s="208"/>
      <c r="N239" s="401"/>
      <c r="O239" s="401"/>
      <c r="P239" s="407"/>
      <c r="Q239" s="401"/>
      <c r="R239" s="401"/>
      <c r="S239" s="401"/>
      <c r="T239" s="401"/>
      <c r="U239" s="405"/>
      <c r="V239" s="401"/>
      <c r="W239" s="401"/>
      <c r="X239" s="401"/>
      <c r="Y239" s="401"/>
    </row>
    <row r="240" spans="1:25" s="592" customFormat="1" ht="15">
      <c r="A240" s="693" t="s">
        <v>34</v>
      </c>
      <c r="B240" s="693">
        <v>2.18</v>
      </c>
      <c r="C240" s="693" t="s">
        <v>29</v>
      </c>
      <c r="D240" s="693">
        <v>0.15</v>
      </c>
      <c r="E240" s="693" t="s">
        <v>29</v>
      </c>
      <c r="F240" s="693">
        <v>0.3</v>
      </c>
      <c r="G240" s="693" t="s">
        <v>29</v>
      </c>
      <c r="H240" s="694">
        <v>1</v>
      </c>
      <c r="I240" s="692" t="s">
        <v>30</v>
      </c>
      <c r="J240" s="693">
        <f t="shared" si="4"/>
        <v>0.1</v>
      </c>
      <c r="K240" s="698" t="s">
        <v>426</v>
      </c>
      <c r="L240" s="455"/>
      <c r="M240" s="208"/>
      <c r="N240" s="401"/>
      <c r="O240" s="401"/>
      <c r="P240" s="407"/>
      <c r="Q240" s="401"/>
      <c r="R240" s="401"/>
      <c r="S240" s="401"/>
      <c r="T240" s="401"/>
      <c r="U240" s="405"/>
      <c r="V240" s="401"/>
      <c r="W240" s="401"/>
      <c r="X240" s="401"/>
      <c r="Y240" s="401"/>
    </row>
    <row r="241" spans="1:25" s="592" customFormat="1" ht="15">
      <c r="A241" s="693" t="s">
        <v>34</v>
      </c>
      <c r="B241" s="693">
        <v>2.2</v>
      </c>
      <c r="C241" s="693" t="s">
        <v>29</v>
      </c>
      <c r="D241" s="693">
        <v>0.15</v>
      </c>
      <c r="E241" s="693" t="s">
        <v>29</v>
      </c>
      <c r="F241" s="693">
        <v>0.3</v>
      </c>
      <c r="G241" s="693" t="s">
        <v>29</v>
      </c>
      <c r="H241" s="694">
        <v>1</v>
      </c>
      <c r="I241" s="692" t="s">
        <v>30</v>
      </c>
      <c r="J241" s="693">
        <f t="shared" si="4"/>
        <v>0.1</v>
      </c>
      <c r="K241" s="698" t="s">
        <v>427</v>
      </c>
      <c r="L241" s="455"/>
      <c r="M241" s="208"/>
      <c r="N241" s="401"/>
      <c r="O241" s="401"/>
      <c r="P241" s="407"/>
      <c r="Q241" s="401"/>
      <c r="R241" s="401"/>
      <c r="S241" s="401"/>
      <c r="T241" s="401"/>
      <c r="U241" s="405"/>
      <c r="V241" s="401"/>
      <c r="W241" s="401"/>
      <c r="X241" s="401"/>
      <c r="Y241" s="401"/>
    </row>
    <row r="242" spans="1:25" s="592" customFormat="1" ht="15">
      <c r="A242" s="693" t="s">
        <v>34</v>
      </c>
      <c r="B242" s="693">
        <v>3.14</v>
      </c>
      <c r="C242" s="693" t="s">
        <v>29</v>
      </c>
      <c r="D242" s="693">
        <v>0.15</v>
      </c>
      <c r="E242" s="693" t="s">
        <v>29</v>
      </c>
      <c r="F242" s="693">
        <v>0.3</v>
      </c>
      <c r="G242" s="693" t="s">
        <v>29</v>
      </c>
      <c r="H242" s="694">
        <v>1</v>
      </c>
      <c r="I242" s="692" t="s">
        <v>30</v>
      </c>
      <c r="J242" s="693">
        <f t="shared" si="4"/>
        <v>0.14</v>
      </c>
      <c r="K242" s="698" t="s">
        <v>428</v>
      </c>
      <c r="L242" s="455"/>
      <c r="M242" s="208"/>
      <c r="N242" s="401"/>
      <c r="O242" s="401"/>
      <c r="P242" s="407"/>
      <c r="Q242" s="401"/>
      <c r="R242" s="401"/>
      <c r="S242" s="401"/>
      <c r="T242" s="401"/>
      <c r="U242" s="405"/>
      <c r="V242" s="401"/>
      <c r="W242" s="401"/>
      <c r="X242" s="401"/>
      <c r="Y242" s="401"/>
    </row>
    <row r="243" spans="1:25" s="592" customFormat="1" ht="15">
      <c r="A243" s="693" t="s">
        <v>34</v>
      </c>
      <c r="B243" s="693">
        <v>2.32</v>
      </c>
      <c r="C243" s="693" t="s">
        <v>29</v>
      </c>
      <c r="D243" s="693">
        <v>0.15</v>
      </c>
      <c r="E243" s="693" t="s">
        <v>29</v>
      </c>
      <c r="F243" s="693">
        <v>0.3</v>
      </c>
      <c r="G243" s="693" t="s">
        <v>29</v>
      </c>
      <c r="H243" s="694">
        <v>1</v>
      </c>
      <c r="I243" s="692" t="s">
        <v>30</v>
      </c>
      <c r="J243" s="693">
        <f t="shared" si="4"/>
        <v>0.1</v>
      </c>
      <c r="K243" s="698" t="s">
        <v>429</v>
      </c>
      <c r="L243" s="455"/>
      <c r="M243" s="208"/>
      <c r="N243" s="401"/>
      <c r="O243" s="401"/>
      <c r="P243" s="407"/>
      <c r="Q243" s="401"/>
      <c r="R243" s="401"/>
      <c r="S243" s="401"/>
      <c r="T243" s="401"/>
      <c r="U243" s="405"/>
      <c r="V243" s="401"/>
      <c r="W243" s="401"/>
      <c r="X243" s="401"/>
      <c r="Y243" s="401"/>
    </row>
    <row r="244" spans="1:25" s="592" customFormat="1" ht="15">
      <c r="A244" s="693" t="s">
        <v>34</v>
      </c>
      <c r="B244" s="693">
        <v>5.42</v>
      </c>
      <c r="C244" s="693" t="s">
        <v>29</v>
      </c>
      <c r="D244" s="693">
        <v>0.15</v>
      </c>
      <c r="E244" s="693" t="s">
        <v>29</v>
      </c>
      <c r="F244" s="693">
        <v>0.3</v>
      </c>
      <c r="G244" s="693" t="s">
        <v>29</v>
      </c>
      <c r="H244" s="694">
        <v>1</v>
      </c>
      <c r="I244" s="692" t="s">
        <v>30</v>
      </c>
      <c r="J244" s="693">
        <f t="shared" si="4"/>
        <v>0.24</v>
      </c>
      <c r="K244" s="698" t="s">
        <v>430</v>
      </c>
      <c r="L244" s="455"/>
      <c r="M244" s="208"/>
      <c r="N244" s="401"/>
      <c r="O244" s="401"/>
      <c r="P244" s="407"/>
      <c r="Q244" s="401"/>
      <c r="R244" s="401"/>
      <c r="S244" s="401"/>
      <c r="T244" s="401"/>
      <c r="U244" s="405"/>
      <c r="V244" s="401"/>
      <c r="W244" s="401"/>
      <c r="X244" s="401"/>
      <c r="Y244" s="401"/>
    </row>
    <row r="245" spans="1:25" s="592" customFormat="1" ht="15">
      <c r="A245" s="693"/>
      <c r="B245" s="693"/>
      <c r="C245" s="693"/>
      <c r="D245" s="693"/>
      <c r="E245" s="693"/>
      <c r="F245" s="693"/>
      <c r="G245" s="693"/>
      <c r="H245" s="694"/>
      <c r="I245" s="692"/>
      <c r="J245" s="693"/>
      <c r="K245" s="698"/>
      <c r="L245" s="455"/>
      <c r="M245" s="208"/>
      <c r="N245" s="401"/>
      <c r="O245" s="401"/>
      <c r="P245" s="407"/>
      <c r="Q245" s="401"/>
      <c r="R245" s="401"/>
      <c r="S245" s="401"/>
      <c r="T245" s="401"/>
      <c r="U245" s="405"/>
      <c r="V245" s="401"/>
      <c r="W245" s="401"/>
      <c r="X245" s="401"/>
      <c r="Y245" s="401"/>
    </row>
    <row r="246" spans="1:25" s="592" customFormat="1" ht="15">
      <c r="A246" s="693"/>
      <c r="B246" s="693"/>
      <c r="C246" s="693"/>
      <c r="D246" s="693"/>
      <c r="E246" s="693"/>
      <c r="F246" s="693"/>
      <c r="G246" s="693"/>
      <c r="H246" s="694"/>
      <c r="I246" s="692"/>
      <c r="J246" s="693"/>
      <c r="K246" s="698"/>
      <c r="L246" s="455"/>
      <c r="M246" s="208"/>
      <c r="N246" s="401"/>
      <c r="O246" s="401"/>
      <c r="P246" s="407"/>
      <c r="Q246" s="401"/>
      <c r="R246" s="401"/>
      <c r="S246" s="401"/>
      <c r="T246" s="401"/>
      <c r="U246" s="405"/>
      <c r="V246" s="401"/>
      <c r="W246" s="401"/>
      <c r="X246" s="401"/>
      <c r="Y246" s="401"/>
    </row>
    <row r="247" spans="1:25" s="592" customFormat="1" ht="15">
      <c r="A247" s="695" t="s">
        <v>34</v>
      </c>
      <c r="B247" s="696">
        <f>SUM(J223:J244)</f>
        <v>3.9700000000000006</v>
      </c>
      <c r="C247" s="697" t="s">
        <v>2</v>
      </c>
      <c r="D247" s="693"/>
      <c r="E247" s="693"/>
      <c r="F247" s="693"/>
      <c r="G247" s="693"/>
      <c r="H247" s="694"/>
      <c r="I247" s="692"/>
      <c r="J247" s="693"/>
      <c r="K247" s="698"/>
      <c r="L247" s="455"/>
      <c r="M247" s="208"/>
      <c r="N247" s="401"/>
      <c r="O247" s="401"/>
      <c r="P247" s="407"/>
      <c r="Q247" s="401"/>
      <c r="R247" s="401"/>
      <c r="S247" s="401"/>
      <c r="T247" s="401"/>
      <c r="U247" s="405"/>
      <c r="V247" s="401"/>
      <c r="W247" s="401"/>
      <c r="X247" s="401"/>
      <c r="Y247" s="401"/>
    </row>
    <row r="248" spans="1:25" s="592" customFormat="1" ht="15">
      <c r="A248" s="693"/>
      <c r="B248" s="693"/>
      <c r="C248" s="693"/>
      <c r="D248" s="693"/>
      <c r="E248" s="693"/>
      <c r="F248" s="694"/>
      <c r="G248" s="692"/>
      <c r="H248" s="692"/>
      <c r="I248" s="692"/>
      <c r="J248" s="692"/>
      <c r="K248" s="692"/>
      <c r="L248" s="455"/>
      <c r="M248" s="208"/>
      <c r="N248" s="401"/>
      <c r="O248" s="401"/>
      <c r="P248" s="407"/>
      <c r="Q248" s="401"/>
      <c r="R248" s="401"/>
      <c r="S248" s="401"/>
      <c r="T248" s="401"/>
      <c r="U248" s="405"/>
      <c r="V248" s="401"/>
      <c r="W248" s="401"/>
      <c r="X248" s="401"/>
      <c r="Y248" s="401"/>
    </row>
    <row r="249" spans="1:25" s="592" customFormat="1" ht="15">
      <c r="A249" s="699" t="s">
        <v>28</v>
      </c>
      <c r="B249" s="700">
        <f>B247</f>
        <v>3.9700000000000006</v>
      </c>
      <c r="C249" s="701" t="s">
        <v>2</v>
      </c>
      <c r="D249" s="692"/>
      <c r="E249" s="692"/>
      <c r="F249" s="692"/>
      <c r="G249" s="692"/>
      <c r="H249" s="692"/>
      <c r="I249" s="692"/>
      <c r="J249" s="692"/>
      <c r="K249" s="692"/>
      <c r="L249" s="455"/>
      <c r="M249" s="208"/>
      <c r="N249" s="401"/>
      <c r="O249" s="401"/>
      <c r="P249" s="407"/>
      <c r="Q249" s="401"/>
      <c r="R249" s="401"/>
      <c r="S249" s="401"/>
      <c r="T249" s="401"/>
      <c r="U249" s="405"/>
      <c r="V249" s="401"/>
      <c r="W249" s="401"/>
      <c r="X249" s="401"/>
      <c r="Y249" s="401"/>
    </row>
    <row r="250" spans="1:25" s="592" customFormat="1" ht="15">
      <c r="A250" s="454"/>
      <c r="B250" s="451"/>
      <c r="C250" s="452"/>
      <c r="D250" s="467"/>
      <c r="E250" s="451"/>
      <c r="F250" s="455"/>
      <c r="G250" s="455"/>
      <c r="H250" s="455"/>
      <c r="I250" s="455"/>
      <c r="J250" s="455"/>
      <c r="K250" s="455"/>
      <c r="L250" s="455"/>
      <c r="M250" s="208"/>
      <c r="N250" s="401"/>
      <c r="O250" s="401"/>
      <c r="P250" s="407"/>
      <c r="Q250" s="401"/>
      <c r="R250" s="401"/>
      <c r="S250" s="401"/>
      <c r="T250" s="401"/>
      <c r="U250" s="405"/>
      <c r="V250" s="401"/>
      <c r="W250" s="401"/>
      <c r="X250" s="401"/>
      <c r="Y250" s="401"/>
    </row>
    <row r="251" spans="1:25" s="592" customFormat="1" ht="15">
      <c r="A251" s="454"/>
      <c r="B251" s="451"/>
      <c r="C251" s="452"/>
      <c r="D251" s="467"/>
      <c r="E251" s="451"/>
      <c r="F251" s="455"/>
      <c r="G251" s="455"/>
      <c r="H251" s="455"/>
      <c r="I251" s="455"/>
      <c r="J251" s="455"/>
      <c r="K251" s="455"/>
      <c r="L251" s="455"/>
      <c r="M251" s="208"/>
      <c r="N251" s="401"/>
      <c r="O251" s="401"/>
      <c r="P251" s="407"/>
      <c r="Q251" s="401"/>
      <c r="R251" s="401"/>
      <c r="S251" s="401"/>
      <c r="T251" s="401"/>
      <c r="U251" s="405"/>
      <c r="V251" s="401"/>
      <c r="W251" s="401"/>
      <c r="X251" s="401"/>
      <c r="Y251" s="401"/>
    </row>
    <row r="252" spans="2:16" ht="21" customHeight="1">
      <c r="B252" s="201" t="str">
        <f>'ORÇAMENTO NÃO DESONERADO'!C91</f>
        <v>ALVENARIA</v>
      </c>
      <c r="N252" s="423"/>
      <c r="O252" s="423"/>
      <c r="P252" s="401"/>
    </row>
    <row r="253" spans="1:16" ht="36" customHeight="1">
      <c r="A253" s="466" t="str">
        <f>'ORÇAMENTO NÃO DESONERADO'!A92</f>
        <v>5.5.1</v>
      </c>
      <c r="B253" s="1145" t="str">
        <f>'ORÇAMENTO NÃO DESONERADO'!C92</f>
        <v>ALVENARIA DE VEDAÇÃO DE BLOCOS CERÂMICOS FURADOS NA HORIZONTAL DE 9X19X19CM (ESPESSURA 9CM) DE PAREDES COM ÁREA LÍQUIDA MAIOR OU IGUAL A 6M²</v>
      </c>
      <c r="C253" s="1145"/>
      <c r="D253" s="1145"/>
      <c r="E253" s="1145"/>
      <c r="F253" s="1145"/>
      <c r="G253" s="1145"/>
      <c r="H253" s="1145"/>
      <c r="I253" s="1145"/>
      <c r="J253" s="1145"/>
      <c r="K253" s="1145"/>
      <c r="L253" s="1145"/>
      <c r="M253" s="1145"/>
      <c r="N253" s="1145"/>
      <c r="O253" s="423"/>
      <c r="P253" s="401"/>
    </row>
    <row r="254" spans="14:16" ht="21" customHeight="1" thickBot="1">
      <c r="N254" s="423"/>
      <c r="O254" s="423"/>
      <c r="P254" s="401"/>
    </row>
    <row r="255" spans="2:16" ht="21" customHeight="1" thickBot="1">
      <c r="B255" s="1165" t="s">
        <v>655</v>
      </c>
      <c r="C255" s="1166"/>
      <c r="D255" s="1166"/>
      <c r="E255" s="1167"/>
      <c r="F255" s="614"/>
      <c r="G255" s="1168" t="s">
        <v>325</v>
      </c>
      <c r="H255" s="1166"/>
      <c r="I255" s="1166"/>
      <c r="J255" s="1166"/>
      <c r="K255" s="1167"/>
      <c r="L255" s="401"/>
      <c r="M255" s="401"/>
      <c r="N255" s="423"/>
      <c r="O255" s="423"/>
      <c r="P255" s="401"/>
    </row>
    <row r="256" spans="2:16" ht="21" customHeight="1">
      <c r="B256" s="615" t="s">
        <v>13</v>
      </c>
      <c r="C256" s="616" t="s">
        <v>326</v>
      </c>
      <c r="D256" s="616" t="s">
        <v>103</v>
      </c>
      <c r="E256" s="617" t="s">
        <v>327</v>
      </c>
      <c r="F256" s="614"/>
      <c r="G256" s="615" t="s">
        <v>13</v>
      </c>
      <c r="H256" s="616" t="s">
        <v>326</v>
      </c>
      <c r="I256" s="616" t="s">
        <v>103</v>
      </c>
      <c r="J256" s="616" t="s">
        <v>328</v>
      </c>
      <c r="K256" s="617" t="s">
        <v>327</v>
      </c>
      <c r="L256" s="401"/>
      <c r="M256" s="401"/>
      <c r="N256" s="423"/>
      <c r="O256" s="423"/>
      <c r="P256" s="401"/>
    </row>
    <row r="257" spans="2:16" ht="21" customHeight="1">
      <c r="B257" s="883">
        <v>1</v>
      </c>
      <c r="C257" s="618">
        <v>11.4</v>
      </c>
      <c r="D257" s="618">
        <v>3.1</v>
      </c>
      <c r="E257" s="619">
        <f>SUM(C257*D257)</f>
        <v>35.34</v>
      </c>
      <c r="F257" s="614"/>
      <c r="G257" s="883">
        <v>1</v>
      </c>
      <c r="H257" s="618">
        <f>2.6+0.6+2.1+3.6+0.6+4.1</f>
        <v>13.6</v>
      </c>
      <c r="I257" s="618">
        <v>0.6</v>
      </c>
      <c r="J257" s="618">
        <v>4</v>
      </c>
      <c r="K257" s="619">
        <f>SUM(H257*I257*J257)</f>
        <v>32.64</v>
      </c>
      <c r="L257" s="401"/>
      <c r="M257" s="401"/>
      <c r="N257" s="423"/>
      <c r="O257" s="423"/>
      <c r="P257" s="401"/>
    </row>
    <row r="258" spans="2:16" ht="21" customHeight="1">
      <c r="B258" s="883">
        <v>2</v>
      </c>
      <c r="C258" s="618">
        <v>5.5</v>
      </c>
      <c r="D258" s="764">
        <v>3.1</v>
      </c>
      <c r="E258" s="619">
        <f aca="true" t="shared" si="5" ref="E258:E259">SUM(C258*D258)</f>
        <v>17.05</v>
      </c>
      <c r="F258" s="614"/>
      <c r="G258" s="883">
        <v>2</v>
      </c>
      <c r="H258" s="618">
        <f>2.5+0.6+2.5+0.6</f>
        <v>6.199999999999999</v>
      </c>
      <c r="I258" s="618">
        <v>0.6</v>
      </c>
      <c r="J258" s="618">
        <v>4</v>
      </c>
      <c r="K258" s="619">
        <f>SUM(H258*I258*J258)</f>
        <v>14.879999999999997</v>
      </c>
      <c r="L258" s="401"/>
      <c r="M258" s="401"/>
      <c r="N258" s="401"/>
      <c r="O258" s="401"/>
      <c r="P258" s="401"/>
    </row>
    <row r="259" spans="2:13" ht="21" customHeight="1" thickBot="1">
      <c r="B259" s="886">
        <v>3</v>
      </c>
      <c r="C259" s="620">
        <v>1.1</v>
      </c>
      <c r="D259" s="764">
        <v>3.1</v>
      </c>
      <c r="E259" s="621">
        <f t="shared" si="5"/>
        <v>3.4100000000000006</v>
      </c>
      <c r="F259" s="614"/>
      <c r="G259" s="886">
        <v>3</v>
      </c>
      <c r="H259" s="620">
        <f>1.5+1.65</f>
        <v>3.15</v>
      </c>
      <c r="I259" s="620">
        <v>0.4</v>
      </c>
      <c r="J259" s="620">
        <v>2</v>
      </c>
      <c r="K259" s="621">
        <f>SUM(H259*I259*J259)</f>
        <v>2.52</v>
      </c>
      <c r="L259" s="401"/>
      <c r="M259" s="401"/>
    </row>
    <row r="260" spans="2:13" ht="21" customHeight="1" thickBot="1">
      <c r="B260" s="1169" t="s">
        <v>19</v>
      </c>
      <c r="C260" s="1170"/>
      <c r="D260" s="1171"/>
      <c r="E260" s="622">
        <f>SUM(E257:E259)</f>
        <v>55.800000000000004</v>
      </c>
      <c r="F260" s="614"/>
      <c r="G260" s="1205" t="s">
        <v>19</v>
      </c>
      <c r="H260" s="1206"/>
      <c r="I260" s="1206"/>
      <c r="J260" s="1207"/>
      <c r="K260" s="881">
        <f>SUM(K257:K259)</f>
        <v>50.04</v>
      </c>
      <c r="L260" s="401"/>
      <c r="M260" s="401"/>
    </row>
    <row r="261" spans="2:14" ht="21" customHeight="1">
      <c r="B261" s="1178" t="s">
        <v>329</v>
      </c>
      <c r="C261" s="1179"/>
      <c r="D261" s="1179"/>
      <c r="E261" s="1180"/>
      <c r="F261" s="614"/>
      <c r="G261" s="1172" t="s">
        <v>330</v>
      </c>
      <c r="H261" s="1173"/>
      <c r="I261" s="1173"/>
      <c r="J261" s="1174"/>
      <c r="K261" s="614"/>
      <c r="L261" s="401"/>
      <c r="M261" s="401"/>
      <c r="N261" s="596"/>
    </row>
    <row r="262" spans="2:13" ht="21" customHeight="1">
      <c r="B262" s="623" t="s">
        <v>13</v>
      </c>
      <c r="C262" s="624" t="s">
        <v>326</v>
      </c>
      <c r="D262" s="624" t="s">
        <v>103</v>
      </c>
      <c r="E262" s="612" t="s">
        <v>327</v>
      </c>
      <c r="F262" s="614"/>
      <c r="G262" s="623" t="s">
        <v>13</v>
      </c>
      <c r="H262" s="624" t="s">
        <v>331</v>
      </c>
      <c r="I262" s="624" t="s">
        <v>103</v>
      </c>
      <c r="J262" s="612" t="s">
        <v>327</v>
      </c>
      <c r="K262" s="614"/>
      <c r="L262" s="401"/>
      <c r="M262" s="401"/>
    </row>
    <row r="263" spans="2:13" ht="21" customHeight="1">
      <c r="B263" s="884">
        <v>1</v>
      </c>
      <c r="C263" s="625">
        <v>6.2</v>
      </c>
      <c r="D263" s="765">
        <v>3.1</v>
      </c>
      <c r="E263" s="610">
        <f>SUM(C263*D263)</f>
        <v>19.220000000000002</v>
      </c>
      <c r="F263" s="614"/>
      <c r="G263" s="883">
        <v>1</v>
      </c>
      <c r="H263" s="618">
        <v>0.8</v>
      </c>
      <c r="I263" s="618">
        <v>2.15</v>
      </c>
      <c r="J263" s="619">
        <f>SUM(H263*I263)</f>
        <v>1.72</v>
      </c>
      <c r="K263" s="614"/>
      <c r="L263" s="401"/>
      <c r="M263" s="401"/>
    </row>
    <row r="264" spans="2:13" ht="21" customHeight="1">
      <c r="B264" s="884">
        <v>2</v>
      </c>
      <c r="C264" s="625">
        <v>3.09</v>
      </c>
      <c r="D264" s="765">
        <v>3.1</v>
      </c>
      <c r="E264" s="610">
        <f aca="true" t="shared" si="6" ref="E264:E267">SUM(C264*D264)</f>
        <v>9.579</v>
      </c>
      <c r="F264" s="614"/>
      <c r="G264" s="883">
        <v>2</v>
      </c>
      <c r="H264" s="618">
        <v>0.8</v>
      </c>
      <c r="I264" s="618">
        <v>2.15</v>
      </c>
      <c r="J264" s="619">
        <f aca="true" t="shared" si="7" ref="J264:J268">SUM(H264*I264)</f>
        <v>1.72</v>
      </c>
      <c r="K264" s="614"/>
      <c r="L264" s="426"/>
      <c r="M264" s="426"/>
    </row>
    <row r="265" spans="2:13" ht="21" customHeight="1">
      <c r="B265" s="884">
        <v>3</v>
      </c>
      <c r="C265" s="625">
        <v>3.09</v>
      </c>
      <c r="D265" s="765">
        <v>3.1</v>
      </c>
      <c r="E265" s="610">
        <f t="shared" si="6"/>
        <v>9.579</v>
      </c>
      <c r="F265" s="614"/>
      <c r="G265" s="883">
        <v>3</v>
      </c>
      <c r="H265" s="618">
        <v>0.9</v>
      </c>
      <c r="I265" s="618">
        <v>2.15</v>
      </c>
      <c r="J265" s="619">
        <f t="shared" si="7"/>
        <v>1.935</v>
      </c>
      <c r="K265" s="614"/>
      <c r="L265" s="426"/>
      <c r="M265" s="426"/>
    </row>
    <row r="266" spans="2:13" ht="15">
      <c r="B266" s="884">
        <v>4</v>
      </c>
      <c r="C266" s="625">
        <v>3.09</v>
      </c>
      <c r="D266" s="765">
        <v>3.1</v>
      </c>
      <c r="E266" s="610">
        <f t="shared" si="6"/>
        <v>9.579</v>
      </c>
      <c r="F266" s="614"/>
      <c r="G266" s="883">
        <v>4</v>
      </c>
      <c r="H266" s="618">
        <v>0.9</v>
      </c>
      <c r="I266" s="618">
        <v>2.15</v>
      </c>
      <c r="J266" s="619">
        <f t="shared" si="7"/>
        <v>1.935</v>
      </c>
      <c r="K266" s="614"/>
      <c r="L266" s="426"/>
      <c r="M266" s="426"/>
    </row>
    <row r="267" spans="2:13" ht="15" thickBot="1">
      <c r="B267" s="885">
        <v>5</v>
      </c>
      <c r="C267" s="626">
        <v>1.8</v>
      </c>
      <c r="D267" s="765">
        <v>3.1</v>
      </c>
      <c r="E267" s="627">
        <f t="shared" si="6"/>
        <v>5.58</v>
      </c>
      <c r="F267" s="614"/>
      <c r="G267" s="883">
        <v>5</v>
      </c>
      <c r="H267" s="618">
        <v>1</v>
      </c>
      <c r="I267" s="618">
        <v>2.15</v>
      </c>
      <c r="J267" s="619">
        <f t="shared" si="7"/>
        <v>2.15</v>
      </c>
      <c r="K267" s="614"/>
      <c r="L267" s="423"/>
      <c r="M267" s="423"/>
    </row>
    <row r="268" spans="2:16" ht="30" customHeight="1" thickBot="1">
      <c r="B268" s="1169" t="s">
        <v>19</v>
      </c>
      <c r="C268" s="1170"/>
      <c r="D268" s="1171"/>
      <c r="E268" s="611">
        <f>SUM(E263:E267)</f>
        <v>53.537</v>
      </c>
      <c r="F268" s="614"/>
      <c r="G268" s="883">
        <v>6</v>
      </c>
      <c r="H268" s="618">
        <v>1.5</v>
      </c>
      <c r="I268" s="618">
        <v>2.8</v>
      </c>
      <c r="J268" s="619">
        <f t="shared" si="7"/>
        <v>4.199999999999999</v>
      </c>
      <c r="K268" s="614"/>
      <c r="L268" s="423"/>
      <c r="M268" s="423"/>
      <c r="N268" s="600"/>
      <c r="O268" s="430"/>
      <c r="P268" s="401"/>
    </row>
    <row r="269" spans="2:16" ht="15" thickBot="1">
      <c r="B269" s="1172" t="s">
        <v>332</v>
      </c>
      <c r="C269" s="1173"/>
      <c r="D269" s="1173"/>
      <c r="E269" s="1174"/>
      <c r="F269" s="614"/>
      <c r="G269" s="1175" t="s">
        <v>19</v>
      </c>
      <c r="H269" s="1176"/>
      <c r="I269" s="1177"/>
      <c r="J269" s="621">
        <f>SUM(J263:J268)</f>
        <v>13.66</v>
      </c>
      <c r="K269" s="614"/>
      <c r="L269" s="423"/>
      <c r="M269" s="423"/>
      <c r="N269" s="401"/>
      <c r="O269" s="401"/>
      <c r="P269" s="401"/>
    </row>
    <row r="270" spans="2:16" ht="12.75">
      <c r="B270" s="623" t="s">
        <v>13</v>
      </c>
      <c r="C270" s="624" t="s">
        <v>326</v>
      </c>
      <c r="D270" s="624" t="s">
        <v>103</v>
      </c>
      <c r="E270" s="612" t="s">
        <v>327</v>
      </c>
      <c r="F270" s="614"/>
      <c r="G270" s="1202" t="s">
        <v>333</v>
      </c>
      <c r="H270" s="1203"/>
      <c r="I270" s="1203"/>
      <c r="J270" s="1204"/>
      <c r="K270" s="614"/>
      <c r="L270" s="423"/>
      <c r="M270" s="423"/>
      <c r="N270" s="401"/>
      <c r="O270" s="401"/>
      <c r="P270" s="401"/>
    </row>
    <row r="271" spans="1:16" ht="15">
      <c r="A271" s="407"/>
      <c r="B271" s="883">
        <v>1</v>
      </c>
      <c r="C271" s="629">
        <v>5</v>
      </c>
      <c r="D271" s="764">
        <v>3.1</v>
      </c>
      <c r="E271" s="612">
        <f>SUM(C271*D271)</f>
        <v>15.5</v>
      </c>
      <c r="F271" s="614"/>
      <c r="G271" s="623" t="s">
        <v>13</v>
      </c>
      <c r="H271" s="624" t="s">
        <v>331</v>
      </c>
      <c r="I271" s="624" t="s">
        <v>103</v>
      </c>
      <c r="J271" s="630" t="s">
        <v>327</v>
      </c>
      <c r="K271" s="614"/>
      <c r="L271" s="423"/>
      <c r="M271" s="423"/>
      <c r="N271" s="401"/>
      <c r="O271" s="401"/>
      <c r="P271" s="401"/>
    </row>
    <row r="272" spans="1:16" ht="15">
      <c r="A272" s="407"/>
      <c r="B272" s="883">
        <v>2</v>
      </c>
      <c r="C272" s="629">
        <v>3.35</v>
      </c>
      <c r="D272" s="764">
        <v>3.1</v>
      </c>
      <c r="E272" s="612">
        <f aca="true" t="shared" si="8" ref="E272:E280">SUM(C272*D272)</f>
        <v>10.385</v>
      </c>
      <c r="F272" s="614"/>
      <c r="G272" s="882">
        <v>1</v>
      </c>
      <c r="H272" s="624">
        <v>1.2</v>
      </c>
      <c r="I272" s="624">
        <v>2.5</v>
      </c>
      <c r="J272" s="630">
        <f aca="true" t="shared" si="9" ref="J272">SUM(H272*I272)</f>
        <v>3</v>
      </c>
      <c r="K272" s="614"/>
      <c r="L272" s="423"/>
      <c r="M272" s="423"/>
      <c r="N272" s="401"/>
      <c r="O272" s="401"/>
      <c r="P272" s="401"/>
    </row>
    <row r="273" spans="1:16" ht="15">
      <c r="A273" s="407"/>
      <c r="B273" s="883">
        <v>3</v>
      </c>
      <c r="C273" s="629">
        <v>2.22</v>
      </c>
      <c r="D273" s="764">
        <v>3.1</v>
      </c>
      <c r="E273" s="612">
        <f t="shared" si="8"/>
        <v>6.882000000000001</v>
      </c>
      <c r="F273" s="614"/>
      <c r="G273" s="882">
        <v>2</v>
      </c>
      <c r="H273" s="875">
        <v>0.6</v>
      </c>
      <c r="I273" s="875">
        <v>2.5</v>
      </c>
      <c r="J273" s="630">
        <f aca="true" t="shared" si="10" ref="J273">SUM(H273*I273)</f>
        <v>1.5</v>
      </c>
      <c r="K273" s="614"/>
      <c r="L273" s="423"/>
      <c r="M273" s="423"/>
      <c r="N273" s="401"/>
      <c r="O273" s="401"/>
      <c r="P273" s="401"/>
    </row>
    <row r="274" spans="1:16" ht="15">
      <c r="A274" s="407"/>
      <c r="B274" s="883">
        <v>4</v>
      </c>
      <c r="C274" s="629">
        <v>2.41</v>
      </c>
      <c r="D274" s="764">
        <v>3.1</v>
      </c>
      <c r="E274" s="612">
        <f t="shared" si="8"/>
        <v>7.471000000000001</v>
      </c>
      <c r="F274" s="614"/>
      <c r="G274" s="882">
        <v>3</v>
      </c>
      <c r="H274" s="624">
        <v>0.8</v>
      </c>
      <c r="I274" s="624">
        <v>0.7</v>
      </c>
      <c r="J274" s="630">
        <f>SUM(H274*I274)</f>
        <v>0.5599999999999999</v>
      </c>
      <c r="K274" s="614"/>
      <c r="L274" s="423"/>
      <c r="M274" s="423"/>
      <c r="N274" s="401"/>
      <c r="O274" s="401"/>
      <c r="P274" s="401"/>
    </row>
    <row r="275" spans="1:16" ht="33" customHeight="1">
      <c r="A275" s="407"/>
      <c r="B275" s="883">
        <v>5</v>
      </c>
      <c r="C275" s="629">
        <v>3.09</v>
      </c>
      <c r="D275" s="764">
        <v>3.1</v>
      </c>
      <c r="E275" s="612">
        <f t="shared" si="8"/>
        <v>9.579</v>
      </c>
      <c r="F275" s="614"/>
      <c r="G275" s="882">
        <v>4</v>
      </c>
      <c r="H275" s="624">
        <v>0.8</v>
      </c>
      <c r="I275" s="624">
        <v>0.7</v>
      </c>
      <c r="J275" s="630">
        <f>SUM(H275*I275)</f>
        <v>0.5599999999999999</v>
      </c>
      <c r="K275" s="614"/>
      <c r="L275" s="423"/>
      <c r="M275" s="423"/>
      <c r="N275" s="600"/>
      <c r="O275" s="430"/>
      <c r="P275" s="430"/>
    </row>
    <row r="276" spans="1:16" ht="15" customHeight="1">
      <c r="A276" s="407"/>
      <c r="B276" s="883">
        <v>6</v>
      </c>
      <c r="C276" s="629">
        <v>6.2</v>
      </c>
      <c r="D276" s="764">
        <v>3.1</v>
      </c>
      <c r="E276" s="612">
        <f t="shared" si="8"/>
        <v>19.220000000000002</v>
      </c>
      <c r="F276" s="614"/>
      <c r="G276" s="882">
        <v>5</v>
      </c>
      <c r="H276" s="624">
        <v>0.8</v>
      </c>
      <c r="I276" s="624">
        <v>0.7</v>
      </c>
      <c r="J276" s="630">
        <f>SUM(H276*I276)</f>
        <v>0.5599999999999999</v>
      </c>
      <c r="K276" s="614"/>
      <c r="L276" s="423"/>
      <c r="M276" s="423"/>
      <c r="N276" s="430"/>
      <c r="O276" s="430"/>
      <c r="P276" s="430"/>
    </row>
    <row r="277" spans="1:16" ht="15">
      <c r="A277" s="407"/>
      <c r="B277" s="883">
        <v>7</v>
      </c>
      <c r="C277" s="629">
        <v>3.35</v>
      </c>
      <c r="D277" s="764">
        <v>3.1</v>
      </c>
      <c r="E277" s="612">
        <f t="shared" si="8"/>
        <v>10.385</v>
      </c>
      <c r="F277" s="614"/>
      <c r="G277" s="882">
        <v>6</v>
      </c>
      <c r="H277" s="624">
        <v>0.8</v>
      </c>
      <c r="I277" s="624">
        <v>0.7</v>
      </c>
      <c r="J277" s="630">
        <f>SUM(H277*I277)</f>
        <v>0.5599999999999999</v>
      </c>
      <c r="K277" s="614"/>
      <c r="L277" s="423"/>
      <c r="M277" s="423"/>
      <c r="N277" s="401"/>
      <c r="O277" s="401"/>
      <c r="P277" s="401"/>
    </row>
    <row r="278" spans="1:16" ht="15">
      <c r="A278" s="407"/>
      <c r="B278" s="883">
        <v>8</v>
      </c>
      <c r="C278" s="629">
        <v>2.19</v>
      </c>
      <c r="D278" s="764">
        <v>3.1</v>
      </c>
      <c r="E278" s="612">
        <f t="shared" si="8"/>
        <v>6.789</v>
      </c>
      <c r="F278" s="614"/>
      <c r="G278" s="882">
        <v>7</v>
      </c>
      <c r="H278" s="624">
        <v>0.8</v>
      </c>
      <c r="I278" s="624">
        <v>0.7</v>
      </c>
      <c r="J278" s="630">
        <f>SUM(H278*I278)</f>
        <v>0.5599999999999999</v>
      </c>
      <c r="K278" s="614"/>
      <c r="L278" s="423"/>
      <c r="M278" s="423"/>
      <c r="N278" s="401"/>
      <c r="O278" s="401"/>
      <c r="P278" s="401"/>
    </row>
    <row r="279" spans="1:16" ht="15">
      <c r="A279" s="407"/>
      <c r="B279" s="883">
        <v>9</v>
      </c>
      <c r="C279" s="629">
        <v>2.41</v>
      </c>
      <c r="D279" s="764">
        <v>3.1</v>
      </c>
      <c r="E279" s="612">
        <f t="shared" si="8"/>
        <v>7.471000000000001</v>
      </c>
      <c r="F279" s="614"/>
      <c r="G279" s="882">
        <v>8</v>
      </c>
      <c r="H279" s="875">
        <v>0.8</v>
      </c>
      <c r="I279" s="875">
        <v>0.7</v>
      </c>
      <c r="J279" s="630">
        <f aca="true" t="shared" si="11" ref="J279">SUM(H279*I279)</f>
        <v>0.5599999999999999</v>
      </c>
      <c r="K279" s="614"/>
      <c r="L279" s="423"/>
      <c r="M279" s="423"/>
      <c r="N279" s="401"/>
      <c r="O279" s="401"/>
      <c r="P279" s="401"/>
    </row>
    <row r="280" spans="1:16" ht="15.75" thickBot="1">
      <c r="A280" s="407"/>
      <c r="B280" s="886">
        <v>10</v>
      </c>
      <c r="C280" s="820">
        <v>3.75</v>
      </c>
      <c r="D280" s="620">
        <v>3.1</v>
      </c>
      <c r="E280" s="613">
        <f t="shared" si="8"/>
        <v>11.625</v>
      </c>
      <c r="F280" s="614"/>
      <c r="G280" s="1198" t="s">
        <v>19</v>
      </c>
      <c r="H280" s="1199"/>
      <c r="I280" s="1200"/>
      <c r="J280" s="631">
        <f>SUM(J272:J279)</f>
        <v>7.859999999999998</v>
      </c>
      <c r="K280" s="614"/>
      <c r="L280" s="423"/>
      <c r="M280" s="423"/>
      <c r="N280" s="401"/>
      <c r="O280" s="401"/>
      <c r="P280" s="401"/>
    </row>
    <row r="281" spans="1:16" ht="15.75" thickBot="1">
      <c r="A281" s="407"/>
      <c r="B281" s="1169" t="s">
        <v>19</v>
      </c>
      <c r="C281" s="1170"/>
      <c r="D281" s="1171"/>
      <c r="E281" s="622">
        <f>SUM(E271:E280)</f>
        <v>105.30700000000002</v>
      </c>
      <c r="F281" s="614"/>
      <c r="G281" s="614"/>
      <c r="H281" s="614"/>
      <c r="I281" s="614"/>
      <c r="J281" s="614"/>
      <c r="K281" s="614"/>
      <c r="L281" s="423"/>
      <c r="M281" s="423"/>
      <c r="N281" s="401"/>
      <c r="O281" s="401"/>
      <c r="P281" s="401"/>
    </row>
    <row r="282" spans="1:16" ht="15">
      <c r="A282" s="407"/>
      <c r="B282" s="614"/>
      <c r="C282" s="614"/>
      <c r="D282" s="614"/>
      <c r="E282" s="614"/>
      <c r="F282" s="614"/>
      <c r="G282" s="614"/>
      <c r="H282" s="614"/>
      <c r="I282" s="614"/>
      <c r="J282" s="614"/>
      <c r="K282" s="614"/>
      <c r="L282" s="423"/>
      <c r="M282" s="423"/>
      <c r="N282" s="430"/>
      <c r="O282" s="430"/>
      <c r="P282" s="430"/>
    </row>
    <row r="283" spans="1:16" ht="15" customHeight="1" thickBot="1">
      <c r="A283" s="407"/>
      <c r="B283" s="614"/>
      <c r="C283" s="614"/>
      <c r="D283" s="614"/>
      <c r="E283" s="614"/>
      <c r="F283" s="614"/>
      <c r="G283" s="614"/>
      <c r="H283" s="614"/>
      <c r="I283" s="614"/>
      <c r="J283" s="614"/>
      <c r="K283" s="614"/>
      <c r="L283" s="423"/>
      <c r="M283" s="423"/>
      <c r="N283" s="430"/>
      <c r="O283" s="430"/>
      <c r="P283" s="430"/>
    </row>
    <row r="284" spans="1:16" ht="15">
      <c r="A284" s="407"/>
      <c r="B284" s="1172" t="s">
        <v>334</v>
      </c>
      <c r="C284" s="1173"/>
      <c r="D284" s="1173"/>
      <c r="E284" s="1174"/>
      <c r="F284" s="614"/>
      <c r="G284" s="614"/>
      <c r="H284" s="614"/>
      <c r="I284" s="614"/>
      <c r="J284" s="614"/>
      <c r="K284" s="614"/>
      <c r="L284" s="423"/>
      <c r="M284" s="423"/>
      <c r="N284" s="401"/>
      <c r="O284" s="401"/>
      <c r="P284" s="401"/>
    </row>
    <row r="285" spans="1:16" ht="15">
      <c r="A285" s="407"/>
      <c r="B285" s="628"/>
      <c r="C285" s="1201" t="s">
        <v>208</v>
      </c>
      <c r="D285" s="1201"/>
      <c r="E285" s="612">
        <f>E281+E268+E260+K260</f>
        <v>264.684</v>
      </c>
      <c r="F285" s="614"/>
      <c r="G285" s="614"/>
      <c r="H285" s="614"/>
      <c r="I285" s="614"/>
      <c r="J285" s="614"/>
      <c r="K285" s="614"/>
      <c r="L285" s="423"/>
      <c r="M285" s="423"/>
      <c r="N285" s="401"/>
      <c r="O285" s="401"/>
      <c r="P285" s="401"/>
    </row>
    <row r="286" spans="1:16" ht="15">
      <c r="A286" s="407"/>
      <c r="B286" s="628"/>
      <c r="C286" s="1201" t="s">
        <v>335</v>
      </c>
      <c r="D286" s="1201"/>
      <c r="E286" s="612">
        <f>J269+J280</f>
        <v>21.519999999999996</v>
      </c>
      <c r="F286" s="614"/>
      <c r="G286" s="614"/>
      <c r="H286" s="614"/>
      <c r="I286" s="614"/>
      <c r="J286" s="614"/>
      <c r="K286" s="614"/>
      <c r="L286" s="423"/>
      <c r="M286" s="423"/>
      <c r="N286" s="401"/>
      <c r="O286" s="401"/>
      <c r="P286" s="401"/>
    </row>
    <row r="287" spans="1:16" ht="15.75" thickBot="1">
      <c r="A287" s="407"/>
      <c r="B287" s="1162" t="s">
        <v>19</v>
      </c>
      <c r="C287" s="1163"/>
      <c r="D287" s="1163"/>
      <c r="E287" s="613">
        <f>SUM(E285-E286)</f>
        <v>243.16400000000004</v>
      </c>
      <c r="F287" s="614"/>
      <c r="G287" s="614"/>
      <c r="H287" s="614"/>
      <c r="I287" s="614"/>
      <c r="J287" s="614"/>
      <c r="K287" s="614"/>
      <c r="L287" s="423"/>
      <c r="M287" s="423"/>
      <c r="N287" s="401"/>
      <c r="O287" s="401"/>
      <c r="P287" s="401"/>
    </row>
    <row r="288" spans="1:16" ht="15">
      <c r="A288" s="407"/>
      <c r="B288" s="401"/>
      <c r="C288" s="401"/>
      <c r="D288" s="401"/>
      <c r="E288" s="401"/>
      <c r="F288" s="401"/>
      <c r="G288" s="209"/>
      <c r="H288" s="432"/>
      <c r="I288" s="432"/>
      <c r="J288" s="432"/>
      <c r="K288" s="423"/>
      <c r="L288" s="423"/>
      <c r="M288" s="423"/>
      <c r="N288" s="401"/>
      <c r="O288" s="401"/>
      <c r="P288" s="401"/>
    </row>
    <row r="289" spans="1:13" ht="15">
      <c r="A289" s="407"/>
      <c r="B289" s="406" t="s">
        <v>115</v>
      </c>
      <c r="C289" s="408">
        <f>E287</f>
        <v>243.16400000000004</v>
      </c>
      <c r="D289" s="425" t="s">
        <v>3</v>
      </c>
      <c r="E289" s="402"/>
      <c r="F289" s="401"/>
      <c r="G289" s="401"/>
      <c r="H289" s="432"/>
      <c r="I289" s="432"/>
      <c r="J289" s="432"/>
      <c r="K289" s="401"/>
      <c r="L289" s="401"/>
      <c r="M289" s="401"/>
    </row>
    <row r="292" spans="1:2" ht="15">
      <c r="A292" s="45" t="str">
        <f>'ORÇAMENTO NÃO DESONERADO'!A94</f>
        <v>5.6</v>
      </c>
      <c r="B292" s="201" t="str">
        <f>'ORÇAMENTO NÃO DESONERADO'!C94</f>
        <v>LAJE</v>
      </c>
    </row>
    <row r="293" spans="1:14" ht="15" customHeight="1">
      <c r="A293" s="45" t="str">
        <f>'ORÇAMENTO NÃO DESONERADO'!A95</f>
        <v>5.6.1</v>
      </c>
      <c r="B293" s="1145" t="str">
        <f>'ORÇAMENTO NÃO DESONERADO'!C95</f>
        <v xml:space="preserve"> LAJE PRE-MOLD BETA 16 P/3,5KN/M2 VAO 5,2M INCL VIGOTAS TIJOLOS ARMADURA NEGATIVA CAPEAMENTO 3CM CONCRETO 15MPA ESCORAMENTO MATERIAL E MAO DE OBRA.</v>
      </c>
      <c r="C293" s="1145"/>
      <c r="D293" s="1145"/>
      <c r="E293" s="1145"/>
      <c r="F293" s="1145"/>
      <c r="G293" s="1145"/>
      <c r="H293" s="1145"/>
      <c r="I293" s="1145"/>
      <c r="J293" s="1145"/>
      <c r="K293" s="1145"/>
      <c r="L293" s="1145"/>
      <c r="M293" s="1145"/>
      <c r="N293" s="1145"/>
    </row>
    <row r="294" spans="2:14" ht="14.25" customHeight="1">
      <c r="B294" s="1145"/>
      <c r="C294" s="1145"/>
      <c r="D294" s="1145"/>
      <c r="E294" s="1145"/>
      <c r="F294" s="1145"/>
      <c r="G294" s="1145"/>
      <c r="H294" s="1145"/>
      <c r="I294" s="1145"/>
      <c r="J294" s="1145"/>
      <c r="K294" s="1145"/>
      <c r="L294" s="1145"/>
      <c r="M294" s="1145"/>
      <c r="N294" s="1145"/>
    </row>
    <row r="297" spans="1:5" ht="12.75">
      <c r="A297" s="595" t="s">
        <v>452</v>
      </c>
      <c r="B297" s="629">
        <v>5.155</v>
      </c>
      <c r="C297" s="726" t="s">
        <v>186</v>
      </c>
      <c r="D297" s="629">
        <v>2.8</v>
      </c>
      <c r="E297" s="632">
        <f>SUM(B297*D297)</f>
        <v>14.434</v>
      </c>
    </row>
    <row r="298" spans="1:5" ht="12.75">
      <c r="A298" s="595" t="s">
        <v>452</v>
      </c>
      <c r="B298" s="629">
        <v>6.2</v>
      </c>
      <c r="C298" s="726" t="s">
        <v>186</v>
      </c>
      <c r="D298" s="629">
        <v>3.1</v>
      </c>
      <c r="E298" s="632">
        <f>SUM(B298*D298)</f>
        <v>19.220000000000002</v>
      </c>
    </row>
    <row r="299" spans="2:5" ht="12.75">
      <c r="B299" s="1161" t="s">
        <v>19</v>
      </c>
      <c r="C299" s="1161"/>
      <c r="D299" s="1161"/>
      <c r="E299" s="629">
        <f>SUM(E289:E298)</f>
        <v>33.654</v>
      </c>
    </row>
    <row r="302" spans="2:4" ht="12.75">
      <c r="B302" s="406" t="s">
        <v>115</v>
      </c>
      <c r="C302" s="408">
        <f>E299</f>
        <v>33.654</v>
      </c>
      <c r="D302" s="425" t="s">
        <v>3</v>
      </c>
    </row>
    <row r="307" spans="1:16" ht="15" customHeight="1">
      <c r="A307" s="45" t="str">
        <f>'ORÇAMENTO NÃO DESONERADO'!A97</f>
        <v>5.7</v>
      </c>
      <c r="B307" s="201" t="str">
        <f>'ORÇAMENTO NÃO DESONERADO'!C97</f>
        <v>COBERTURA</v>
      </c>
      <c r="N307" s="600"/>
      <c r="O307" s="401"/>
      <c r="P307" s="401"/>
    </row>
    <row r="308" spans="1:16" ht="15" customHeight="1">
      <c r="A308" s="220" t="str">
        <f>'ORÇAMENTO NÃO DESONERADO'!A98</f>
        <v>5.7.1</v>
      </c>
      <c r="B308" s="1160" t="str">
        <f>'ORÇAMENTO NÃO DESONERADO'!C98</f>
        <v>ESTRUTURA PARA COBERTURA TIPO SHED, EM ALUMINIO ANODIZADO, VAO DE 20M, ESPACAMENTO DAS TESOURAS DE 5M ATE 6,5M</v>
      </c>
      <c r="C308" s="1160"/>
      <c r="D308" s="1160"/>
      <c r="E308" s="1160"/>
      <c r="F308" s="1160"/>
      <c r="G308" s="1160"/>
      <c r="H308" s="1160"/>
      <c r="I308" s="1160"/>
      <c r="J308" s="1160"/>
      <c r="K308" s="1160"/>
      <c r="L308" s="1160"/>
      <c r="M308" s="1160"/>
      <c r="N308" s="1160"/>
      <c r="O308" s="401"/>
      <c r="P308" s="401"/>
    </row>
    <row r="309" spans="2:16" ht="15" customHeight="1">
      <c r="B309" s="423"/>
      <c r="C309" s="423"/>
      <c r="D309" s="423"/>
      <c r="E309" s="423"/>
      <c r="F309" s="423"/>
      <c r="H309" s="423"/>
      <c r="I309" s="423"/>
      <c r="N309" s="401"/>
      <c r="O309" s="401"/>
      <c r="P309" s="401"/>
    </row>
    <row r="310" spans="2:16" ht="12.75">
      <c r="B310" s="423"/>
      <c r="C310" s="374"/>
      <c r="D310" s="405" t="s">
        <v>36</v>
      </c>
      <c r="E310" s="427"/>
      <c r="F310" s="405" t="s">
        <v>243</v>
      </c>
      <c r="G310" s="427"/>
      <c r="H310" s="427" t="s">
        <v>82</v>
      </c>
      <c r="I310" s="374"/>
      <c r="N310" s="401"/>
      <c r="O310" s="401"/>
      <c r="P310" s="401"/>
    </row>
    <row r="311" spans="2:16" ht="12.75">
      <c r="B311" s="401" t="s">
        <v>227</v>
      </c>
      <c r="C311" s="405" t="s">
        <v>30</v>
      </c>
      <c r="D311" s="405">
        <v>13.1</v>
      </c>
      <c r="E311" s="405" t="s">
        <v>29</v>
      </c>
      <c r="F311" s="226">
        <v>17.8</v>
      </c>
      <c r="G311" s="405" t="s">
        <v>30</v>
      </c>
      <c r="H311" s="405">
        <f>ROUND((D311*F311),2)</f>
        <v>233.18</v>
      </c>
      <c r="I311" s="374"/>
      <c r="N311" s="401"/>
      <c r="O311" s="401"/>
      <c r="P311" s="401"/>
    </row>
    <row r="312" spans="2:16" ht="15" customHeight="1">
      <c r="B312" s="401"/>
      <c r="C312" s="401"/>
      <c r="D312" s="401"/>
      <c r="E312" s="401"/>
      <c r="F312" s="401"/>
      <c r="G312" s="401"/>
      <c r="H312" s="401"/>
      <c r="I312" s="401"/>
      <c r="N312" s="401"/>
      <c r="O312" s="401"/>
      <c r="P312" s="401"/>
    </row>
    <row r="313" spans="2:16" ht="12.75">
      <c r="B313" s="406" t="s">
        <v>199</v>
      </c>
      <c r="C313" s="408">
        <f>H311</f>
        <v>233.18</v>
      </c>
      <c r="D313" s="425" t="s">
        <v>3</v>
      </c>
      <c r="E313" s="402"/>
      <c r="F313" s="401"/>
      <c r="G313" s="401"/>
      <c r="H313" s="401"/>
      <c r="I313" s="401"/>
      <c r="N313" s="401"/>
      <c r="O313" s="401"/>
      <c r="P313" s="401"/>
    </row>
    <row r="314" spans="2:16" ht="12.75">
      <c r="B314" s="401"/>
      <c r="C314" s="401" t="s">
        <v>226</v>
      </c>
      <c r="D314" s="401"/>
      <c r="E314" s="401"/>
      <c r="F314" s="401"/>
      <c r="G314" s="401"/>
      <c r="H314" s="401"/>
      <c r="I314" s="401"/>
      <c r="N314" s="401"/>
      <c r="O314" s="401"/>
      <c r="P314" s="401"/>
    </row>
    <row r="315" spans="1:16" ht="15" customHeight="1">
      <c r="A315" s="407" t="str">
        <f>'ORÇAMENTO NÃO DESONERADO'!A99</f>
        <v>5.7.2</v>
      </c>
      <c r="B315" s="1181" t="str">
        <f>'ORÇAMENTO NÃO DESONERADO'!C99</f>
        <v>TELHAMENTO COM TELHA DE AÇO/ALUMÍNIO E = 0,5 MM, COM ATÉ 2 ÁGUAS, INCLUSO IÇAMENTO. AF_06/2016</v>
      </c>
      <c r="C315" s="1181"/>
      <c r="D315" s="1181"/>
      <c r="E315" s="1181"/>
      <c r="F315" s="1181"/>
      <c r="G315" s="1181"/>
      <c r="H315" s="1181"/>
      <c r="I315" s="1181"/>
      <c r="J315" s="1181"/>
      <c r="K315" s="1181"/>
      <c r="L315" s="1181"/>
      <c r="M315" s="1181"/>
      <c r="N315" s="1181"/>
      <c r="O315" s="430"/>
      <c r="P315" s="401"/>
    </row>
    <row r="316" spans="1:16" ht="15">
      <c r="A316" s="407"/>
      <c r="B316" s="423"/>
      <c r="C316" s="423"/>
      <c r="D316" s="423"/>
      <c r="E316" s="423"/>
      <c r="F316" s="423"/>
      <c r="H316" s="423"/>
      <c r="I316" s="423"/>
      <c r="L316" s="430"/>
      <c r="M316" s="430"/>
      <c r="N316" s="401"/>
      <c r="O316" s="401"/>
      <c r="P316" s="401"/>
    </row>
    <row r="317" spans="1:16" ht="15">
      <c r="A317" s="407"/>
      <c r="B317" s="423"/>
      <c r="C317" s="374"/>
      <c r="D317" s="405" t="s">
        <v>36</v>
      </c>
      <c r="E317" s="603"/>
      <c r="F317" s="405" t="s">
        <v>243</v>
      </c>
      <c r="G317" s="603"/>
      <c r="H317" s="603" t="s">
        <v>82</v>
      </c>
      <c r="I317" s="595"/>
      <c r="J317" s="427"/>
      <c r="K317" s="427"/>
      <c r="L317" s="401"/>
      <c r="M317" s="401"/>
      <c r="N317" s="401"/>
      <c r="O317" s="401"/>
      <c r="P317" s="401"/>
    </row>
    <row r="318" spans="1:16" ht="15" customHeight="1">
      <c r="A318" s="407"/>
      <c r="B318" s="401" t="s">
        <v>227</v>
      </c>
      <c r="C318" s="405" t="s">
        <v>30</v>
      </c>
      <c r="D318" s="405">
        <v>13.1</v>
      </c>
      <c r="E318" s="405" t="s">
        <v>29</v>
      </c>
      <c r="F318" s="226">
        <v>17.8</v>
      </c>
      <c r="G318" s="405" t="s">
        <v>30</v>
      </c>
      <c r="H318" s="405">
        <f>ROUND((D318*F318),2)</f>
        <v>233.18</v>
      </c>
      <c r="I318" s="595"/>
      <c r="J318" s="405"/>
      <c r="K318" s="405"/>
      <c r="L318" s="401"/>
      <c r="M318" s="401"/>
      <c r="N318" s="401"/>
      <c r="O318" s="401"/>
      <c r="P318" s="401"/>
    </row>
    <row r="319" spans="1:16" ht="15">
      <c r="A319" s="407"/>
      <c r="B319" s="401"/>
      <c r="C319" s="401"/>
      <c r="D319" s="401"/>
      <c r="E319" s="401"/>
      <c r="F319" s="401"/>
      <c r="G319" s="401"/>
      <c r="H319" s="401"/>
      <c r="I319" s="401"/>
      <c r="L319" s="401"/>
      <c r="M319" s="401"/>
      <c r="N319" s="401"/>
      <c r="O319" s="401"/>
      <c r="P319" s="401"/>
    </row>
    <row r="320" spans="1:16" ht="15">
      <c r="A320" s="407"/>
      <c r="B320" s="406" t="s">
        <v>199</v>
      </c>
      <c r="C320" s="408">
        <f>H318</f>
        <v>233.18</v>
      </c>
      <c r="D320" s="425" t="s">
        <v>3</v>
      </c>
      <c r="E320" s="402"/>
      <c r="F320" s="401"/>
      <c r="G320" s="401"/>
      <c r="H320" s="401"/>
      <c r="I320" s="401"/>
      <c r="L320" s="401"/>
      <c r="M320" s="401"/>
      <c r="N320" s="401"/>
      <c r="O320" s="401"/>
      <c r="P320" s="401"/>
    </row>
    <row r="321" spans="1:16" ht="15">
      <c r="A321" s="407"/>
      <c r="B321" s="401"/>
      <c r="C321" s="401"/>
      <c r="D321" s="401"/>
      <c r="E321" s="401"/>
      <c r="F321" s="401"/>
      <c r="G321" s="401"/>
      <c r="H321" s="401"/>
      <c r="I321" s="401"/>
      <c r="J321" s="401"/>
      <c r="K321" s="401"/>
      <c r="L321" s="401"/>
      <c r="M321" s="401"/>
      <c r="N321" s="401"/>
      <c r="O321" s="401"/>
      <c r="P321" s="401"/>
    </row>
    <row r="322" spans="1:16" ht="15" customHeight="1">
      <c r="A322" s="407"/>
      <c r="B322" s="409"/>
      <c r="C322" s="409"/>
      <c r="D322" s="409"/>
      <c r="E322" s="409"/>
      <c r="F322" s="401"/>
      <c r="G322" s="401"/>
      <c r="H322" s="401"/>
      <c r="I322" s="401"/>
      <c r="J322" s="401"/>
      <c r="K322" s="401"/>
      <c r="L322" s="401"/>
      <c r="M322" s="401"/>
      <c r="N322" s="401"/>
      <c r="O322" s="401"/>
      <c r="P322" s="430"/>
    </row>
    <row r="323" spans="1:16" ht="15">
      <c r="A323" s="727"/>
      <c r="B323" s="201" t="str">
        <f>'ORÇAMENTO NÃO DESONERADO'!C101</f>
        <v>REVESTIMENTO</v>
      </c>
      <c r="N323" s="401"/>
      <c r="O323" s="401"/>
      <c r="P323" s="430"/>
    </row>
    <row r="324" spans="1:16" ht="15">
      <c r="A324" s="727"/>
      <c r="N324" s="401"/>
      <c r="O324" s="401"/>
      <c r="P324" s="430"/>
    </row>
    <row r="325" spans="1:16" ht="15" customHeight="1">
      <c r="A325" s="407" t="str">
        <f>'ORÇAMENTO NÃO DESONERADO'!A102</f>
        <v>5.8.1</v>
      </c>
      <c r="B325" s="1164" t="str">
        <f>'ORÇAMENTO NÃO DESONERADO'!C102</f>
        <v>CHAPISCO APLICADO EM ALVENARIA (SEM PRESENÇA DE VÃOS) E ESTRUTURAS DE CONCRETO DE FACHADA, COM COLHER DE PEDREIRO. ARGAMASSA TRAÇO 1:3 COM PREPARO MANUAL. AF_06/2014</v>
      </c>
      <c r="C325" s="1164"/>
      <c r="D325" s="1164"/>
      <c r="E325" s="1164"/>
      <c r="F325" s="1164"/>
      <c r="G325" s="1164"/>
      <c r="H325" s="1164"/>
      <c r="I325" s="1164"/>
      <c r="J325" s="1164"/>
      <c r="K325" s="1164"/>
      <c r="L325" s="1164"/>
      <c r="M325" s="1164"/>
      <c r="N325" s="1164"/>
      <c r="O325" s="401"/>
      <c r="P325" s="430"/>
    </row>
    <row r="326" spans="1:16" ht="15">
      <c r="A326" s="435"/>
      <c r="B326" s="600"/>
      <c r="C326" s="600"/>
      <c r="D326" s="600"/>
      <c r="E326" s="600"/>
      <c r="F326" s="600"/>
      <c r="G326" s="600"/>
      <c r="H326" s="600"/>
      <c r="I326" s="600"/>
      <c r="J326" s="600"/>
      <c r="K326" s="600"/>
      <c r="L326" s="600"/>
      <c r="M326" s="600"/>
      <c r="N326" s="401"/>
      <c r="O326" s="401"/>
      <c r="P326" s="401"/>
    </row>
    <row r="327" spans="1:16" ht="15">
      <c r="A327" s="407"/>
      <c r="B327" s="401"/>
      <c r="D327" s="401"/>
      <c r="E327" s="401"/>
      <c r="F327" s="401"/>
      <c r="G327" s="432"/>
      <c r="H327" s="415"/>
      <c r="I327" s="401"/>
      <c r="J327" s="401"/>
      <c r="K327" s="432"/>
      <c r="L327" s="401"/>
      <c r="M327" s="401"/>
      <c r="N327" s="401"/>
      <c r="O327" s="401"/>
      <c r="P327" s="401"/>
    </row>
    <row r="328" spans="1:16" ht="29.25" customHeight="1">
      <c r="A328" s="407"/>
      <c r="B328" s="405"/>
      <c r="C328" s="405" t="s">
        <v>228</v>
      </c>
      <c r="D328" s="405"/>
      <c r="E328" s="405" t="s">
        <v>229</v>
      </c>
      <c r="F328" s="404"/>
      <c r="G328" s="405" t="s">
        <v>261</v>
      </c>
      <c r="H328" s="422"/>
      <c r="I328" s="405" t="s">
        <v>19</v>
      </c>
      <c r="J328" s="405"/>
      <c r="K328" s="404"/>
      <c r="L328" s="401"/>
      <c r="M328" s="401"/>
      <c r="N328" s="600"/>
      <c r="O328" s="430"/>
      <c r="P328" s="430"/>
    </row>
    <row r="329" spans="1:16" ht="15">
      <c r="A329" s="407"/>
      <c r="B329" s="405" t="s">
        <v>230</v>
      </c>
      <c r="C329" s="405">
        <f>C289</f>
        <v>243.16400000000004</v>
      </c>
      <c r="D329" s="405" t="s">
        <v>29</v>
      </c>
      <c r="E329" s="405">
        <v>2</v>
      </c>
      <c r="F329" s="405" t="s">
        <v>29</v>
      </c>
      <c r="G329" s="226">
        <v>1</v>
      </c>
      <c r="H329" s="404" t="s">
        <v>30</v>
      </c>
      <c r="I329" s="405">
        <f>ROUND((C329*E329*G329),2)</f>
        <v>486.33</v>
      </c>
      <c r="J329" s="405" t="s">
        <v>3</v>
      </c>
      <c r="K329" s="404"/>
      <c r="L329" s="401"/>
      <c r="M329" s="401"/>
      <c r="N329" s="426"/>
      <c r="O329" s="426"/>
      <c r="P329" s="426"/>
    </row>
    <row r="330" spans="1:16" ht="15">
      <c r="A330" s="407"/>
      <c r="B330" s="405"/>
      <c r="C330" s="405"/>
      <c r="D330" s="405"/>
      <c r="E330" s="405"/>
      <c r="F330" s="405"/>
      <c r="G330" s="405"/>
      <c r="H330" s="405"/>
      <c r="J330" s="405"/>
      <c r="K330" s="405"/>
      <c r="L330" s="401"/>
      <c r="M330" s="401"/>
      <c r="N330" s="440"/>
      <c r="O330" s="440"/>
      <c r="P330" s="440"/>
    </row>
    <row r="331" spans="1:16" ht="15">
      <c r="A331" s="407"/>
      <c r="B331" s="405"/>
      <c r="C331" s="405" t="s">
        <v>223</v>
      </c>
      <c r="D331" s="405"/>
      <c r="E331" s="405" t="s">
        <v>231</v>
      </c>
      <c r="F331" s="405"/>
      <c r="G331" s="405" t="s">
        <v>245</v>
      </c>
      <c r="H331" s="405"/>
      <c r="I331" s="405" t="s">
        <v>261</v>
      </c>
      <c r="J331" s="405"/>
      <c r="K331" s="405"/>
      <c r="L331" s="401"/>
      <c r="M331" s="401"/>
      <c r="N331" s="440"/>
      <c r="O331" s="440"/>
      <c r="P331" s="440"/>
    </row>
    <row r="332" spans="1:16" ht="15">
      <c r="A332" s="407"/>
      <c r="B332" s="405" t="s">
        <v>232</v>
      </c>
      <c r="C332" s="396">
        <v>3.69</v>
      </c>
      <c r="D332" s="405" t="s">
        <v>29</v>
      </c>
      <c r="E332" s="405">
        <v>0.8</v>
      </c>
      <c r="F332" s="405" t="s">
        <v>29</v>
      </c>
      <c r="G332" s="405">
        <v>4</v>
      </c>
      <c r="H332" s="405" t="s">
        <v>29</v>
      </c>
      <c r="I332" s="226">
        <f>G329</f>
        <v>1</v>
      </c>
      <c r="J332" s="405" t="s">
        <v>30</v>
      </c>
      <c r="K332" s="405">
        <f>ROUND((C332*E332*G332*I332),2)</f>
        <v>11.81</v>
      </c>
      <c r="L332" s="405"/>
      <c r="M332" s="401"/>
      <c r="N332" s="440"/>
      <c r="O332" s="440"/>
      <c r="P332" s="440"/>
    </row>
    <row r="333" spans="1:16" ht="15">
      <c r="A333" s="407"/>
      <c r="B333" s="405"/>
      <c r="C333" s="405"/>
      <c r="D333" s="405"/>
      <c r="E333" s="405"/>
      <c r="F333" s="405"/>
      <c r="H333" s="405"/>
      <c r="I333" s="422"/>
      <c r="J333" s="405"/>
      <c r="K333" s="405"/>
      <c r="L333" s="401"/>
      <c r="M333" s="401"/>
      <c r="N333" s="426"/>
      <c r="O333" s="426"/>
      <c r="P333" s="426"/>
    </row>
    <row r="334" spans="1:16" ht="15">
      <c r="A334" s="407"/>
      <c r="B334" s="405"/>
      <c r="C334" s="405" t="s">
        <v>233</v>
      </c>
      <c r="D334" s="405"/>
      <c r="E334" s="405" t="s">
        <v>231</v>
      </c>
      <c r="F334" s="405"/>
      <c r="G334" s="432" t="s">
        <v>244</v>
      </c>
      <c r="H334" s="405"/>
      <c r="I334" s="405" t="s">
        <v>261</v>
      </c>
      <c r="J334" s="405"/>
      <c r="K334" s="407"/>
      <c r="L334" s="426"/>
      <c r="M334" s="401"/>
      <c r="N334" s="426"/>
      <c r="O334" s="426"/>
      <c r="P334" s="426"/>
    </row>
    <row r="335" spans="1:13" ht="15">
      <c r="A335" s="407"/>
      <c r="B335" s="405" t="s">
        <v>232</v>
      </c>
      <c r="C335" s="396">
        <v>1.26</v>
      </c>
      <c r="D335" s="405" t="s">
        <v>29</v>
      </c>
      <c r="E335" s="238">
        <v>0.8</v>
      </c>
      <c r="F335" s="405" t="s">
        <v>29</v>
      </c>
      <c r="G335" s="405">
        <v>1</v>
      </c>
      <c r="H335" s="405" t="s">
        <v>29</v>
      </c>
      <c r="I335" s="226">
        <f>I332</f>
        <v>1</v>
      </c>
      <c r="J335" s="405" t="s">
        <v>30</v>
      </c>
      <c r="K335" s="405">
        <f>ROUND((C335*E335*G335*I335),2)</f>
        <v>1.01</v>
      </c>
      <c r="L335" s="426"/>
      <c r="M335" s="401"/>
    </row>
    <row r="336" spans="1:14" ht="30" customHeight="1">
      <c r="A336" s="407"/>
      <c r="B336" s="401"/>
      <c r="C336" s="401"/>
      <c r="D336" s="401"/>
      <c r="E336" s="401"/>
      <c r="F336" s="401"/>
      <c r="G336" s="401"/>
      <c r="H336" s="405"/>
      <c r="I336" s="401"/>
      <c r="J336" s="401"/>
      <c r="K336" s="401"/>
      <c r="L336" s="401"/>
      <c r="M336" s="401"/>
      <c r="N336" s="596"/>
    </row>
    <row r="337" spans="1:13" ht="15">
      <c r="A337" s="407"/>
      <c r="B337" s="406" t="s">
        <v>115</v>
      </c>
      <c r="C337" s="408">
        <f>ROUND((I329+K332+K335),2)</f>
        <v>499.15</v>
      </c>
      <c r="D337" s="425" t="s">
        <v>3</v>
      </c>
      <c r="E337" s="402"/>
      <c r="F337" s="401"/>
      <c r="G337" s="401"/>
      <c r="H337" s="401"/>
      <c r="I337" s="401"/>
      <c r="J337" s="401"/>
      <c r="K337" s="424"/>
      <c r="L337" s="401"/>
      <c r="M337" s="401"/>
    </row>
    <row r="338" spans="1:13" ht="15">
      <c r="A338" s="407"/>
      <c r="B338" s="401"/>
      <c r="C338" s="401"/>
      <c r="D338" s="401"/>
      <c r="E338" s="401"/>
      <c r="F338" s="401"/>
      <c r="G338" s="401"/>
      <c r="H338" s="401"/>
      <c r="I338" s="401"/>
      <c r="J338" s="401"/>
      <c r="K338" s="401"/>
      <c r="L338" s="401"/>
      <c r="M338" s="401"/>
    </row>
    <row r="339" spans="1:14" ht="15" customHeight="1">
      <c r="A339" s="407" t="str">
        <f>'ORÇAMENTO NÃO DESONERADO'!A103</f>
        <v>5.8.2</v>
      </c>
      <c r="B339" s="1164" t="str">
        <f>'ORÇAMENTO NÃO DESONERADO'!C103</f>
        <v>EMBOÇO, PARA RECEBIMENTO DE CERÂMICA, EM ARGAMASSA TRAÇO 1:2:8, PREPARO MECÂNICO COM BETONEIRA 400L, APLICADO MANUALMENTE EM FACES INTERNAS DE PAREDES, PARA AMBIENTE COM ÁREA MENOR QUE 5M2, ESPESSURA DE 20MM, COM EXECUÇÃO DE TALISCAS. AF_06/2014.</v>
      </c>
      <c r="C339" s="1164"/>
      <c r="D339" s="1164"/>
      <c r="E339" s="1164"/>
      <c r="F339" s="1164"/>
      <c r="G339" s="1164"/>
      <c r="H339" s="1164"/>
      <c r="I339" s="1164"/>
      <c r="J339" s="1164"/>
      <c r="K339" s="1164"/>
      <c r="L339" s="1164"/>
      <c r="M339" s="1164"/>
      <c r="N339" s="1164"/>
    </row>
    <row r="340" spans="1:13" ht="15">
      <c r="A340" s="435"/>
      <c r="B340" s="430"/>
      <c r="C340" s="430"/>
      <c r="D340" s="430"/>
      <c r="E340" s="430"/>
      <c r="F340" s="430"/>
      <c r="G340" s="430"/>
      <c r="H340" s="430"/>
      <c r="I340" s="430"/>
      <c r="J340" s="430"/>
      <c r="K340" s="430"/>
      <c r="L340" s="430"/>
      <c r="M340" s="430"/>
    </row>
    <row r="341" spans="1:13" ht="15">
      <c r="A341" s="407"/>
      <c r="B341" s="405"/>
      <c r="C341" s="405" t="s">
        <v>228</v>
      </c>
      <c r="D341" s="405"/>
      <c r="E341" s="405" t="s">
        <v>229</v>
      </c>
      <c r="F341" s="404"/>
      <c r="G341" s="405" t="s">
        <v>261</v>
      </c>
      <c r="H341" s="422"/>
      <c r="I341" s="405" t="s">
        <v>19</v>
      </c>
      <c r="J341" s="405"/>
      <c r="K341" s="404"/>
      <c r="L341" s="401"/>
      <c r="M341" s="401"/>
    </row>
    <row r="342" spans="1:13" ht="15">
      <c r="A342" s="407"/>
      <c r="B342" s="405" t="s">
        <v>230</v>
      </c>
      <c r="C342" s="405">
        <f>C329</f>
        <v>243.16400000000004</v>
      </c>
      <c r="D342" s="405" t="s">
        <v>29</v>
      </c>
      <c r="E342" s="405">
        <v>2</v>
      </c>
      <c r="F342" s="405" t="s">
        <v>29</v>
      </c>
      <c r="G342" s="226">
        <f>G329</f>
        <v>1</v>
      </c>
      <c r="H342" s="404" t="s">
        <v>30</v>
      </c>
      <c r="I342" s="405">
        <f>ROUND((C342*E342*G342),2)</f>
        <v>486.33</v>
      </c>
      <c r="J342" s="405" t="s">
        <v>3</v>
      </c>
      <c r="K342" s="404"/>
      <c r="L342" s="401"/>
      <c r="M342" s="401"/>
    </row>
    <row r="343" spans="1:14" ht="28.5" customHeight="1">
      <c r="A343" s="407"/>
      <c r="B343" s="405"/>
      <c r="C343" s="405"/>
      <c r="D343" s="405"/>
      <c r="E343" s="405"/>
      <c r="F343" s="405"/>
      <c r="G343" s="405"/>
      <c r="H343" s="405"/>
      <c r="J343" s="405"/>
      <c r="K343" s="405"/>
      <c r="L343" s="401"/>
      <c r="M343" s="401"/>
      <c r="N343" s="596"/>
    </row>
    <row r="344" spans="1:13" ht="15">
      <c r="A344" s="407"/>
      <c r="B344" s="405"/>
      <c r="C344" s="405" t="s">
        <v>223</v>
      </c>
      <c r="D344" s="405"/>
      <c r="E344" s="405" t="s">
        <v>231</v>
      </c>
      <c r="F344" s="405"/>
      <c r="G344" s="405" t="s">
        <v>245</v>
      </c>
      <c r="H344" s="405"/>
      <c r="I344" s="405" t="s">
        <v>457</v>
      </c>
      <c r="J344" s="405"/>
      <c r="K344" s="405"/>
      <c r="L344" s="401"/>
      <c r="M344" s="401"/>
    </row>
    <row r="345" spans="1:13" ht="15">
      <c r="A345" s="407"/>
      <c r="B345" s="405" t="s">
        <v>232</v>
      </c>
      <c r="C345" s="396">
        <v>3.69</v>
      </c>
      <c r="D345" s="405" t="s">
        <v>29</v>
      </c>
      <c r="E345" s="405">
        <v>0.8</v>
      </c>
      <c r="F345" s="405" t="s">
        <v>29</v>
      </c>
      <c r="G345" s="405">
        <v>4</v>
      </c>
      <c r="H345" s="405" t="s">
        <v>29</v>
      </c>
      <c r="I345" s="226">
        <f>G342</f>
        <v>1</v>
      </c>
      <c r="J345" s="405" t="s">
        <v>30</v>
      </c>
      <c r="K345" s="405">
        <f>ROUND((C345*E345*G345*I345),2)</f>
        <v>11.81</v>
      </c>
      <c r="L345" s="405"/>
      <c r="M345" s="401"/>
    </row>
    <row r="346" spans="1:13" ht="15">
      <c r="A346" s="407"/>
      <c r="B346" s="405"/>
      <c r="C346" s="405"/>
      <c r="D346" s="405"/>
      <c r="E346" s="405"/>
      <c r="F346" s="405"/>
      <c r="H346" s="405"/>
      <c r="I346" s="422"/>
      <c r="J346" s="405"/>
      <c r="K346" s="405"/>
      <c r="L346" s="401"/>
      <c r="M346" s="401"/>
    </row>
    <row r="347" spans="1:13" ht="15">
      <c r="A347" s="407"/>
      <c r="B347" s="405"/>
      <c r="C347" s="405" t="s">
        <v>233</v>
      </c>
      <c r="D347" s="405"/>
      <c r="E347" s="405" t="s">
        <v>231</v>
      </c>
      <c r="F347" s="405"/>
      <c r="G347" s="432" t="s">
        <v>244</v>
      </c>
      <c r="H347" s="405"/>
      <c r="I347" s="405" t="s">
        <v>249</v>
      </c>
      <c r="J347" s="405"/>
      <c r="K347" s="407"/>
      <c r="L347" s="426"/>
      <c r="M347" s="401"/>
    </row>
    <row r="348" spans="1:13" ht="15">
      <c r="A348" s="407"/>
      <c r="B348" s="405" t="s">
        <v>232</v>
      </c>
      <c r="C348" s="396">
        <v>1.26</v>
      </c>
      <c r="D348" s="405" t="s">
        <v>29</v>
      </c>
      <c r="E348" s="238">
        <v>0.8</v>
      </c>
      <c r="F348" s="405" t="s">
        <v>29</v>
      </c>
      <c r="G348" s="405">
        <v>1</v>
      </c>
      <c r="H348" s="405" t="s">
        <v>29</v>
      </c>
      <c r="I348" s="226">
        <f>I345</f>
        <v>1</v>
      </c>
      <c r="J348" s="405" t="s">
        <v>30</v>
      </c>
      <c r="K348" s="405">
        <f>ROUND((C348*E348*G348*I348),2)</f>
        <v>1.01</v>
      </c>
      <c r="L348" s="426"/>
      <c r="M348" s="401"/>
    </row>
    <row r="349" spans="1:13" ht="15">
      <c r="A349" s="407"/>
      <c r="B349" s="401"/>
      <c r="C349" s="401"/>
      <c r="D349" s="401"/>
      <c r="E349" s="401"/>
      <c r="F349" s="401"/>
      <c r="G349" s="401"/>
      <c r="H349" s="405"/>
      <c r="I349" s="401"/>
      <c r="J349" s="401"/>
      <c r="K349" s="401"/>
      <c r="L349" s="401"/>
      <c r="M349" s="401"/>
    </row>
    <row r="350" spans="1:13" ht="15">
      <c r="A350" s="407"/>
      <c r="B350" s="406" t="s">
        <v>115</v>
      </c>
      <c r="C350" s="408">
        <f>ROUND((I342+K345+K348),2)</f>
        <v>499.15</v>
      </c>
      <c r="D350" s="425" t="s">
        <v>3</v>
      </c>
      <c r="E350" s="402"/>
      <c r="F350" s="401"/>
      <c r="G350" s="401"/>
      <c r="H350" s="401"/>
      <c r="I350" s="401"/>
      <c r="J350" s="401"/>
      <c r="K350" s="424"/>
      <c r="L350" s="401"/>
      <c r="M350" s="401"/>
    </row>
    <row r="351" spans="1:13" ht="15">
      <c r="A351" s="435"/>
      <c r="B351" s="415"/>
      <c r="C351" s="209"/>
      <c r="D351" s="401"/>
      <c r="E351" s="401"/>
      <c r="F351" s="401"/>
      <c r="G351" s="401"/>
      <c r="H351" s="424"/>
      <c r="I351" s="401"/>
      <c r="J351" s="401"/>
      <c r="K351" s="401" t="s">
        <v>226</v>
      </c>
      <c r="L351" s="401"/>
      <c r="M351" s="401"/>
    </row>
    <row r="352" spans="1:14" ht="15" customHeight="1">
      <c r="A352" s="437" t="str">
        <f>'ORÇAMENTO NÃO DESONERADO'!A104</f>
        <v>5.8.3</v>
      </c>
      <c r="B352" s="1225" t="str">
        <f>'ORÇAMENTO NÃO DESONERADO'!C104</f>
        <v>REVESTIMENTO CERÂMICO PARA PAREDES INTERNAS COM PLACAS TIPO ESMALTADA EXTRA DE DIMENSÕES 20X20 CM APLICADAS EM AMBIENTES DE ÁREA MAIOR QUE 5M² NA ALTURA INTEIRA DAS PAREDES. AF_06/2014</v>
      </c>
      <c r="C352" s="1225"/>
      <c r="D352" s="1225"/>
      <c r="E352" s="1225"/>
      <c r="F352" s="1225"/>
      <c r="G352" s="1225"/>
      <c r="H352" s="1225"/>
      <c r="I352" s="1225"/>
      <c r="J352" s="1225"/>
      <c r="K352" s="1225"/>
      <c r="L352" s="1225"/>
      <c r="M352" s="1225"/>
      <c r="N352" s="1225"/>
    </row>
    <row r="353" spans="1:16" s="442" customFormat="1" ht="15">
      <c r="A353" s="407"/>
      <c r="B353" s="401" t="s">
        <v>456</v>
      </c>
      <c r="C353" s="401"/>
      <c r="D353" s="401"/>
      <c r="E353" s="401"/>
      <c r="F353" s="401"/>
      <c r="G353" s="41"/>
      <c r="H353" s="401"/>
      <c r="I353" s="401"/>
      <c r="J353" s="401"/>
      <c r="K353" s="401"/>
      <c r="L353" s="401"/>
      <c r="M353" s="401"/>
      <c r="N353" s="401"/>
      <c r="O353" s="401"/>
      <c r="P353" s="401"/>
    </row>
    <row r="354" spans="1:16" s="442" customFormat="1" ht="15">
      <c r="A354" s="407"/>
      <c r="B354" s="401"/>
      <c r="C354" s="405" t="s">
        <v>234</v>
      </c>
      <c r="D354" s="401"/>
      <c r="E354" s="405" t="s">
        <v>33</v>
      </c>
      <c r="F354" s="401"/>
      <c r="G354" s="405" t="s">
        <v>249</v>
      </c>
      <c r="H354" s="401"/>
      <c r="I354" s="401" t="s">
        <v>19</v>
      </c>
      <c r="J354" s="209"/>
      <c r="K354" s="401"/>
      <c r="L354" s="401"/>
      <c r="M354" s="401"/>
      <c r="N354" s="401"/>
      <c r="O354" s="401"/>
      <c r="P354" s="401"/>
    </row>
    <row r="355" spans="1:16" s="442" customFormat="1" ht="15">
      <c r="A355" s="407"/>
      <c r="B355" s="401" t="s">
        <v>199</v>
      </c>
      <c r="C355" s="405">
        <f>((3.11*4)+(2.05*4)+(1.7*2)+(1.5*2))</f>
        <v>27.04</v>
      </c>
      <c r="D355" s="405" t="s">
        <v>29</v>
      </c>
      <c r="E355" s="405">
        <v>3</v>
      </c>
      <c r="F355" s="401" t="s">
        <v>29</v>
      </c>
      <c r="G355" s="226">
        <f>I348</f>
        <v>1</v>
      </c>
      <c r="H355" s="405" t="s">
        <v>30</v>
      </c>
      <c r="I355" s="401">
        <f>ROUND((C355*E355*G355),2)</f>
        <v>81.12</v>
      </c>
      <c r="J355" s="401" t="s">
        <v>3</v>
      </c>
      <c r="K355" s="401"/>
      <c r="L355" s="401"/>
      <c r="M355" s="401"/>
      <c r="N355" s="401"/>
      <c r="O355" s="401"/>
      <c r="P355" s="401"/>
    </row>
    <row r="356" spans="1:16" s="442" customFormat="1" ht="15">
      <c r="A356" s="407"/>
      <c r="B356" s="401"/>
      <c r="C356" s="401"/>
      <c r="D356" s="401"/>
      <c r="E356" s="401"/>
      <c r="F356" s="401"/>
      <c r="G356" s="401"/>
      <c r="H356" s="401"/>
      <c r="I356" s="401"/>
      <c r="J356" s="401"/>
      <c r="K356" s="401"/>
      <c r="L356" s="401"/>
      <c r="M356" s="401"/>
      <c r="N356" s="401"/>
      <c r="O356" s="401"/>
      <c r="P356" s="401"/>
    </row>
    <row r="357" spans="1:16" s="442" customFormat="1" ht="15">
      <c r="A357" s="407"/>
      <c r="B357" s="406" t="s">
        <v>199</v>
      </c>
      <c r="C357" s="408">
        <f>I355</f>
        <v>81.12</v>
      </c>
      <c r="D357" s="425" t="s">
        <v>3</v>
      </c>
      <c r="E357" s="402"/>
      <c r="F357" s="401"/>
      <c r="G357" s="401"/>
      <c r="H357" s="401"/>
      <c r="I357" s="401"/>
      <c r="J357" s="401"/>
      <c r="K357" s="401"/>
      <c r="L357" s="401"/>
      <c r="M357" s="401"/>
      <c r="N357" s="401"/>
      <c r="O357" s="401"/>
      <c r="P357" s="401"/>
    </row>
    <row r="358" spans="1:16" s="442" customFormat="1" ht="15">
      <c r="A358" s="407"/>
      <c r="B358" s="401"/>
      <c r="C358" s="424"/>
      <c r="D358" s="401"/>
      <c r="E358" s="405"/>
      <c r="F358" s="413"/>
      <c r="G358" s="401"/>
      <c r="H358" s="402"/>
      <c r="I358" s="402"/>
      <c r="J358" s="401"/>
      <c r="K358" s="402"/>
      <c r="L358" s="401"/>
      <c r="M358" s="401"/>
      <c r="N358" s="401"/>
      <c r="O358" s="401"/>
      <c r="P358" s="401"/>
    </row>
    <row r="359" spans="1:16" s="442" customFormat="1" ht="15" customHeight="1">
      <c r="A359" s="407" t="str">
        <f>'ORÇAMENTO NÃO DESONERADO'!A105</f>
        <v>5.8.4</v>
      </c>
      <c r="B359" s="1164" t="str">
        <f>'ORÇAMENTO NÃO DESONERADO'!C105</f>
        <v>GRANITO PARA BANCADA, POLIDO, TIPO ANDORINHA/ QUARTZ/ CASTELO/ CORUMBA OU OUTROS EQUIVALENTES DA REGIAO, E= *2,5* CM - Balcão de Atendimento</v>
      </c>
      <c r="C359" s="1164"/>
      <c r="D359" s="1164"/>
      <c r="E359" s="1164"/>
      <c r="F359" s="1164"/>
      <c r="G359" s="1164"/>
      <c r="H359" s="1164"/>
      <c r="I359" s="1164"/>
      <c r="J359" s="1164"/>
      <c r="K359" s="1164"/>
      <c r="L359" s="1164"/>
      <c r="M359" s="1164"/>
      <c r="N359" s="1164"/>
      <c r="O359" s="401"/>
      <c r="P359" s="401"/>
    </row>
    <row r="360" spans="1:16" s="442" customFormat="1" ht="15">
      <c r="A360" s="407"/>
      <c r="B360" s="401"/>
      <c r="C360" s="401"/>
      <c r="D360" s="401"/>
      <c r="E360" s="401"/>
      <c r="F360" s="401"/>
      <c r="G360" s="426"/>
      <c r="H360" s="426"/>
      <c r="I360" s="426"/>
      <c r="J360" s="426"/>
      <c r="K360" s="426"/>
      <c r="L360" s="426"/>
      <c r="M360" s="426"/>
      <c r="N360" s="401"/>
      <c r="O360" s="401"/>
      <c r="P360" s="401"/>
    </row>
    <row r="361" spans="1:16" s="442" customFormat="1" ht="15">
      <c r="A361" s="438"/>
      <c r="B361" s="409"/>
      <c r="C361" s="436" t="s">
        <v>235</v>
      </c>
      <c r="D361" s="409"/>
      <c r="E361" s="436" t="s">
        <v>489</v>
      </c>
      <c r="F361" s="439"/>
      <c r="G361" s="440"/>
      <c r="H361" s="440"/>
      <c r="I361" s="440"/>
      <c r="J361" s="440"/>
      <c r="K361" s="440"/>
      <c r="L361" s="440"/>
      <c r="M361" s="440"/>
      <c r="N361" s="401"/>
      <c r="O361" s="401"/>
      <c r="P361" s="401"/>
    </row>
    <row r="362" spans="1:16" s="442" customFormat="1" ht="15">
      <c r="A362" s="438"/>
      <c r="B362" s="436" t="s">
        <v>236</v>
      </c>
      <c r="C362" s="436">
        <f>2.5*0.6</f>
        <v>1.5</v>
      </c>
      <c r="D362" s="409" t="s">
        <v>29</v>
      </c>
      <c r="E362" s="441">
        <v>2</v>
      </c>
      <c r="F362" s="409"/>
      <c r="G362" s="440"/>
      <c r="H362" s="440"/>
      <c r="I362" s="440"/>
      <c r="J362" s="440"/>
      <c r="K362" s="440"/>
      <c r="L362" s="440"/>
      <c r="M362" s="440"/>
      <c r="N362" s="401"/>
      <c r="O362" s="401"/>
      <c r="P362" s="401"/>
    </row>
    <row r="363" spans="1:16" s="442" customFormat="1" ht="15">
      <c r="A363" s="438"/>
      <c r="B363" s="409"/>
      <c r="C363" s="436"/>
      <c r="D363" s="409"/>
      <c r="E363" s="441"/>
      <c r="F363" s="409"/>
      <c r="G363" s="440"/>
      <c r="H363" s="440"/>
      <c r="I363" s="440"/>
      <c r="J363" s="440"/>
      <c r="K363" s="440"/>
      <c r="L363" s="440"/>
      <c r="M363" s="440"/>
      <c r="N363" s="401"/>
      <c r="O363" s="401"/>
      <c r="P363" s="401"/>
    </row>
    <row r="364" spans="1:13" ht="15">
      <c r="A364" s="407"/>
      <c r="B364" s="406" t="s">
        <v>236</v>
      </c>
      <c r="C364" s="408">
        <f>ROUND((C362*E362),2)</f>
        <v>3</v>
      </c>
      <c r="D364" s="425" t="s">
        <v>3</v>
      </c>
      <c r="E364" s="402"/>
      <c r="F364" s="401"/>
      <c r="G364" s="426"/>
      <c r="H364" s="426"/>
      <c r="I364" s="426"/>
      <c r="J364" s="426"/>
      <c r="K364" s="426"/>
      <c r="L364" s="426"/>
      <c r="M364" s="426"/>
    </row>
    <row r="365" spans="1:13" ht="15">
      <c r="A365" s="407"/>
      <c r="B365" s="401"/>
      <c r="C365" s="401" t="s">
        <v>226</v>
      </c>
      <c r="D365" s="401"/>
      <c r="E365" s="401"/>
      <c r="F365" s="401"/>
      <c r="G365" s="426"/>
      <c r="H365" s="426"/>
      <c r="I365" s="426"/>
      <c r="J365" s="426"/>
      <c r="K365" s="426"/>
      <c r="L365" s="426"/>
      <c r="M365" s="426"/>
    </row>
    <row r="366" spans="1:16" s="442" customFormat="1" ht="15">
      <c r="A366" s="41"/>
      <c r="B366" s="201" t="str">
        <f>'ORÇAMENTO NÃO DESONERADO'!C107</f>
        <v>PISO</v>
      </c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01"/>
      <c r="O366" s="401"/>
      <c r="P366" s="401"/>
    </row>
    <row r="367" spans="1:16" s="442" customFormat="1" ht="15" customHeight="1">
      <c r="A367" s="466" t="str">
        <f>'ORÇAMENTO NÃO DESONERADO'!A108</f>
        <v>5.9.1</v>
      </c>
      <c r="B367" s="1160" t="str">
        <f>'ORÇAMENTO NÃO DESONERADO'!C108</f>
        <v>CONTRAPISO EM ARGAMASSA TRAÇO 1:4 (CIMENTO E AREIA), PREPARO MECÂNICO COM BETONEIRA 400 L, APLICADO EM ÁREAS SECAS SOBRE LAJE, ADERIDO, ESPESSURA 2CM. AF_06/2014</v>
      </c>
      <c r="C367" s="1160"/>
      <c r="D367" s="1160"/>
      <c r="E367" s="1160"/>
      <c r="F367" s="1160"/>
      <c r="G367" s="1160"/>
      <c r="H367" s="1160"/>
      <c r="I367" s="1160"/>
      <c r="J367" s="1160"/>
      <c r="K367" s="1160"/>
      <c r="L367" s="1160"/>
      <c r="M367" s="1160"/>
      <c r="N367" s="1160"/>
      <c r="O367" s="401"/>
      <c r="P367" s="401"/>
    </row>
    <row r="368" spans="1:16" s="442" customFormat="1" ht="12.7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01"/>
      <c r="O368" s="401"/>
      <c r="P368" s="401"/>
    </row>
    <row r="369" spans="1:16" s="442" customFormat="1" ht="15">
      <c r="A369" s="41"/>
      <c r="B369" s="400"/>
      <c r="C369" s="405" t="s">
        <v>458</v>
      </c>
      <c r="D369" s="405"/>
      <c r="E369" s="405" t="s">
        <v>459</v>
      </c>
      <c r="F369" s="405"/>
      <c r="G369" s="374" t="s">
        <v>460</v>
      </c>
      <c r="H369" s="41"/>
      <c r="I369" s="41"/>
      <c r="J369" s="41"/>
      <c r="K369" s="41"/>
      <c r="L369" s="41"/>
      <c r="M369" s="41"/>
      <c r="N369" s="430"/>
      <c r="O369" s="430"/>
      <c r="P369" s="430"/>
    </row>
    <row r="370" spans="1:16" s="442" customFormat="1" ht="15">
      <c r="A370" s="41"/>
      <c r="B370" s="401" t="s">
        <v>237</v>
      </c>
      <c r="C370" s="405">
        <f>104.45</f>
        <v>104.45</v>
      </c>
      <c r="D370" s="405" t="s">
        <v>114</v>
      </c>
      <c r="E370" s="226">
        <f>5.73+5.73+2.54</f>
        <v>14</v>
      </c>
      <c r="F370" s="405" t="s">
        <v>114</v>
      </c>
      <c r="G370" s="202">
        <f>4.82+4.82</f>
        <v>9.64</v>
      </c>
      <c r="H370" s="41"/>
      <c r="I370" s="41"/>
      <c r="J370" s="41"/>
      <c r="K370" s="41"/>
      <c r="L370" s="41"/>
      <c r="M370" s="41"/>
      <c r="N370" s="430"/>
      <c r="O370" s="430"/>
      <c r="P370" s="430"/>
    </row>
    <row r="371" spans="1:16" s="442" customFormat="1" ht="15">
      <c r="A371" s="41"/>
      <c r="B371" s="401"/>
      <c r="C371" s="401"/>
      <c r="D371" s="401"/>
      <c r="E371" s="401"/>
      <c r="F371" s="401"/>
      <c r="G371" s="41"/>
      <c r="H371" s="41"/>
      <c r="I371" s="41"/>
      <c r="J371" s="41"/>
      <c r="K371" s="41"/>
      <c r="L371" s="41"/>
      <c r="M371" s="41"/>
      <c r="N371" s="430"/>
      <c r="O371" s="430"/>
      <c r="P371" s="430"/>
    </row>
    <row r="372" spans="2:6" ht="12.75">
      <c r="B372" s="406" t="s">
        <v>237</v>
      </c>
      <c r="C372" s="730">
        <f>C370+E370+G370</f>
        <v>128.09</v>
      </c>
      <c r="D372" s="425" t="s">
        <v>3</v>
      </c>
      <c r="E372" s="402"/>
      <c r="F372" s="401"/>
    </row>
    <row r="374" spans="1:14" ht="15" customHeight="1">
      <c r="A374" s="466" t="str">
        <f>'ORÇAMENTO NÃO DESONERADO'!A109</f>
        <v>5.9.2</v>
      </c>
      <c r="B374" s="1160" t="str">
        <f>'ORÇAMENTO NÃO DESONERADO'!C109</f>
        <v>REVESTIMENTO CERÂMICO PARA PISO COM PLACAS TIPO GRÊS DE DIMENSÕES 35X35 CM APLICADA EM AMBIENTES DE ÁREA ENTRE 5 M2 E 10 M2. AF_06/2014</v>
      </c>
      <c r="C374" s="1160"/>
      <c r="D374" s="1160"/>
      <c r="E374" s="1160"/>
      <c r="F374" s="1160"/>
      <c r="G374" s="1160"/>
      <c r="H374" s="1160"/>
      <c r="I374" s="1160"/>
      <c r="J374" s="1160"/>
      <c r="K374" s="1160"/>
      <c r="L374" s="1160"/>
      <c r="M374" s="1160"/>
      <c r="N374" s="1160"/>
    </row>
    <row r="376" spans="2:7" ht="15">
      <c r="B376" s="400"/>
      <c r="C376" s="405" t="s">
        <v>461</v>
      </c>
      <c r="D376" s="405"/>
      <c r="E376" s="728" t="s">
        <v>460</v>
      </c>
      <c r="F376" s="405"/>
      <c r="G376" s="374"/>
    </row>
    <row r="377" spans="2:7" ht="12.75">
      <c r="B377" s="401" t="s">
        <v>237</v>
      </c>
      <c r="C377" s="405">
        <f>E370</f>
        <v>14</v>
      </c>
      <c r="D377" s="405" t="s">
        <v>114</v>
      </c>
      <c r="E377" s="729">
        <f>4.82+4.82</f>
        <v>9.64</v>
      </c>
      <c r="F377" s="405"/>
      <c r="G377" s="202"/>
    </row>
    <row r="378" spans="2:6" ht="12.75">
      <c r="B378" s="401"/>
      <c r="C378" s="401"/>
      <c r="D378" s="401"/>
      <c r="E378" s="401"/>
      <c r="F378" s="401"/>
    </row>
    <row r="379" spans="2:6" ht="12.75">
      <c r="B379" s="406" t="s">
        <v>237</v>
      </c>
      <c r="C379" s="408">
        <f>C377+E377</f>
        <v>23.64</v>
      </c>
      <c r="D379" s="425" t="s">
        <v>3</v>
      </c>
      <c r="E379" s="402"/>
      <c r="F379" s="401"/>
    </row>
    <row r="380" spans="1:16" s="442" customFormat="1" ht="12.7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01"/>
      <c r="O380" s="401"/>
      <c r="P380" s="401"/>
    </row>
    <row r="381" spans="1:14" ht="15" customHeight="1">
      <c r="A381" s="466" t="str">
        <f>'ORÇAMENTO NÃO DESONERADO'!A110</f>
        <v>5.9.3</v>
      </c>
      <c r="B381" s="1145" t="str">
        <f>'ORÇAMENTO NÃO DESONERADO'!C110</f>
        <v>PISO INDUSTRIAL DE ALTA RESISTENCIA, ESPESSURA 8MM, INCLUSO JUNTAS DE DILATACAO PLASTICAS E POLIMENTO MECANIZADO</v>
      </c>
      <c r="C381" s="1145"/>
      <c r="D381" s="1145"/>
      <c r="E381" s="1145"/>
      <c r="F381" s="1145"/>
      <c r="G381" s="1145"/>
      <c r="H381" s="1145"/>
      <c r="I381" s="1145"/>
      <c r="J381" s="1145"/>
      <c r="K381" s="1145"/>
      <c r="L381" s="1145"/>
      <c r="M381" s="1145"/>
      <c r="N381" s="1145"/>
    </row>
    <row r="383" spans="2:7" ht="15">
      <c r="B383" s="400"/>
      <c r="C383" s="405" t="s">
        <v>463</v>
      </c>
      <c r="D383" s="405"/>
      <c r="E383" s="405"/>
      <c r="F383" s="405"/>
      <c r="G383" s="728"/>
    </row>
    <row r="384" spans="2:7" ht="12.75">
      <c r="B384" s="401" t="s">
        <v>237</v>
      </c>
      <c r="C384" s="405">
        <f>C370</f>
        <v>104.45</v>
      </c>
      <c r="D384" s="405"/>
      <c r="E384" s="226"/>
      <c r="F384" s="405"/>
      <c r="G384" s="729"/>
    </row>
    <row r="385" spans="2:6" ht="12.75">
      <c r="B385" s="401"/>
      <c r="C385" s="401"/>
      <c r="D385" s="401"/>
      <c r="E385" s="401"/>
      <c r="F385" s="401"/>
    </row>
    <row r="386" spans="2:6" ht="12.75">
      <c r="B386" s="406" t="s">
        <v>237</v>
      </c>
      <c r="C386" s="408">
        <f>C384</f>
        <v>104.45</v>
      </c>
      <c r="D386" s="425" t="s">
        <v>3</v>
      </c>
      <c r="E386" s="402"/>
      <c r="F386" s="401"/>
    </row>
    <row r="387" spans="1:16" s="442" customFormat="1" ht="12.7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01"/>
      <c r="O387" s="401"/>
      <c r="P387" s="401"/>
    </row>
    <row r="388" spans="1:16" s="442" customFormat="1" ht="12.95" customHeight="1">
      <c r="A388" s="41"/>
      <c r="B388" s="201" t="str">
        <f>'ORÇAMENTO NÃO DESONERADO'!C112</f>
        <v>ESQUADRIAS</v>
      </c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01"/>
      <c r="O388" s="401"/>
      <c r="P388" s="401"/>
    </row>
    <row r="389" spans="1:16" s="442" customFormat="1" ht="12.95" customHeight="1">
      <c r="A389" s="201" t="str">
        <f>'ORÇAMENTO NÃO DESONERADO'!C113</f>
        <v>Janelas - Guichês</v>
      </c>
      <c r="B389" s="20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01"/>
      <c r="O389" s="401"/>
      <c r="P389" s="401"/>
    </row>
    <row r="390" spans="1:16" ht="15" customHeight="1">
      <c r="A390" s="201" t="str">
        <f>'ORÇAMENTO NÃO DESONERADO'!A114</f>
        <v>5.10.1</v>
      </c>
      <c r="B390" s="1149" t="str">
        <f>'ORÇAMENTO NÃO DESONERADO'!C114</f>
        <v>JANELA DE ALUMÍNIO MAXIM-AR, FIXAÇÃO COM PARAFUSO, VEDAÇÃO COM ESPUMA EXPANSIVA PU, COM VIDROS, PADRONIZADA. AF_07/2016</v>
      </c>
      <c r="C390" s="1149"/>
      <c r="D390" s="1149"/>
      <c r="E390" s="1149"/>
      <c r="F390" s="1149"/>
      <c r="G390" s="1149"/>
      <c r="H390" s="1149"/>
      <c r="I390" s="1149"/>
      <c r="J390" s="1149"/>
      <c r="K390" s="1149"/>
      <c r="L390" s="1149"/>
      <c r="M390" s="1149"/>
      <c r="N390" s="1149"/>
      <c r="O390" s="402"/>
      <c r="P390" s="402"/>
    </row>
    <row r="391" spans="2:16" ht="14.25" customHeight="1">
      <c r="B391" s="1149"/>
      <c r="C391" s="1149"/>
      <c r="D391" s="1149"/>
      <c r="E391" s="1149"/>
      <c r="F391" s="1149"/>
      <c r="G391" s="1149"/>
      <c r="H391" s="1149"/>
      <c r="I391" s="1149"/>
      <c r="J391" s="1149"/>
      <c r="K391" s="1149"/>
      <c r="L391" s="1149"/>
      <c r="M391" s="1149"/>
      <c r="N391" s="1149"/>
      <c r="O391" s="402"/>
      <c r="P391" s="402"/>
    </row>
    <row r="392" spans="1:16" ht="15">
      <c r="A392" s="745"/>
      <c r="B392" s="407"/>
      <c r="D392" s="786" t="s">
        <v>74</v>
      </c>
      <c r="F392" s="41" t="s">
        <v>658</v>
      </c>
      <c r="H392" s="41" t="s">
        <v>324</v>
      </c>
      <c r="I392" s="401"/>
      <c r="J392" s="401"/>
      <c r="K392" s="401"/>
      <c r="L392" s="401"/>
      <c r="M392" s="401"/>
      <c r="N392" s="402"/>
      <c r="O392" s="402"/>
      <c r="P392" s="402"/>
    </row>
    <row r="393" spans="1:16" ht="15">
      <c r="A393" s="745"/>
      <c r="B393" s="407"/>
      <c r="C393" s="401" t="s">
        <v>657</v>
      </c>
      <c r="D393" s="401">
        <v>2.5</v>
      </c>
      <c r="E393" s="405" t="s">
        <v>29</v>
      </c>
      <c r="F393" s="409">
        <v>1.2</v>
      </c>
      <c r="G393" s="41" t="s">
        <v>30</v>
      </c>
      <c r="H393" s="405">
        <f>D393*F393</f>
        <v>3</v>
      </c>
      <c r="I393" s="401" t="s">
        <v>682</v>
      </c>
      <c r="J393" s="401"/>
      <c r="K393" s="401"/>
      <c r="L393" s="401"/>
      <c r="M393" s="401"/>
      <c r="N393" s="402"/>
      <c r="O393" s="402"/>
      <c r="P393" s="402"/>
    </row>
    <row r="394" spans="1:16" ht="15">
      <c r="A394" s="745"/>
      <c r="B394" s="407"/>
      <c r="C394" s="401"/>
      <c r="D394" s="401"/>
      <c r="E394" s="405"/>
      <c r="F394" s="401"/>
      <c r="H394" s="405"/>
      <c r="I394" s="401"/>
      <c r="J394" s="401"/>
      <c r="K394" s="401"/>
      <c r="L394" s="401"/>
      <c r="M394" s="401"/>
      <c r="N394" s="402"/>
      <c r="O394" s="402"/>
      <c r="P394" s="402"/>
    </row>
    <row r="395" spans="1:16" ht="15">
      <c r="A395" s="745"/>
      <c r="B395" s="407" t="s">
        <v>226</v>
      </c>
      <c r="C395" s="401" t="s">
        <v>656</v>
      </c>
      <c r="D395" s="401">
        <v>2.5</v>
      </c>
      <c r="E395" s="405" t="s">
        <v>29</v>
      </c>
      <c r="F395" s="409">
        <v>0.6</v>
      </c>
      <c r="G395" s="41" t="s">
        <v>30</v>
      </c>
      <c r="H395" s="405">
        <f>D395*F395</f>
        <v>1.5</v>
      </c>
      <c r="I395" s="401"/>
      <c r="J395" s="401"/>
      <c r="K395" s="401"/>
      <c r="L395" s="430"/>
      <c r="M395" s="430"/>
      <c r="N395" s="402"/>
      <c r="O395" s="402"/>
      <c r="P395" s="402"/>
    </row>
    <row r="396" spans="1:16" ht="15">
      <c r="A396" s="745"/>
      <c r="B396" s="407"/>
      <c r="C396" s="401"/>
      <c r="D396" s="401"/>
      <c r="E396" s="401"/>
      <c r="F396" s="401"/>
      <c r="G396" s="432"/>
      <c r="H396" s="432"/>
      <c r="I396" s="401"/>
      <c r="J396" s="401"/>
      <c r="K396" s="401"/>
      <c r="L396" s="430"/>
      <c r="M396" s="430"/>
      <c r="N396" s="402"/>
      <c r="O396" s="402"/>
      <c r="P396" s="402"/>
    </row>
    <row r="397" spans="1:16" ht="15">
      <c r="A397" s="745"/>
      <c r="B397" s="407"/>
      <c r="C397" s="406" t="s">
        <v>238</v>
      </c>
      <c r="D397" s="408">
        <f>H393+H395</f>
        <v>4.5</v>
      </c>
      <c r="E397" s="425" t="s">
        <v>3</v>
      </c>
      <c r="F397" s="402"/>
      <c r="G397" s="401"/>
      <c r="H397" s="401"/>
      <c r="I397" s="401"/>
      <c r="J397" s="401"/>
      <c r="K397" s="401"/>
      <c r="L397" s="430"/>
      <c r="M397" s="430"/>
      <c r="N397" s="746"/>
      <c r="O397" s="443"/>
      <c r="P397" s="443"/>
    </row>
    <row r="398" spans="14:16" ht="12.75">
      <c r="N398" s="402"/>
      <c r="O398" s="402"/>
      <c r="P398" s="402"/>
    </row>
    <row r="399" spans="1:16" ht="15" customHeight="1">
      <c r="A399" s="201" t="str">
        <f>'ORÇAMENTO NÃO DESONERADO'!A115</f>
        <v>5.10.2</v>
      </c>
      <c r="B399" s="1145" t="str">
        <f>'ORÇAMENTO NÃO DESONERADO'!C115</f>
        <v>GRANITO PARA BANCADA, POLIDO, TIPO ANDORINHA/ QUARTZ/ CASTELO/ CORUMBA OU OUTROS EQUIVALENTES DA REGIAO, E= *2,5* CM</v>
      </c>
      <c r="C399" s="1145"/>
      <c r="D399" s="1145"/>
      <c r="E399" s="1145"/>
      <c r="F399" s="1145"/>
      <c r="G399" s="1145"/>
      <c r="H399" s="1145"/>
      <c r="I399" s="1145"/>
      <c r="J399" s="1145"/>
      <c r="K399" s="1145"/>
      <c r="L399" s="1145"/>
      <c r="M399" s="1145"/>
      <c r="N399" s="1145"/>
      <c r="O399" s="402"/>
      <c r="P399" s="402"/>
    </row>
    <row r="400" spans="2:16" ht="14.25" customHeight="1">
      <c r="B400" s="1145"/>
      <c r="C400" s="1145"/>
      <c r="D400" s="1145"/>
      <c r="E400" s="1145"/>
      <c r="F400" s="1145"/>
      <c r="G400" s="1145"/>
      <c r="H400" s="1145"/>
      <c r="I400" s="1145"/>
      <c r="J400" s="1145"/>
      <c r="K400" s="1145"/>
      <c r="L400" s="1145"/>
      <c r="M400" s="1145"/>
      <c r="N400" s="1145"/>
      <c r="O400" s="402"/>
      <c r="P400" s="402"/>
    </row>
    <row r="401" spans="14:16" ht="12.75">
      <c r="N401" s="402"/>
      <c r="O401" s="402"/>
      <c r="P401" s="402"/>
    </row>
    <row r="402" spans="3:16" ht="12.75">
      <c r="C402" s="406" t="s">
        <v>109</v>
      </c>
      <c r="D402" s="408">
        <v>2</v>
      </c>
      <c r="E402" s="425" t="s">
        <v>495</v>
      </c>
      <c r="N402" s="402"/>
      <c r="O402" s="402"/>
      <c r="P402" s="402"/>
    </row>
    <row r="403" spans="14:16" ht="12.75">
      <c r="N403" s="402"/>
      <c r="O403" s="402"/>
      <c r="P403" s="402"/>
    </row>
    <row r="404" spans="1:16" ht="15">
      <c r="A404" s="201" t="str">
        <f>'ORÇAMENTO NÃO DESONERADO'!C116</f>
        <v>Janelas - Banheiros</v>
      </c>
      <c r="N404" s="402"/>
      <c r="O404" s="402"/>
      <c r="P404" s="402"/>
    </row>
    <row r="405" spans="1:16" ht="35.25" customHeight="1">
      <c r="A405" s="466" t="str">
        <f>'ORÇAMENTO NÃO DESONERADO'!A117</f>
        <v>5.10.3</v>
      </c>
      <c r="B405" s="1145" t="str">
        <f>'ORÇAMENTO NÃO DESONERADO'!C117</f>
        <v>JANELA DE ALUMÍNIO MAXIM-AR, FIXAÇÃO COM PARAFUSO, VEDAÇÃO COM ESPUMA EXPANSIVA PU, COM VIDROS, PADRONIZADA. AF_07/2016</v>
      </c>
      <c r="C405" s="1145"/>
      <c r="D405" s="1145"/>
      <c r="E405" s="1145"/>
      <c r="F405" s="1145"/>
      <c r="G405" s="1145"/>
      <c r="H405" s="1145"/>
      <c r="I405" s="1145"/>
      <c r="J405" s="1145"/>
      <c r="K405" s="1145"/>
      <c r="L405" s="1145"/>
      <c r="M405" s="1145"/>
      <c r="N405" s="1145"/>
      <c r="O405" s="402"/>
      <c r="P405" s="402"/>
    </row>
    <row r="406" spans="4:16" ht="12.75">
      <c r="D406" s="786" t="s">
        <v>74</v>
      </c>
      <c r="G406" s="41" t="s">
        <v>658</v>
      </c>
      <c r="N406" s="402"/>
      <c r="O406" s="402"/>
      <c r="P406" s="402"/>
    </row>
    <row r="407" spans="1:16" ht="15">
      <c r="A407" s="745"/>
      <c r="B407" s="407"/>
      <c r="C407" s="401" t="s">
        <v>238</v>
      </c>
      <c r="D407" s="401">
        <v>0.4</v>
      </c>
      <c r="E407" s="401" t="s">
        <v>81</v>
      </c>
      <c r="F407" s="401" t="s">
        <v>29</v>
      </c>
      <c r="G407" s="409">
        <v>0.7</v>
      </c>
      <c r="H407" s="401" t="s">
        <v>81</v>
      </c>
      <c r="I407" s="401"/>
      <c r="J407" s="401"/>
      <c r="K407" s="401"/>
      <c r="L407" s="401"/>
      <c r="M407" s="401"/>
      <c r="N407" s="402"/>
      <c r="O407" s="402"/>
      <c r="P407" s="402"/>
    </row>
    <row r="408" spans="1:16" ht="15">
      <c r="A408" s="745"/>
      <c r="B408" s="407"/>
      <c r="C408" s="401"/>
      <c r="D408" s="401"/>
      <c r="E408" s="401"/>
      <c r="F408" s="401"/>
      <c r="G408" s="401"/>
      <c r="H408" s="401"/>
      <c r="I408" s="401"/>
      <c r="J408" s="401"/>
      <c r="K408" s="401"/>
      <c r="L408" s="401"/>
      <c r="M408" s="401"/>
      <c r="N408" s="402"/>
      <c r="O408" s="402"/>
      <c r="P408" s="402"/>
    </row>
    <row r="409" spans="1:16" ht="15">
      <c r="A409" s="745"/>
      <c r="B409" s="407"/>
      <c r="C409" s="401"/>
      <c r="D409" s="405" t="s">
        <v>203</v>
      </c>
      <c r="E409" s="401"/>
      <c r="F409" s="405" t="s">
        <v>471</v>
      </c>
      <c r="G409" s="401"/>
      <c r="H409" s="401"/>
      <c r="I409" s="401"/>
      <c r="J409" s="401"/>
      <c r="K409" s="401"/>
      <c r="L409" s="401"/>
      <c r="M409" s="401"/>
      <c r="N409" s="402"/>
      <c r="O409" s="402"/>
      <c r="P409" s="402"/>
    </row>
    <row r="410" spans="1:16" ht="15">
      <c r="A410" s="745"/>
      <c r="B410" s="407" t="s">
        <v>226</v>
      </c>
      <c r="C410" s="401" t="s">
        <v>238</v>
      </c>
      <c r="D410" s="405">
        <f>D407*G407</f>
        <v>0.27999999999999997</v>
      </c>
      <c r="E410" s="405" t="s">
        <v>29</v>
      </c>
      <c r="F410" s="226">
        <v>5</v>
      </c>
      <c r="G410" s="209"/>
      <c r="H410" s="432"/>
      <c r="I410" s="401"/>
      <c r="J410" s="401"/>
      <c r="K410" s="401"/>
      <c r="L410" s="430"/>
      <c r="M410" s="430"/>
      <c r="N410" s="402"/>
      <c r="O410" s="402"/>
      <c r="P410" s="402"/>
    </row>
    <row r="411" spans="1:16" ht="15">
      <c r="A411" s="745"/>
      <c r="B411" s="407"/>
      <c r="C411" s="401"/>
      <c r="D411" s="401"/>
      <c r="E411" s="401"/>
      <c r="F411" s="401"/>
      <c r="G411" s="432"/>
      <c r="H411" s="432"/>
      <c r="I411" s="401"/>
      <c r="J411" s="401"/>
      <c r="K411" s="401"/>
      <c r="L411" s="430"/>
      <c r="M411" s="430"/>
      <c r="N411" s="402"/>
      <c r="O411" s="402"/>
      <c r="P411" s="402"/>
    </row>
    <row r="412" spans="1:16" ht="15">
      <c r="A412" s="745"/>
      <c r="B412" s="407"/>
      <c r="C412" s="406" t="s">
        <v>238</v>
      </c>
      <c r="D412" s="408">
        <f>ROUND((D410*F410),2)</f>
        <v>1.4</v>
      </c>
      <c r="E412" s="425" t="s">
        <v>3</v>
      </c>
      <c r="F412" s="402"/>
      <c r="G412" s="401"/>
      <c r="H412" s="401"/>
      <c r="I412" s="401"/>
      <c r="J412" s="401"/>
      <c r="K412" s="401"/>
      <c r="L412" s="430"/>
      <c r="M412" s="430"/>
      <c r="N412" s="746"/>
      <c r="O412" s="443"/>
      <c r="P412" s="443"/>
    </row>
    <row r="413" spans="14:16" ht="12.75">
      <c r="N413" s="402"/>
      <c r="O413" s="402"/>
      <c r="P413" s="402"/>
    </row>
    <row r="414" spans="1:16" ht="15">
      <c r="A414" s="201" t="str">
        <f>'ORÇAMENTO NÃO DESONERADO'!C118</f>
        <v>Portas - Sanitário cabines</v>
      </c>
      <c r="N414" s="402"/>
      <c r="O414" s="402"/>
      <c r="P414" s="402"/>
    </row>
    <row r="415" spans="1:16" ht="36" customHeight="1">
      <c r="A415" s="466" t="str">
        <f>'ORÇAMENTO NÃO DESONERADO'!A119</f>
        <v>5.10.4</v>
      </c>
      <c r="B415" s="1145" t="str">
        <f>'ORÇAMENTO NÃO DESONERADO'!C119</f>
        <v>PORTA EM ALUMÍNIO DE ABRIR TIPO VENEZIANA COM GUARNIÇÃO, FIXAÇÃO COM PARAFUSOS - FORNECIMENTO E INSTALAÇÃO. AF_08/2015</v>
      </c>
      <c r="C415" s="1145"/>
      <c r="D415" s="1145"/>
      <c r="E415" s="1145"/>
      <c r="F415" s="1145"/>
      <c r="G415" s="1145"/>
      <c r="H415" s="1145"/>
      <c r="I415" s="1145"/>
      <c r="J415" s="1145"/>
      <c r="K415" s="1145"/>
      <c r="L415" s="1145"/>
      <c r="M415" s="1145"/>
      <c r="N415" s="1145"/>
      <c r="O415" s="402"/>
      <c r="P415" s="402"/>
    </row>
    <row r="416" spans="4:16" ht="12.75">
      <c r="D416" s="786" t="s">
        <v>74</v>
      </c>
      <c r="G416" s="41" t="s">
        <v>658</v>
      </c>
      <c r="N416" s="402"/>
      <c r="O416" s="402"/>
      <c r="P416" s="402"/>
    </row>
    <row r="417" spans="1:16" ht="15">
      <c r="A417" s="745"/>
      <c r="B417" s="407"/>
      <c r="C417" s="401" t="s">
        <v>238</v>
      </c>
      <c r="D417" s="401">
        <v>2</v>
      </c>
      <c r="E417" s="401" t="s">
        <v>81</v>
      </c>
      <c r="F417" s="401" t="s">
        <v>29</v>
      </c>
      <c r="G417" s="436">
        <v>0.9</v>
      </c>
      <c r="H417" s="401" t="s">
        <v>81</v>
      </c>
      <c r="I417" s="401"/>
      <c r="J417" s="401"/>
      <c r="K417" s="401"/>
      <c r="L417" s="401"/>
      <c r="M417" s="401"/>
      <c r="N417" s="402"/>
      <c r="O417" s="402"/>
      <c r="P417" s="402"/>
    </row>
    <row r="418" spans="1:16" ht="15">
      <c r="A418" s="745"/>
      <c r="B418" s="407"/>
      <c r="C418" s="401"/>
      <c r="D418" s="401"/>
      <c r="E418" s="401"/>
      <c r="F418" s="401"/>
      <c r="G418" s="401"/>
      <c r="H418" s="401"/>
      <c r="I418" s="401"/>
      <c r="J418" s="401"/>
      <c r="K418" s="401"/>
      <c r="L418" s="401"/>
      <c r="M418" s="401"/>
      <c r="N418" s="402"/>
      <c r="O418" s="402"/>
      <c r="P418" s="402"/>
    </row>
    <row r="419" spans="1:16" ht="15">
      <c r="A419" s="745"/>
      <c r="B419" s="407"/>
      <c r="C419" s="401"/>
      <c r="D419" s="405" t="s">
        <v>203</v>
      </c>
      <c r="E419" s="401"/>
      <c r="F419" s="405" t="s">
        <v>470</v>
      </c>
      <c r="G419" s="401"/>
      <c r="H419" s="401"/>
      <c r="I419" s="401"/>
      <c r="J419" s="401"/>
      <c r="K419" s="401"/>
      <c r="L419" s="401"/>
      <c r="M419" s="401"/>
      <c r="N419" s="402"/>
      <c r="O419" s="402"/>
      <c r="P419" s="402"/>
    </row>
    <row r="420" spans="1:16" ht="15">
      <c r="A420" s="745"/>
      <c r="B420" s="407" t="s">
        <v>226</v>
      </c>
      <c r="C420" s="401" t="s">
        <v>238</v>
      </c>
      <c r="D420" s="405">
        <f>D417*G417</f>
        <v>1.8</v>
      </c>
      <c r="E420" s="405" t="s">
        <v>29</v>
      </c>
      <c r="F420" s="226">
        <v>4</v>
      </c>
      <c r="G420" s="209"/>
      <c r="H420" s="432"/>
      <c r="I420" s="401"/>
      <c r="J420" s="401"/>
      <c r="K420" s="401"/>
      <c r="L420" s="430"/>
      <c r="M420" s="430"/>
      <c r="N420" s="402"/>
      <c r="O420" s="402"/>
      <c r="P420" s="402"/>
    </row>
    <row r="421" spans="1:16" ht="15">
      <c r="A421" s="745"/>
      <c r="B421" s="407"/>
      <c r="C421" s="401"/>
      <c r="D421" s="401"/>
      <c r="E421" s="401"/>
      <c r="F421" s="401"/>
      <c r="G421" s="432"/>
      <c r="H421" s="432"/>
      <c r="I421" s="401"/>
      <c r="J421" s="401"/>
      <c r="K421" s="401"/>
      <c r="L421" s="430"/>
      <c r="M421" s="430"/>
      <c r="N421" s="402"/>
      <c r="O421" s="402"/>
      <c r="P421" s="402"/>
    </row>
    <row r="422" spans="1:16" ht="15">
      <c r="A422" s="745"/>
      <c r="B422" s="407"/>
      <c r="C422" s="406" t="s">
        <v>238</v>
      </c>
      <c r="D422" s="408">
        <f>ROUND((D420*F420),2)</f>
        <v>7.2</v>
      </c>
      <c r="E422" s="425" t="s">
        <v>3</v>
      </c>
      <c r="F422" s="402"/>
      <c r="G422" s="401"/>
      <c r="H422" s="401"/>
      <c r="I422" s="401"/>
      <c r="J422" s="401"/>
      <c r="K422" s="401"/>
      <c r="L422" s="430"/>
      <c r="M422" s="430"/>
      <c r="N422" s="746"/>
      <c r="O422" s="443"/>
      <c r="P422" s="443"/>
    </row>
    <row r="423" spans="14:16" ht="12.75">
      <c r="N423" s="402"/>
      <c r="O423" s="402"/>
      <c r="P423" s="402"/>
    </row>
    <row r="424" spans="14:16" ht="12.75">
      <c r="N424" s="402"/>
      <c r="O424" s="402"/>
      <c r="P424" s="402"/>
    </row>
    <row r="425" spans="1:16" ht="15" customHeight="1">
      <c r="A425" s="201" t="str">
        <f>'ORÇAMENTO NÃO DESONERADO'!A120</f>
        <v>5.10.5</v>
      </c>
      <c r="B425" s="1145" t="str">
        <f>'ORÇAMENTO NÃO DESONERADO'!C120</f>
        <v>FECHADURA DE EMBUTIR PARA PORTA DE BANHEIRO, COMPLETA, ACABAMENTO PADRÃO MÉDIO, INCLUSO EXECUÇÃO DE FURO - FORNECIMENTO E INSTALAÇÃO. AF_08/2015</v>
      </c>
      <c r="C425" s="1145"/>
      <c r="D425" s="1145"/>
      <c r="E425" s="1145"/>
      <c r="F425" s="1145"/>
      <c r="G425" s="1145"/>
      <c r="H425" s="1145"/>
      <c r="I425" s="1145"/>
      <c r="J425" s="1145"/>
      <c r="K425" s="1145"/>
      <c r="L425" s="1145"/>
      <c r="M425" s="1145"/>
      <c r="N425" s="1145"/>
      <c r="O425" s="402"/>
      <c r="P425" s="402"/>
    </row>
    <row r="426" spans="2:16" ht="14.25" customHeight="1">
      <c r="B426" s="1145"/>
      <c r="C426" s="1145"/>
      <c r="D426" s="1145"/>
      <c r="E426" s="1145"/>
      <c r="F426" s="1145"/>
      <c r="G426" s="1145"/>
      <c r="H426" s="1145"/>
      <c r="I426" s="1145"/>
      <c r="J426" s="1145"/>
      <c r="K426" s="1145"/>
      <c r="L426" s="1145"/>
      <c r="M426" s="1145"/>
      <c r="N426" s="1145"/>
      <c r="O426" s="402"/>
      <c r="P426" s="402"/>
    </row>
    <row r="427" spans="14:16" ht="12.75">
      <c r="N427" s="402"/>
      <c r="O427" s="402"/>
      <c r="P427" s="402"/>
    </row>
    <row r="428" spans="14:16" ht="12.75">
      <c r="N428" s="402"/>
      <c r="O428" s="402"/>
      <c r="P428" s="402"/>
    </row>
    <row r="429" spans="3:16" ht="12.75">
      <c r="C429" s="406" t="s">
        <v>109</v>
      </c>
      <c r="D429" s="408">
        <v>4</v>
      </c>
      <c r="E429" s="425" t="s">
        <v>495</v>
      </c>
      <c r="N429" s="402"/>
      <c r="O429" s="402"/>
      <c r="P429" s="402"/>
    </row>
    <row r="430" spans="14:16" ht="12.75">
      <c r="N430" s="402"/>
      <c r="O430" s="402"/>
      <c r="P430" s="402"/>
    </row>
    <row r="431" spans="1:16" ht="15">
      <c r="A431" s="201" t="str">
        <f>'ORÇAMENTO NÃO DESONERADO'!C121</f>
        <v>Portas - Sanitário 80cm</v>
      </c>
      <c r="N431" s="402"/>
      <c r="O431" s="402"/>
      <c r="P431" s="402"/>
    </row>
    <row r="432" spans="1:16" ht="15" customHeight="1">
      <c r="A432" s="201" t="str">
        <f>'ORÇAMENTO NÃO DESONERADO'!A122</f>
        <v>5.10.6</v>
      </c>
      <c r="B432" s="1145" t="str">
        <f>'ORÇAMENTO NÃO DESONERADO'!C122</f>
        <v>PORTA DE MADEIRA PARA PINTURA, SEMI-OCA (LEVE OU MÉDIA), 80X210CM, ESPESSURA DE 3,5CM, INCLUSO DOBRADIÇAS - FORNECIMENTO E INSTALAÇÃO. AF_08/2015</v>
      </c>
      <c r="C432" s="1145"/>
      <c r="D432" s="1145"/>
      <c r="E432" s="1145"/>
      <c r="F432" s="1145"/>
      <c r="G432" s="1145"/>
      <c r="H432" s="1145"/>
      <c r="I432" s="1145"/>
      <c r="J432" s="1145"/>
      <c r="K432" s="1145"/>
      <c r="L432" s="1145"/>
      <c r="M432" s="1145"/>
      <c r="N432" s="1145"/>
      <c r="O432" s="402"/>
      <c r="P432" s="402"/>
    </row>
    <row r="433" spans="2:16" ht="14.25" customHeight="1">
      <c r="B433" s="1145"/>
      <c r="C433" s="1145"/>
      <c r="D433" s="1145"/>
      <c r="E433" s="1145"/>
      <c r="F433" s="1145"/>
      <c r="G433" s="1145"/>
      <c r="H433" s="1145"/>
      <c r="I433" s="1145"/>
      <c r="J433" s="1145"/>
      <c r="K433" s="1145"/>
      <c r="L433" s="1145"/>
      <c r="M433" s="1145"/>
      <c r="N433" s="1145"/>
      <c r="O433" s="402"/>
      <c r="P433" s="402"/>
    </row>
    <row r="434" spans="14:16" ht="12.75">
      <c r="N434" s="402"/>
      <c r="O434" s="402"/>
      <c r="P434" s="402"/>
    </row>
    <row r="435" spans="3:16" ht="12.75">
      <c r="C435" s="406" t="s">
        <v>109</v>
      </c>
      <c r="D435" s="408">
        <v>4</v>
      </c>
      <c r="E435" s="425" t="s">
        <v>495</v>
      </c>
      <c r="N435" s="402"/>
      <c r="O435" s="402"/>
      <c r="P435" s="402"/>
    </row>
    <row r="436" spans="14:16" ht="12.75">
      <c r="N436" s="402"/>
      <c r="O436" s="402"/>
      <c r="P436" s="402"/>
    </row>
    <row r="437" spans="1:16" ht="15" customHeight="1">
      <c r="A437" s="201" t="str">
        <f>'ORÇAMENTO NÃO DESONERADO'!A123</f>
        <v>5.10.7</v>
      </c>
      <c r="B437" s="1149" t="str">
        <f>'ORÇAMENTO NÃO DESONERADO'!C123</f>
        <v>FECHADURA DE EMBUTIR COM CILINDRO, EXTERNA, COMPLETA, ACABA MENTO PADRÃO MÉDIO, INCLUSO EXECUÇÃO DE FURO - FORNECIMENTO E INSTALAÇÃO. AF_08/2015</v>
      </c>
      <c r="C437" s="1149"/>
      <c r="D437" s="1149"/>
      <c r="E437" s="1149"/>
      <c r="F437" s="1149"/>
      <c r="G437" s="1149"/>
      <c r="H437" s="1149"/>
      <c r="I437" s="1149"/>
      <c r="J437" s="1149"/>
      <c r="K437" s="1149"/>
      <c r="L437" s="1149"/>
      <c r="M437" s="1149"/>
      <c r="N437" s="1149"/>
      <c r="O437" s="402"/>
      <c r="P437" s="402"/>
    </row>
    <row r="438" spans="2:16" ht="14.25" customHeight="1">
      <c r="B438" s="1149"/>
      <c r="C438" s="1149"/>
      <c r="D438" s="1149"/>
      <c r="E438" s="1149"/>
      <c r="F438" s="1149"/>
      <c r="G438" s="1149"/>
      <c r="H438" s="1149"/>
      <c r="I438" s="1149"/>
      <c r="J438" s="1149"/>
      <c r="K438" s="1149"/>
      <c r="L438" s="1149"/>
      <c r="M438" s="1149"/>
      <c r="N438" s="1149"/>
      <c r="O438" s="402"/>
      <c r="P438" s="402"/>
    </row>
    <row r="439" spans="14:16" ht="12.75">
      <c r="N439" s="402"/>
      <c r="O439" s="402"/>
      <c r="P439" s="402"/>
    </row>
    <row r="440" spans="3:16" ht="12.75">
      <c r="C440" s="406" t="s">
        <v>109</v>
      </c>
      <c r="D440" s="408">
        <v>4</v>
      </c>
      <c r="E440" s="425" t="s">
        <v>495</v>
      </c>
      <c r="N440" s="402"/>
      <c r="O440" s="402"/>
      <c r="P440" s="402"/>
    </row>
    <row r="441" spans="1:16" s="592" customFormat="1" ht="12.75">
      <c r="A441" s="205"/>
      <c r="B441" s="205"/>
      <c r="C441" s="405"/>
      <c r="D441" s="405"/>
      <c r="E441" s="405"/>
      <c r="F441" s="205"/>
      <c r="G441" s="205"/>
      <c r="H441" s="205"/>
      <c r="I441" s="205"/>
      <c r="J441" s="205"/>
      <c r="K441" s="205"/>
      <c r="L441" s="205"/>
      <c r="M441" s="205"/>
      <c r="N441" s="413"/>
      <c r="O441" s="413"/>
      <c r="P441" s="413"/>
    </row>
    <row r="442" spans="1:16" s="592" customFormat="1" ht="15">
      <c r="A442" s="593" t="str">
        <f>'ORÇAMENTO NÃO DESONERADO'!C124</f>
        <v>Portas - Sanitário 90cm</v>
      </c>
      <c r="B442" s="205"/>
      <c r="C442" s="405"/>
      <c r="D442" s="405"/>
      <c r="E442" s="405"/>
      <c r="F442" s="205"/>
      <c r="G442" s="205"/>
      <c r="H442" s="205"/>
      <c r="I442" s="205"/>
      <c r="J442" s="205"/>
      <c r="K442" s="205"/>
      <c r="L442" s="205"/>
      <c r="M442" s="205"/>
      <c r="N442" s="413"/>
      <c r="O442" s="413"/>
      <c r="P442" s="413"/>
    </row>
    <row r="443" spans="1:16" s="592" customFormat="1" ht="15" customHeight="1">
      <c r="A443" s="593" t="str">
        <f>'ORÇAMENTO NÃO DESONERADO'!A125</f>
        <v>5.10.8</v>
      </c>
      <c r="B443" s="1159" t="str">
        <f>'ORÇAMENTO NÃO DESONERADO'!C125</f>
        <v>PORTA DE MADEIRA PARA PINTURA, SEMI-OCA (LEVE OU MÉDIA), 90X210CM, ESPESSURA DE 3,5CM, INCLUSO DOBRADIÇAS - FORNECIMENTO E INSTALAÇÃO. AF_08/2016</v>
      </c>
      <c r="C443" s="1159"/>
      <c r="D443" s="1159"/>
      <c r="E443" s="1159"/>
      <c r="F443" s="1159"/>
      <c r="G443" s="1159"/>
      <c r="H443" s="1159"/>
      <c r="I443" s="1159"/>
      <c r="J443" s="1159"/>
      <c r="K443" s="1159"/>
      <c r="L443" s="1159"/>
      <c r="M443" s="1159"/>
      <c r="N443" s="1159"/>
      <c r="O443" s="413"/>
      <c r="P443" s="413"/>
    </row>
    <row r="444" spans="1:16" s="592" customFormat="1" ht="14.25" customHeight="1">
      <c r="A444" s="205"/>
      <c r="B444" s="1159"/>
      <c r="C444" s="1159"/>
      <c r="D444" s="1159"/>
      <c r="E444" s="1159"/>
      <c r="F444" s="1159"/>
      <c r="G444" s="1159"/>
      <c r="H444" s="1159"/>
      <c r="I444" s="1159"/>
      <c r="J444" s="1159"/>
      <c r="K444" s="1159"/>
      <c r="L444" s="1159"/>
      <c r="M444" s="1159"/>
      <c r="N444" s="1159"/>
      <c r="O444" s="413"/>
      <c r="P444" s="413"/>
    </row>
    <row r="445" spans="1:16" s="592" customFormat="1" ht="12.75">
      <c r="A445" s="205"/>
      <c r="B445" s="205"/>
      <c r="C445" s="405"/>
      <c r="D445" s="405"/>
      <c r="E445" s="405"/>
      <c r="F445" s="205"/>
      <c r="G445" s="205"/>
      <c r="H445" s="205"/>
      <c r="I445" s="205"/>
      <c r="J445" s="205"/>
      <c r="K445" s="205"/>
      <c r="L445" s="205"/>
      <c r="M445" s="205"/>
      <c r="N445" s="413"/>
      <c r="O445" s="413"/>
      <c r="P445" s="413"/>
    </row>
    <row r="446" spans="1:16" s="592" customFormat="1" ht="12.75">
      <c r="A446" s="205"/>
      <c r="B446" s="205"/>
      <c r="C446" s="406" t="s">
        <v>109</v>
      </c>
      <c r="D446" s="408">
        <v>1</v>
      </c>
      <c r="E446" s="425" t="s">
        <v>495</v>
      </c>
      <c r="F446" s="205"/>
      <c r="G446" s="205"/>
      <c r="H446" s="205"/>
      <c r="I446" s="205"/>
      <c r="J446" s="205"/>
      <c r="K446" s="205"/>
      <c r="L446" s="205"/>
      <c r="M446" s="205"/>
      <c r="N446" s="413"/>
      <c r="O446" s="413"/>
      <c r="P446" s="413"/>
    </row>
    <row r="447" spans="1:16" s="592" customFormat="1" ht="12.75">
      <c r="A447" s="205"/>
      <c r="B447" s="205"/>
      <c r="C447" s="405"/>
      <c r="D447" s="405"/>
      <c r="E447" s="405"/>
      <c r="F447" s="205"/>
      <c r="G447" s="205"/>
      <c r="H447" s="205"/>
      <c r="I447" s="205"/>
      <c r="J447" s="205"/>
      <c r="K447" s="205"/>
      <c r="L447" s="205"/>
      <c r="M447" s="205"/>
      <c r="N447" s="413"/>
      <c r="O447" s="413"/>
      <c r="P447" s="413"/>
    </row>
    <row r="448" spans="1:16" s="592" customFormat="1" ht="15" customHeight="1">
      <c r="A448" s="593" t="str">
        <f>'ORÇAMENTO NÃO DESONERADO'!A126</f>
        <v>5.10.9</v>
      </c>
      <c r="B448" s="1159" t="str">
        <f>'ORÇAMENTO NÃO DESONERADO'!C126</f>
        <v>FECHADURA DE EMBUTIR COM CILINDRO, EXTERNA, COMPLETA, ACABA MENTO PADRÃO MÉDIO, INCLUSO EXECUÇÃO DE FURO - FORNECIMENTO E INSTALAÇÃO. AF_08/2015</v>
      </c>
      <c r="C448" s="1159"/>
      <c r="D448" s="1159"/>
      <c r="E448" s="1159"/>
      <c r="F448" s="1159"/>
      <c r="G448" s="1159"/>
      <c r="H448" s="1159"/>
      <c r="I448" s="1159"/>
      <c r="J448" s="1159"/>
      <c r="K448" s="1159"/>
      <c r="L448" s="1159"/>
      <c r="M448" s="1159"/>
      <c r="N448" s="1159"/>
      <c r="O448" s="413"/>
      <c r="P448" s="413"/>
    </row>
    <row r="449" spans="1:16" s="592" customFormat="1" ht="14.25" customHeight="1">
      <c r="A449" s="205"/>
      <c r="B449" s="1159"/>
      <c r="C449" s="1159"/>
      <c r="D449" s="1159"/>
      <c r="E449" s="1159"/>
      <c r="F449" s="1159"/>
      <c r="G449" s="1159"/>
      <c r="H449" s="1159"/>
      <c r="I449" s="1159"/>
      <c r="J449" s="1159"/>
      <c r="K449" s="1159"/>
      <c r="L449" s="1159"/>
      <c r="M449" s="1159"/>
      <c r="N449" s="1159"/>
      <c r="O449" s="413"/>
      <c r="P449" s="413"/>
    </row>
    <row r="450" spans="1:16" s="592" customFormat="1" ht="12.75">
      <c r="A450" s="205"/>
      <c r="B450" s="205"/>
      <c r="C450" s="405"/>
      <c r="D450" s="405"/>
      <c r="E450" s="405"/>
      <c r="F450" s="205"/>
      <c r="G450" s="205"/>
      <c r="H450" s="205"/>
      <c r="I450" s="205"/>
      <c r="J450" s="205"/>
      <c r="K450" s="205"/>
      <c r="L450" s="205"/>
      <c r="M450" s="205"/>
      <c r="N450" s="413"/>
      <c r="O450" s="413"/>
      <c r="P450" s="413"/>
    </row>
    <row r="451" spans="1:16" s="592" customFormat="1" ht="12.75">
      <c r="A451" s="205"/>
      <c r="B451" s="205"/>
      <c r="C451" s="406" t="s">
        <v>109</v>
      </c>
      <c r="D451" s="408">
        <v>1</v>
      </c>
      <c r="E451" s="425" t="s">
        <v>495</v>
      </c>
      <c r="F451" s="205"/>
      <c r="G451" s="205"/>
      <c r="H451" s="205"/>
      <c r="I451" s="205"/>
      <c r="J451" s="205"/>
      <c r="K451" s="205"/>
      <c r="L451" s="205"/>
      <c r="M451" s="205"/>
      <c r="N451" s="413"/>
      <c r="O451" s="413"/>
      <c r="P451" s="413"/>
    </row>
    <row r="452" spans="1:16" s="592" customFormat="1" ht="12.75">
      <c r="A452" s="205"/>
      <c r="B452" s="205"/>
      <c r="C452" s="405"/>
      <c r="D452" s="405"/>
      <c r="E452" s="405"/>
      <c r="F452" s="205"/>
      <c r="G452" s="205"/>
      <c r="H452" s="205"/>
      <c r="I452" s="205"/>
      <c r="J452" s="205"/>
      <c r="K452" s="205"/>
      <c r="L452" s="205"/>
      <c r="M452" s="205"/>
      <c r="N452" s="413"/>
      <c r="O452" s="413"/>
      <c r="P452" s="413"/>
    </row>
    <row r="453" spans="1:16" s="592" customFormat="1" ht="15">
      <c r="A453" s="593" t="str">
        <f>'ORÇAMENTO NÃO DESONERADO'!C127</f>
        <v>Portas - Guichês 70cm</v>
      </c>
      <c r="B453" s="205"/>
      <c r="C453" s="405"/>
      <c r="D453" s="405"/>
      <c r="E453" s="405"/>
      <c r="F453" s="205"/>
      <c r="G453" s="205"/>
      <c r="H453" s="205"/>
      <c r="I453" s="205"/>
      <c r="J453" s="205"/>
      <c r="K453" s="205"/>
      <c r="L453" s="205"/>
      <c r="M453" s="205"/>
      <c r="N453" s="413"/>
      <c r="O453" s="413"/>
      <c r="P453" s="413"/>
    </row>
    <row r="454" spans="1:16" s="592" customFormat="1" ht="15" customHeight="1">
      <c r="A454" s="593" t="str">
        <f>'ORÇAMENTO NÃO DESONERADO'!A128</f>
        <v>5.10.10</v>
      </c>
      <c r="B454" s="1159" t="str">
        <f>'ORÇAMENTO NÃO DESONERADO'!C128</f>
        <v>PORTA DE MADEIRA PARA PINTURA, SEMI-OCA (LEVE OU MÉDIA), 70X210CM, ESPESSURA DE 3,5CM, INCLUSO DOBRADIÇAS - FORNECIMENTO E INSTALAÇÃO. AF_08/2015</v>
      </c>
      <c r="C454" s="1159"/>
      <c r="D454" s="1159"/>
      <c r="E454" s="1159"/>
      <c r="F454" s="1159"/>
      <c r="G454" s="1159"/>
      <c r="H454" s="1159"/>
      <c r="I454" s="1159"/>
      <c r="J454" s="1159"/>
      <c r="K454" s="1159"/>
      <c r="L454" s="1159"/>
      <c r="M454" s="1159"/>
      <c r="N454" s="1159"/>
      <c r="O454" s="413"/>
      <c r="P454" s="413"/>
    </row>
    <row r="455" spans="1:16" s="592" customFormat="1" ht="14.25" customHeight="1">
      <c r="A455" s="205"/>
      <c r="B455" s="1159"/>
      <c r="C455" s="1159"/>
      <c r="D455" s="1159"/>
      <c r="E455" s="1159"/>
      <c r="F455" s="1159"/>
      <c r="G455" s="1159"/>
      <c r="H455" s="1159"/>
      <c r="I455" s="1159"/>
      <c r="J455" s="1159"/>
      <c r="K455" s="1159"/>
      <c r="L455" s="1159"/>
      <c r="M455" s="1159"/>
      <c r="N455" s="1159"/>
      <c r="O455" s="413"/>
      <c r="P455" s="413"/>
    </row>
    <row r="456" spans="1:16" s="592" customFormat="1" ht="12.75">
      <c r="A456" s="205"/>
      <c r="B456" s="205"/>
      <c r="C456" s="405"/>
      <c r="D456" s="405"/>
      <c r="E456" s="405"/>
      <c r="F456" s="205"/>
      <c r="G456" s="205"/>
      <c r="H456" s="205"/>
      <c r="I456" s="205"/>
      <c r="J456" s="205"/>
      <c r="K456" s="205"/>
      <c r="L456" s="205"/>
      <c r="M456" s="205"/>
      <c r="N456" s="413"/>
      <c r="O456" s="413"/>
      <c r="P456" s="413"/>
    </row>
    <row r="457" spans="1:16" s="592" customFormat="1" ht="12.75">
      <c r="A457" s="205"/>
      <c r="C457" s="406" t="s">
        <v>109</v>
      </c>
      <c r="D457" s="408">
        <v>2</v>
      </c>
      <c r="E457" s="425" t="s">
        <v>495</v>
      </c>
      <c r="F457" s="205"/>
      <c r="G457" s="205"/>
      <c r="H457" s="205"/>
      <c r="I457" s="205"/>
      <c r="J457" s="205"/>
      <c r="K457" s="205"/>
      <c r="L457" s="205"/>
      <c r="M457" s="205"/>
      <c r="N457" s="413"/>
      <c r="O457" s="413"/>
      <c r="P457" s="413"/>
    </row>
    <row r="458" spans="1:16" s="592" customFormat="1" ht="12.75">
      <c r="A458" s="205"/>
      <c r="B458" s="205"/>
      <c r="C458" s="405"/>
      <c r="D458" s="405"/>
      <c r="E458" s="405"/>
      <c r="F458" s="205"/>
      <c r="G458" s="205"/>
      <c r="H458" s="205"/>
      <c r="I458" s="205"/>
      <c r="J458" s="205"/>
      <c r="K458" s="205"/>
      <c r="L458" s="205"/>
      <c r="M458" s="205"/>
      <c r="N458" s="413"/>
      <c r="O458" s="413"/>
      <c r="P458" s="413"/>
    </row>
    <row r="459" spans="1:16" s="592" customFormat="1" ht="15" customHeight="1">
      <c r="A459" s="593" t="str">
        <f>'ORÇAMENTO NÃO DESONERADO'!A129</f>
        <v>5.10.11</v>
      </c>
      <c r="B459" s="1159" t="str">
        <f>'ORÇAMENTO NÃO DESONERADO'!C129</f>
        <v>FECHADURA DE EMBUTIR COM CILINDRO, EXTERNA, COMPLETA, ACABA MENTO PADRÃO MÉDIO, INCLUSO EXECUÇÃO DE FURO - FORNECIMENTO E INSTALAÇÃO. AF_08/2
015</v>
      </c>
      <c r="C459" s="1159"/>
      <c r="D459" s="1159"/>
      <c r="E459" s="1159"/>
      <c r="F459" s="1159"/>
      <c r="G459" s="1159"/>
      <c r="H459" s="1159"/>
      <c r="I459" s="1159"/>
      <c r="J459" s="1159"/>
      <c r="K459" s="1159"/>
      <c r="L459" s="1159"/>
      <c r="M459" s="1159"/>
      <c r="N459" s="1159"/>
      <c r="O459" s="413"/>
      <c r="P459" s="413"/>
    </row>
    <row r="460" spans="1:16" s="592" customFormat="1" ht="14.25" customHeight="1">
      <c r="A460" s="205"/>
      <c r="B460" s="1159"/>
      <c r="C460" s="1159"/>
      <c r="D460" s="1159"/>
      <c r="E460" s="1159"/>
      <c r="F460" s="1159"/>
      <c r="G460" s="1159"/>
      <c r="H460" s="1159"/>
      <c r="I460" s="1159"/>
      <c r="J460" s="1159"/>
      <c r="K460" s="1159"/>
      <c r="L460" s="1159"/>
      <c r="M460" s="1159"/>
      <c r="N460" s="1159"/>
      <c r="O460" s="413"/>
      <c r="P460" s="413"/>
    </row>
    <row r="461" spans="1:16" s="592" customFormat="1" ht="12.75">
      <c r="A461" s="205"/>
      <c r="B461" s="205"/>
      <c r="C461" s="405"/>
      <c r="D461" s="405"/>
      <c r="E461" s="405"/>
      <c r="F461" s="205"/>
      <c r="G461" s="205"/>
      <c r="H461" s="205"/>
      <c r="I461" s="205"/>
      <c r="J461" s="205"/>
      <c r="K461" s="205"/>
      <c r="L461" s="205"/>
      <c r="M461" s="205"/>
      <c r="N461" s="413"/>
      <c r="O461" s="413"/>
      <c r="P461" s="413"/>
    </row>
    <row r="462" spans="1:16" s="592" customFormat="1" ht="12.75">
      <c r="A462" s="205"/>
      <c r="B462" s="205"/>
      <c r="C462" s="406" t="s">
        <v>109</v>
      </c>
      <c r="D462" s="408">
        <v>2</v>
      </c>
      <c r="E462" s="425" t="s">
        <v>495</v>
      </c>
      <c r="F462" s="205"/>
      <c r="G462" s="205"/>
      <c r="H462" s="205"/>
      <c r="I462" s="205"/>
      <c r="J462" s="205"/>
      <c r="K462" s="205"/>
      <c r="L462" s="205"/>
      <c r="M462" s="205"/>
      <c r="N462" s="413"/>
      <c r="O462" s="413"/>
      <c r="P462" s="413"/>
    </row>
    <row r="463" spans="1:16" s="592" customFormat="1" ht="12.75">
      <c r="A463" s="205"/>
      <c r="B463" s="205"/>
      <c r="C463" s="405"/>
      <c r="D463" s="405"/>
      <c r="E463" s="405"/>
      <c r="F463" s="205"/>
      <c r="G463" s="205"/>
      <c r="H463" s="205"/>
      <c r="I463" s="205"/>
      <c r="J463" s="205"/>
      <c r="K463" s="205"/>
      <c r="L463" s="205"/>
      <c r="M463" s="205"/>
      <c r="N463" s="413"/>
      <c r="O463" s="413"/>
      <c r="P463" s="413"/>
    </row>
    <row r="464" spans="14:16" ht="12.75">
      <c r="N464" s="402"/>
      <c r="O464" s="402"/>
      <c r="P464" s="402"/>
    </row>
    <row r="465" spans="1:16" ht="15">
      <c r="A465" s="201" t="str">
        <f>'ORÇAMENTO NÃO DESONERADO'!A131</f>
        <v>5.11</v>
      </c>
      <c r="B465" s="201" t="str">
        <f>'ORÇAMENTO NÃO DESONERADO'!C131</f>
        <v>PINTURA</v>
      </c>
      <c r="C465" s="201"/>
      <c r="N465" s="402"/>
      <c r="O465" s="402"/>
      <c r="P465" s="402"/>
    </row>
    <row r="466" spans="1:16" ht="15">
      <c r="A466" s="41" t="str">
        <f>'ORÇAMENTO NÃO DESONERADO'!A132</f>
        <v>5.11.1</v>
      </c>
      <c r="B466" s="201" t="str">
        <f>'ORÇAMENTO NÃO DESONERADO'!C132</f>
        <v>APLICAÇÃO MANUAL DE PINTURA COM TINTA LÁTEX ACRÍLICA EM PAREDES, DUAS DEMÃOS. AF_06/2014</v>
      </c>
      <c r="C466" s="201"/>
      <c r="N466" s="598"/>
      <c r="O466" s="443"/>
      <c r="P466" s="402"/>
    </row>
    <row r="467" spans="14:16" ht="15">
      <c r="N467" s="443"/>
      <c r="O467" s="443"/>
      <c r="P467" s="402"/>
    </row>
    <row r="468" spans="1:16" ht="15">
      <c r="A468" s="431"/>
      <c r="B468" s="407"/>
      <c r="C468" s="451"/>
      <c r="D468" s="452" t="s">
        <v>246</v>
      </c>
      <c r="E468" s="434"/>
      <c r="F468" s="238" t="s">
        <v>33</v>
      </c>
      <c r="G468" s="451"/>
      <c r="H468" s="452" t="s">
        <v>239</v>
      </c>
      <c r="I468" s="434"/>
      <c r="J468" s="452" t="s">
        <v>227</v>
      </c>
      <c r="K468" s="418"/>
      <c r="L468" s="451"/>
      <c r="M468" s="401"/>
      <c r="N468" s="402"/>
      <c r="O468" s="402"/>
      <c r="P468" s="402"/>
    </row>
    <row r="469" spans="1:16" ht="15">
      <c r="A469" s="745"/>
      <c r="B469" s="407"/>
      <c r="C469" s="822" t="s">
        <v>208</v>
      </c>
      <c r="D469" s="452"/>
      <c r="E469" s="434"/>
      <c r="F469" s="238"/>
      <c r="G469" s="451"/>
      <c r="H469" s="452"/>
      <c r="I469" s="434"/>
      <c r="J469" s="452"/>
      <c r="K469" s="418"/>
      <c r="L469" s="451"/>
      <c r="M469" s="401"/>
      <c r="N469" s="402"/>
      <c r="O469" s="402"/>
      <c r="P469" s="402"/>
    </row>
    <row r="470" spans="1:16" ht="15">
      <c r="A470" s="431"/>
      <c r="B470" s="407"/>
      <c r="C470" s="451" t="s">
        <v>240</v>
      </c>
      <c r="D470" s="818">
        <v>16.2</v>
      </c>
      <c r="E470" s="238" t="s">
        <v>29</v>
      </c>
      <c r="F470" s="238">
        <v>3.5</v>
      </c>
      <c r="G470" s="452" t="s">
        <v>29</v>
      </c>
      <c r="H470" s="452">
        <v>1</v>
      </c>
      <c r="I470" s="452" t="s">
        <v>30</v>
      </c>
      <c r="J470" s="456">
        <f aca="true" t="shared" si="12" ref="J470:J481">D470*F470*H470</f>
        <v>56.699999999999996</v>
      </c>
      <c r="K470" s="238"/>
      <c r="L470" s="451"/>
      <c r="M470" s="401"/>
      <c r="N470" s="402"/>
      <c r="O470" s="402"/>
      <c r="P470" s="402"/>
    </row>
    <row r="471" spans="1:16" ht="15">
      <c r="A471" s="745"/>
      <c r="B471" s="407"/>
      <c r="C471" s="451"/>
      <c r="D471" s="818">
        <v>16.2</v>
      </c>
      <c r="E471" s="238" t="s">
        <v>29</v>
      </c>
      <c r="F471" s="238">
        <v>3.5</v>
      </c>
      <c r="G471" s="452" t="s">
        <v>29</v>
      </c>
      <c r="H471" s="452">
        <v>1</v>
      </c>
      <c r="I471" s="452"/>
      <c r="J471" s="766">
        <f t="shared" si="12"/>
        <v>56.699999999999996</v>
      </c>
      <c r="K471" s="238"/>
      <c r="L471" s="451"/>
      <c r="M471" s="401"/>
      <c r="N471" s="402"/>
      <c r="O471" s="402"/>
      <c r="P471" s="402"/>
    </row>
    <row r="472" spans="1:16" ht="15">
      <c r="A472" s="745"/>
      <c r="B472" s="407"/>
      <c r="C472" s="451"/>
      <c r="D472" s="818">
        <v>19.9</v>
      </c>
      <c r="E472" s="238" t="s">
        <v>29</v>
      </c>
      <c r="F472" s="238">
        <v>3.5</v>
      </c>
      <c r="G472" s="452" t="s">
        <v>29</v>
      </c>
      <c r="H472" s="452">
        <v>1</v>
      </c>
      <c r="I472" s="452"/>
      <c r="J472" s="766">
        <f t="shared" si="12"/>
        <v>69.64999999999999</v>
      </c>
      <c r="K472" s="238"/>
      <c r="L472" s="451"/>
      <c r="M472" s="401"/>
      <c r="N472" s="402"/>
      <c r="O472" s="402"/>
      <c r="P472" s="402"/>
    </row>
    <row r="473" spans="1:16" ht="15">
      <c r="A473" s="745"/>
      <c r="B473" s="407"/>
      <c r="C473" s="451"/>
      <c r="D473" s="818">
        <v>13.15</v>
      </c>
      <c r="E473" s="238" t="s">
        <v>29</v>
      </c>
      <c r="F473" s="238">
        <v>3.5</v>
      </c>
      <c r="G473" s="452" t="s">
        <v>29</v>
      </c>
      <c r="H473" s="452">
        <v>1</v>
      </c>
      <c r="I473" s="452"/>
      <c r="J473" s="766">
        <f t="shared" si="12"/>
        <v>46.025</v>
      </c>
      <c r="K473" s="238"/>
      <c r="L473" s="451"/>
      <c r="M473" s="401"/>
      <c r="N473" s="402"/>
      <c r="O473" s="402"/>
      <c r="P473" s="402"/>
    </row>
    <row r="474" spans="1:16" ht="15">
      <c r="A474" s="745"/>
      <c r="B474" s="407"/>
      <c r="C474" s="451"/>
      <c r="D474" s="818">
        <v>3.7</v>
      </c>
      <c r="E474" s="238" t="s">
        <v>29</v>
      </c>
      <c r="F474" s="238">
        <v>3.5</v>
      </c>
      <c r="G474" s="452" t="s">
        <v>29</v>
      </c>
      <c r="H474" s="452">
        <v>1</v>
      </c>
      <c r="I474" s="452"/>
      <c r="J474" s="766">
        <f t="shared" si="12"/>
        <v>12.950000000000001</v>
      </c>
      <c r="K474" s="238"/>
      <c r="L474" s="451"/>
      <c r="M474" s="401"/>
      <c r="N474" s="402"/>
      <c r="O474" s="402"/>
      <c r="P474" s="402"/>
    </row>
    <row r="475" spans="1:16" ht="15">
      <c r="A475" s="745"/>
      <c r="B475" s="407"/>
      <c r="C475" s="451" t="s">
        <v>490</v>
      </c>
      <c r="D475" s="818">
        <v>10.88</v>
      </c>
      <c r="E475" s="238" t="s">
        <v>29</v>
      </c>
      <c r="F475" s="238">
        <v>3.5</v>
      </c>
      <c r="G475" s="452" t="s">
        <v>29</v>
      </c>
      <c r="H475" s="452">
        <v>1</v>
      </c>
      <c r="I475" s="452"/>
      <c r="J475" s="766">
        <f t="shared" si="12"/>
        <v>38.080000000000005</v>
      </c>
      <c r="K475" s="238"/>
      <c r="L475" s="451"/>
      <c r="M475" s="401"/>
      <c r="N475" s="402"/>
      <c r="O475" s="402"/>
      <c r="P475" s="402"/>
    </row>
    <row r="476" spans="1:16" ht="15">
      <c r="A476" s="745"/>
      <c r="B476" s="407"/>
      <c r="C476" s="451"/>
      <c r="D476" s="818">
        <v>9.7</v>
      </c>
      <c r="E476" s="238" t="s">
        <v>29</v>
      </c>
      <c r="F476" s="238">
        <v>3.5</v>
      </c>
      <c r="G476" s="452" t="s">
        <v>29</v>
      </c>
      <c r="H476" s="452">
        <v>1</v>
      </c>
      <c r="I476" s="452"/>
      <c r="J476" s="766">
        <f t="shared" si="12"/>
        <v>33.949999999999996</v>
      </c>
      <c r="K476" s="238"/>
      <c r="L476" s="451"/>
      <c r="M476" s="401"/>
      <c r="N476" s="402"/>
      <c r="O476" s="402"/>
      <c r="P476" s="402"/>
    </row>
    <row r="477" spans="1:16" ht="15">
      <c r="A477" s="745"/>
      <c r="B477" s="407"/>
      <c r="C477" s="451"/>
      <c r="D477" s="818">
        <v>1.2</v>
      </c>
      <c r="E477" s="238" t="s">
        <v>29</v>
      </c>
      <c r="F477" s="238">
        <v>3.5</v>
      </c>
      <c r="G477" s="452" t="s">
        <v>29</v>
      </c>
      <c r="H477" s="452">
        <v>1</v>
      </c>
      <c r="I477" s="452"/>
      <c r="J477" s="766">
        <f t="shared" si="12"/>
        <v>4.2</v>
      </c>
      <c r="K477" s="238"/>
      <c r="L477" s="451"/>
      <c r="M477" s="401"/>
      <c r="N477" s="402"/>
      <c r="O477" s="402"/>
      <c r="P477" s="402"/>
    </row>
    <row r="478" spans="1:16" ht="15">
      <c r="A478" s="745"/>
      <c r="B478" s="407"/>
      <c r="C478" s="451"/>
      <c r="D478" s="818">
        <v>0.9</v>
      </c>
      <c r="E478" s="238" t="s">
        <v>29</v>
      </c>
      <c r="F478" s="238">
        <v>3.5</v>
      </c>
      <c r="G478" s="452" t="s">
        <v>29</v>
      </c>
      <c r="H478" s="452">
        <v>1</v>
      </c>
      <c r="I478" s="452"/>
      <c r="J478" s="766">
        <f t="shared" si="12"/>
        <v>3.15</v>
      </c>
      <c r="K478" s="238"/>
      <c r="L478" s="451"/>
      <c r="M478" s="401"/>
      <c r="N478" s="402"/>
      <c r="O478" s="402"/>
      <c r="P478" s="402"/>
    </row>
    <row r="479" spans="1:16" ht="12" customHeight="1">
      <c r="A479" s="431"/>
      <c r="B479" s="407"/>
      <c r="C479" s="451"/>
      <c r="D479" s="819">
        <v>0.8</v>
      </c>
      <c r="E479" s="238" t="s">
        <v>29</v>
      </c>
      <c r="F479" s="238">
        <v>3.5</v>
      </c>
      <c r="G479" s="452" t="s">
        <v>29</v>
      </c>
      <c r="H479" s="452">
        <v>1</v>
      </c>
      <c r="I479" s="452"/>
      <c r="J479" s="766">
        <f t="shared" si="12"/>
        <v>2.8000000000000003</v>
      </c>
      <c r="K479" s="468"/>
      <c r="L479" s="451"/>
      <c r="M479" s="401"/>
      <c r="N479" s="402"/>
      <c r="O479" s="402"/>
      <c r="P479" s="402"/>
    </row>
    <row r="480" spans="1:16" ht="12" customHeight="1">
      <c r="A480" s="745"/>
      <c r="B480" s="407"/>
      <c r="C480" s="451"/>
      <c r="D480" s="819">
        <v>10.9</v>
      </c>
      <c r="E480" s="238" t="s">
        <v>29</v>
      </c>
      <c r="F480" s="238">
        <v>3.5</v>
      </c>
      <c r="G480" s="452" t="s">
        <v>29</v>
      </c>
      <c r="H480" s="452">
        <v>1</v>
      </c>
      <c r="I480" s="452"/>
      <c r="J480" s="766">
        <f t="shared" si="12"/>
        <v>38.15</v>
      </c>
      <c r="K480" s="468"/>
      <c r="L480" s="451"/>
      <c r="M480" s="401"/>
      <c r="N480" s="402"/>
      <c r="O480" s="402"/>
      <c r="P480" s="402"/>
    </row>
    <row r="481" spans="1:16" ht="12" customHeight="1">
      <c r="A481" s="745"/>
      <c r="B481" s="407"/>
      <c r="C481" s="451"/>
      <c r="D481" s="819">
        <v>9.7</v>
      </c>
      <c r="E481" s="238" t="s">
        <v>29</v>
      </c>
      <c r="F481" s="238">
        <v>3.5</v>
      </c>
      <c r="G481" s="452" t="s">
        <v>29</v>
      </c>
      <c r="H481" s="452">
        <v>1</v>
      </c>
      <c r="I481" s="452"/>
      <c r="J481" s="788">
        <f t="shared" si="12"/>
        <v>33.949999999999996</v>
      </c>
      <c r="K481" s="468"/>
      <c r="L481" s="451"/>
      <c r="M481" s="401"/>
      <c r="N481" s="402"/>
      <c r="O481" s="402"/>
      <c r="P481" s="402"/>
    </row>
    <row r="482" spans="1:16" ht="12" customHeight="1">
      <c r="A482" s="745"/>
      <c r="B482" s="407"/>
      <c r="C482" s="451"/>
      <c r="D482" s="821"/>
      <c r="E482" s="238"/>
      <c r="F482" s="238"/>
      <c r="G482" s="452"/>
      <c r="H482" s="452"/>
      <c r="I482" s="452"/>
      <c r="J482" s="238"/>
      <c r="K482" s="468"/>
      <c r="L482" s="451"/>
      <c r="M482" s="401"/>
      <c r="N482" s="402"/>
      <c r="O482" s="402"/>
      <c r="P482" s="402"/>
    </row>
    <row r="483" spans="1:16" ht="15">
      <c r="A483" s="431"/>
      <c r="B483" s="407"/>
      <c r="C483" s="426" t="s">
        <v>493</v>
      </c>
      <c r="D483" s="426"/>
      <c r="E483" s="426"/>
      <c r="F483" s="426"/>
      <c r="G483" s="426"/>
      <c r="H483" s="426"/>
      <c r="I483" s="426"/>
      <c r="J483" s="426"/>
      <c r="K483" s="426"/>
      <c r="L483" s="426"/>
      <c r="M483" s="426"/>
      <c r="N483" s="402"/>
      <c r="O483" s="402"/>
      <c r="P483" s="402"/>
    </row>
    <row r="484" spans="3:16" ht="12.75">
      <c r="C484" s="434"/>
      <c r="D484" s="452" t="s">
        <v>195</v>
      </c>
      <c r="E484" s="451"/>
      <c r="F484" s="452" t="s">
        <v>492</v>
      </c>
      <c r="G484" s="434"/>
      <c r="H484" s="238" t="s">
        <v>191</v>
      </c>
      <c r="I484" s="451"/>
      <c r="J484" s="452" t="s">
        <v>227</v>
      </c>
      <c r="K484" s="453"/>
      <c r="N484" s="402"/>
      <c r="O484" s="402"/>
      <c r="P484" s="402"/>
    </row>
    <row r="485" spans="1:16" s="770" customFormat="1" ht="15">
      <c r="A485" s="42"/>
      <c r="B485" s="768"/>
      <c r="C485" s="451" t="s">
        <v>196</v>
      </c>
      <c r="D485" s="452">
        <v>1</v>
      </c>
      <c r="E485" s="452" t="s">
        <v>29</v>
      </c>
      <c r="F485" s="452">
        <v>3.1</v>
      </c>
      <c r="G485" s="451" t="s">
        <v>29</v>
      </c>
      <c r="H485" s="238">
        <v>8</v>
      </c>
      <c r="I485" s="788" t="s">
        <v>30</v>
      </c>
      <c r="J485" s="788">
        <f>ROUND((D485*F485*H485),2)</f>
        <v>24.8</v>
      </c>
      <c r="K485" s="788"/>
      <c r="L485" s="42"/>
      <c r="M485" s="42"/>
      <c r="N485" s="769"/>
      <c r="O485" s="769"/>
      <c r="P485" s="769"/>
    </row>
    <row r="486" spans="1:16" s="770" customFormat="1" ht="12.75">
      <c r="A486" s="42"/>
      <c r="B486" s="42"/>
      <c r="C486" s="451"/>
      <c r="D486" s="452"/>
      <c r="E486" s="452"/>
      <c r="F486" s="452"/>
      <c r="G486" s="451"/>
      <c r="H486" s="238"/>
      <c r="I486" s="455"/>
      <c r="J486" s="452"/>
      <c r="K486" s="788"/>
      <c r="L486" s="42"/>
      <c r="M486" s="42"/>
      <c r="N486" s="769"/>
      <c r="O486" s="769"/>
      <c r="P486" s="769"/>
    </row>
    <row r="487" spans="1:16" s="770" customFormat="1" ht="32.25" customHeight="1">
      <c r="A487" s="767"/>
      <c r="B487" s="771"/>
      <c r="C487" s="434"/>
      <c r="D487" s="452" t="s">
        <v>195</v>
      </c>
      <c r="E487" s="451"/>
      <c r="F487" s="452" t="s">
        <v>492</v>
      </c>
      <c r="G487" s="434"/>
      <c r="H487" s="238" t="s">
        <v>191</v>
      </c>
      <c r="I487" s="451"/>
      <c r="J487" s="452" t="s">
        <v>227</v>
      </c>
      <c r="K487" s="453"/>
      <c r="L487" s="771"/>
      <c r="M487" s="771"/>
      <c r="N487" s="771"/>
      <c r="O487" s="769"/>
      <c r="P487" s="769"/>
    </row>
    <row r="488" spans="1:16" s="770" customFormat="1" ht="15">
      <c r="A488" s="767"/>
      <c r="B488" s="772"/>
      <c r="C488" s="451" t="s">
        <v>196</v>
      </c>
      <c r="D488" s="452">
        <v>0.9</v>
      </c>
      <c r="E488" s="452" t="s">
        <v>29</v>
      </c>
      <c r="F488" s="452">
        <v>3.1</v>
      </c>
      <c r="G488" s="451" t="s">
        <v>29</v>
      </c>
      <c r="H488" s="238">
        <v>5</v>
      </c>
      <c r="I488" s="788" t="s">
        <v>30</v>
      </c>
      <c r="J488" s="788">
        <f>ROUND((D488*F488*H488),2)</f>
        <v>13.95</v>
      </c>
      <c r="K488" s="788"/>
      <c r="L488" s="769"/>
      <c r="M488" s="769"/>
      <c r="N488" s="769"/>
      <c r="O488" s="769"/>
      <c r="P488" s="769"/>
    </row>
    <row r="489" spans="1:16" s="770" customFormat="1" ht="15">
      <c r="A489" s="767"/>
      <c r="B489" s="444"/>
      <c r="C489" s="451"/>
      <c r="D489" s="452"/>
      <c r="E489" s="452"/>
      <c r="F489" s="452"/>
      <c r="G489" s="451"/>
      <c r="H489" s="238"/>
      <c r="I489" s="455"/>
      <c r="J489" s="452"/>
      <c r="K489" s="788"/>
      <c r="L489" s="769"/>
      <c r="M489" s="769"/>
      <c r="N489" s="769"/>
      <c r="O489" s="769"/>
      <c r="P489" s="769"/>
    </row>
    <row r="490" spans="1:16" s="770" customFormat="1" ht="15">
      <c r="A490" s="767"/>
      <c r="B490" s="775"/>
      <c r="C490" s="434"/>
      <c r="D490" s="452" t="s">
        <v>195</v>
      </c>
      <c r="E490" s="451"/>
      <c r="F490" s="452" t="s">
        <v>492</v>
      </c>
      <c r="G490" s="434"/>
      <c r="H490" s="238" t="s">
        <v>191</v>
      </c>
      <c r="I490" s="451"/>
      <c r="J490" s="452" t="s">
        <v>227</v>
      </c>
      <c r="K490" s="453"/>
      <c r="L490" s="769"/>
      <c r="M490" s="769"/>
      <c r="N490" s="769"/>
      <c r="O490" s="769"/>
      <c r="P490" s="769"/>
    </row>
    <row r="491" spans="1:16" s="770" customFormat="1" ht="15">
      <c r="A491" s="767"/>
      <c r="B491" s="769"/>
      <c r="C491" s="451" t="s">
        <v>196</v>
      </c>
      <c r="D491" s="452">
        <v>0.8</v>
      </c>
      <c r="E491" s="452" t="s">
        <v>29</v>
      </c>
      <c r="F491" s="452">
        <v>3.1</v>
      </c>
      <c r="G491" s="451" t="s">
        <v>29</v>
      </c>
      <c r="H491" s="238">
        <v>2</v>
      </c>
      <c r="I491" s="788" t="s">
        <v>30</v>
      </c>
      <c r="J491" s="788">
        <f>ROUND((D491*F491*H491),2)</f>
        <v>4.96</v>
      </c>
      <c r="K491" s="788"/>
      <c r="L491" s="769"/>
      <c r="M491" s="769"/>
      <c r="N491" s="771"/>
      <c r="O491" s="771"/>
      <c r="P491" s="769"/>
    </row>
    <row r="492" spans="1:16" s="770" customFormat="1" ht="15">
      <c r="A492" s="767"/>
      <c r="B492" s="444"/>
      <c r="C492" s="445"/>
      <c r="D492" s="444"/>
      <c r="E492" s="769"/>
      <c r="F492" s="769"/>
      <c r="G492" s="769"/>
      <c r="H492" s="769"/>
      <c r="I492" s="769"/>
      <c r="J492" s="769"/>
      <c r="K492" s="769"/>
      <c r="L492" s="769"/>
      <c r="M492" s="769"/>
      <c r="N492" s="771"/>
      <c r="O492" s="771"/>
      <c r="P492" s="769"/>
    </row>
    <row r="493" spans="1:16" s="770" customFormat="1" ht="15">
      <c r="A493" s="767"/>
      <c r="B493" s="769"/>
      <c r="C493" s="769"/>
      <c r="D493" s="769"/>
      <c r="E493" s="769"/>
      <c r="F493" s="769"/>
      <c r="G493" s="769"/>
      <c r="H493" s="769"/>
      <c r="I493" s="769"/>
      <c r="J493" s="769"/>
      <c r="K493" s="769"/>
      <c r="L493" s="769"/>
      <c r="M493" s="769"/>
      <c r="N493" s="769"/>
      <c r="O493" s="769"/>
      <c r="P493" s="769"/>
    </row>
    <row r="494" spans="1:16" s="770" customFormat="1" ht="15">
      <c r="A494" s="767"/>
      <c r="B494" s="771"/>
      <c r="C494" s="406" t="s">
        <v>503</v>
      </c>
      <c r="D494" s="408">
        <f>SUM(J470:J481)+SUM(J485+J488+J491)</f>
        <v>440.0149999999999</v>
      </c>
      <c r="E494" s="425" t="s">
        <v>3</v>
      </c>
      <c r="F494" s="771"/>
      <c r="G494" s="771"/>
      <c r="H494" s="771"/>
      <c r="I494" s="771"/>
      <c r="J494" s="771"/>
      <c r="K494" s="771"/>
      <c r="L494" s="771"/>
      <c r="M494" s="771"/>
      <c r="N494" s="771"/>
      <c r="O494" s="769"/>
      <c r="P494" s="769"/>
    </row>
    <row r="495" spans="1:16" s="770" customFormat="1" ht="15">
      <c r="A495" s="767"/>
      <c r="B495" s="769"/>
      <c r="C495" s="769"/>
      <c r="D495" s="769"/>
      <c r="E495" s="769"/>
      <c r="F495" s="769"/>
      <c r="G495" s="769"/>
      <c r="H495" s="769"/>
      <c r="I495" s="769"/>
      <c r="J495" s="769"/>
      <c r="K495" s="769"/>
      <c r="L495" s="769"/>
      <c r="M495" s="769"/>
      <c r="N495" s="769"/>
      <c r="O495" s="769"/>
      <c r="P495" s="769"/>
    </row>
    <row r="496" spans="1:16" s="770" customFormat="1" ht="15">
      <c r="A496" s="767"/>
      <c r="B496" s="776"/>
      <c r="C496" s="823" t="s">
        <v>499</v>
      </c>
      <c r="D496" s="776"/>
      <c r="E496" s="777"/>
      <c r="F496" s="776"/>
      <c r="G496" s="776"/>
      <c r="H496" s="776"/>
      <c r="I496" s="769"/>
      <c r="J496" s="769"/>
      <c r="K496" s="769"/>
      <c r="L496" s="769"/>
      <c r="M496" s="769"/>
      <c r="N496" s="769"/>
      <c r="O496" s="769"/>
      <c r="P496" s="769"/>
    </row>
    <row r="497" spans="1:16" s="770" customFormat="1" ht="23.25" customHeight="1">
      <c r="A497" s="767"/>
      <c r="B497" s="769"/>
      <c r="C497" s="400"/>
      <c r="D497" s="405" t="s">
        <v>461</v>
      </c>
      <c r="E497" s="405"/>
      <c r="F497" s="786" t="s">
        <v>460</v>
      </c>
      <c r="G497" s="769"/>
      <c r="H497" s="769"/>
      <c r="I497" s="769"/>
      <c r="J497" s="769"/>
      <c r="K497" s="769"/>
      <c r="L497" s="769"/>
      <c r="M497" s="769"/>
      <c r="N497" s="778"/>
      <c r="O497" s="769"/>
      <c r="P497" s="769"/>
    </row>
    <row r="498" spans="1:16" s="770" customFormat="1" ht="15">
      <c r="A498" s="767"/>
      <c r="B498" s="444"/>
      <c r="C498" s="401" t="s">
        <v>237</v>
      </c>
      <c r="D498" s="405">
        <v>14</v>
      </c>
      <c r="E498" s="405" t="s">
        <v>114</v>
      </c>
      <c r="F498" s="787">
        <f>4.82+4.82</f>
        <v>9.64</v>
      </c>
      <c r="G498" s="769"/>
      <c r="H498" s="769"/>
      <c r="I498" s="769"/>
      <c r="J498" s="769"/>
      <c r="K498" s="769"/>
      <c r="L498" s="769"/>
      <c r="M498" s="769"/>
      <c r="N498" s="772"/>
      <c r="O498" s="769"/>
      <c r="P498" s="769"/>
    </row>
    <row r="499" spans="1:16" s="770" customFormat="1" ht="15">
      <c r="A499" s="767"/>
      <c r="B499" s="769"/>
      <c r="C499" s="401"/>
      <c r="D499" s="401"/>
      <c r="E499" s="401"/>
      <c r="F499" s="401"/>
      <c r="G499" s="769"/>
      <c r="H499" s="769"/>
      <c r="I499" s="769"/>
      <c r="J499" s="769"/>
      <c r="K499" s="769"/>
      <c r="L499" s="769"/>
      <c r="M499" s="769"/>
      <c r="N499" s="769"/>
      <c r="O499" s="769"/>
      <c r="P499" s="769"/>
    </row>
    <row r="500" spans="1:16" s="770" customFormat="1" ht="15">
      <c r="A500" s="767"/>
      <c r="B500" s="771"/>
      <c r="C500" s="406" t="s">
        <v>502</v>
      </c>
      <c r="D500" s="408">
        <f>D498+F498</f>
        <v>23.64</v>
      </c>
      <c r="E500" s="425" t="s">
        <v>3</v>
      </c>
      <c r="F500" s="402"/>
      <c r="G500" s="771"/>
      <c r="H500" s="771"/>
      <c r="I500" s="771"/>
      <c r="J500" s="771"/>
      <c r="K500" s="771"/>
      <c r="L500" s="771"/>
      <c r="M500" s="771"/>
      <c r="N500" s="771"/>
      <c r="O500" s="769"/>
      <c r="P500" s="769"/>
    </row>
    <row r="501" spans="1:16" s="770" customFormat="1" ht="15">
      <c r="A501" s="767"/>
      <c r="B501" s="771"/>
      <c r="C501" s="771"/>
      <c r="D501" s="771"/>
      <c r="E501" s="771"/>
      <c r="F501" s="771"/>
      <c r="G501" s="771"/>
      <c r="H501" s="771"/>
      <c r="I501" s="771"/>
      <c r="J501" s="771"/>
      <c r="K501" s="771"/>
      <c r="L501" s="771"/>
      <c r="M501" s="771"/>
      <c r="N501" s="769"/>
      <c r="O501" s="769"/>
      <c r="P501" s="769"/>
    </row>
    <row r="502" spans="1:16" s="770" customFormat="1" ht="15">
      <c r="A502" s="767"/>
      <c r="B502" s="776"/>
      <c r="C502" s="823" t="s">
        <v>494</v>
      </c>
      <c r="D502" s="776"/>
      <c r="E502" s="777"/>
      <c r="F502" s="776"/>
      <c r="G502" s="776"/>
      <c r="H502" s="776"/>
      <c r="I502" s="769"/>
      <c r="J502" s="769"/>
      <c r="K502" s="769"/>
      <c r="L502" s="769"/>
      <c r="M502" s="769"/>
      <c r="N502" s="769"/>
      <c r="O502" s="769"/>
      <c r="P502" s="769"/>
    </row>
    <row r="503" spans="1:16" s="770" customFormat="1" ht="15">
      <c r="A503" s="767"/>
      <c r="B503" s="779"/>
      <c r="C503" s="825"/>
      <c r="D503" s="775"/>
      <c r="E503" s="452"/>
      <c r="F503" s="775"/>
      <c r="G503" s="445"/>
      <c r="H503" s="776"/>
      <c r="I503" s="769"/>
      <c r="J503" s="769"/>
      <c r="K503" s="769"/>
      <c r="L503" s="769"/>
      <c r="M503" s="769"/>
      <c r="N503" s="769"/>
      <c r="O503" s="769"/>
      <c r="P503" s="769"/>
    </row>
    <row r="504" spans="1:16" s="773" customFormat="1" ht="15">
      <c r="A504" s="767"/>
      <c r="B504" s="769"/>
      <c r="C504" s="824" t="str">
        <f>A404</f>
        <v>Janelas - Banheiros</v>
      </c>
      <c r="I504" s="769"/>
      <c r="J504" s="769"/>
      <c r="K504" s="769"/>
      <c r="L504" s="769"/>
      <c r="M504" s="769"/>
      <c r="N504" s="769"/>
      <c r="O504" s="769"/>
      <c r="P504" s="769"/>
    </row>
    <row r="505" spans="1:16" s="773" customFormat="1" ht="15">
      <c r="A505" s="767"/>
      <c r="B505" s="444"/>
      <c r="C505" s="401" t="s">
        <v>238</v>
      </c>
      <c r="D505" s="401">
        <v>0.4</v>
      </c>
      <c r="E505" s="401" t="s">
        <v>81</v>
      </c>
      <c r="F505" s="401" t="s">
        <v>29</v>
      </c>
      <c r="G505" s="409">
        <v>0.7</v>
      </c>
      <c r="H505" s="401" t="s">
        <v>81</v>
      </c>
      <c r="I505" s="769"/>
      <c r="J505" s="769"/>
      <c r="K505" s="769"/>
      <c r="L505" s="769"/>
      <c r="M505" s="769"/>
      <c r="N505" s="769"/>
      <c r="O505" s="769"/>
      <c r="P505" s="769"/>
    </row>
    <row r="506" spans="1:16" s="773" customFormat="1" ht="15">
      <c r="A506" s="767"/>
      <c r="B506" s="769"/>
      <c r="C506" s="401"/>
      <c r="D506" s="401"/>
      <c r="E506" s="401"/>
      <c r="F506" s="401"/>
      <c r="G506" s="401"/>
      <c r="H506" s="401"/>
      <c r="I506" s="769"/>
      <c r="J506" s="769"/>
      <c r="K506" s="769"/>
      <c r="L506" s="769"/>
      <c r="M506" s="769"/>
      <c r="N506" s="769"/>
      <c r="O506" s="769"/>
      <c r="P506" s="769"/>
    </row>
    <row r="507" spans="1:16" s="773" customFormat="1" ht="15">
      <c r="A507" s="767"/>
      <c r="B507" s="772"/>
      <c r="C507" s="401"/>
      <c r="D507" s="401"/>
      <c r="E507" s="401"/>
      <c r="F507" s="405" t="s">
        <v>471</v>
      </c>
      <c r="G507" s="401"/>
      <c r="H507" s="401"/>
      <c r="I507" s="769"/>
      <c r="J507" s="769"/>
      <c r="K507" s="769"/>
      <c r="L507" s="769"/>
      <c r="M507" s="769"/>
      <c r="N507" s="769"/>
      <c r="O507" s="769"/>
      <c r="P507" s="769"/>
    </row>
    <row r="508" spans="1:16" s="773" customFormat="1" ht="15">
      <c r="A508" s="767"/>
      <c r="B508" s="769"/>
      <c r="C508" s="401" t="s">
        <v>238</v>
      </c>
      <c r="D508" s="405">
        <f>D505*G505</f>
        <v>0.27999999999999997</v>
      </c>
      <c r="E508" s="405" t="s">
        <v>29</v>
      </c>
      <c r="F508" s="226">
        <v>5</v>
      </c>
      <c r="G508" s="209"/>
      <c r="H508" s="432"/>
      <c r="I508" s="769"/>
      <c r="J508" s="769"/>
      <c r="K508" s="769"/>
      <c r="L508" s="769"/>
      <c r="M508" s="769"/>
      <c r="N508" s="769"/>
      <c r="O508" s="769"/>
      <c r="P508" s="769"/>
    </row>
    <row r="509" spans="1:16" s="773" customFormat="1" ht="15">
      <c r="A509" s="767"/>
      <c r="B509" s="769"/>
      <c r="C509" s="401"/>
      <c r="D509" s="401"/>
      <c r="E509" s="401"/>
      <c r="F509" s="401"/>
      <c r="G509" s="432"/>
      <c r="H509" s="432"/>
      <c r="I509" s="769"/>
      <c r="J509" s="769"/>
      <c r="K509" s="769"/>
      <c r="L509" s="769"/>
      <c r="M509" s="769"/>
      <c r="N509" s="769"/>
      <c r="O509" s="769"/>
      <c r="P509" s="769"/>
    </row>
    <row r="510" spans="1:16" s="773" customFormat="1" ht="15">
      <c r="A510" s="767"/>
      <c r="B510" s="779"/>
      <c r="C510" s="406" t="s">
        <v>238</v>
      </c>
      <c r="D510" s="408">
        <f>ROUND((D508*F508),2)</f>
        <v>1.4</v>
      </c>
      <c r="E510" s="425" t="s">
        <v>3</v>
      </c>
      <c r="F510" s="402"/>
      <c r="G510" s="401"/>
      <c r="H510" s="401"/>
      <c r="I510" s="769"/>
      <c r="J510" s="769"/>
      <c r="K510" s="769"/>
      <c r="L510" s="769"/>
      <c r="M510" s="769"/>
      <c r="N510" s="769"/>
      <c r="O510" s="769"/>
      <c r="P510" s="769"/>
    </row>
    <row r="511" spans="1:16" s="773" customFormat="1" ht="15.75" customHeight="1">
      <c r="A511" s="767"/>
      <c r="B511" s="769"/>
      <c r="I511" s="769"/>
      <c r="J511" s="769"/>
      <c r="K511" s="769"/>
      <c r="L511" s="769"/>
      <c r="M511" s="769"/>
      <c r="N511" s="769"/>
      <c r="O511" s="769"/>
      <c r="P511" s="769"/>
    </row>
    <row r="512" spans="1:16" s="773" customFormat="1" ht="15">
      <c r="A512" s="767"/>
      <c r="B512" s="771"/>
      <c r="C512" s="772" t="s">
        <v>496</v>
      </c>
      <c r="D512" s="769"/>
      <c r="E512" s="769"/>
      <c r="F512" s="769"/>
      <c r="G512" s="769"/>
      <c r="H512" s="769"/>
      <c r="I512" s="771"/>
      <c r="J512" s="771"/>
      <c r="K512" s="771"/>
      <c r="L512" s="771"/>
      <c r="M512" s="771"/>
      <c r="N512" s="769"/>
      <c r="O512" s="769"/>
      <c r="P512" s="769"/>
    </row>
    <row r="513" spans="1:16" s="773" customFormat="1" ht="15">
      <c r="A513" s="767"/>
      <c r="B513" s="769"/>
      <c r="C513" s="445" t="s">
        <v>238</v>
      </c>
      <c r="D513" s="775">
        <v>0.8</v>
      </c>
      <c r="E513" s="769" t="s">
        <v>81</v>
      </c>
      <c r="F513" s="769" t="s">
        <v>29</v>
      </c>
      <c r="G513" s="445">
        <v>2.1</v>
      </c>
      <c r="H513" s="769" t="s">
        <v>81</v>
      </c>
      <c r="I513" s="769"/>
      <c r="J513" s="769"/>
      <c r="K513" s="769"/>
      <c r="L513" s="769"/>
      <c r="M513" s="769"/>
      <c r="N513" s="769"/>
      <c r="O513" s="769"/>
      <c r="P513" s="769"/>
    </row>
    <row r="514" spans="1:16" s="773" customFormat="1" ht="15">
      <c r="A514" s="767"/>
      <c r="B514" s="445"/>
      <c r="D514" s="444"/>
      <c r="E514" s="405"/>
      <c r="F514" s="444"/>
      <c r="G514" s="445"/>
      <c r="H514" s="769"/>
      <c r="I514" s="769"/>
      <c r="J514" s="769"/>
      <c r="K514" s="769"/>
      <c r="L514" s="769"/>
      <c r="M514" s="769"/>
      <c r="N514" s="769"/>
      <c r="O514" s="769"/>
      <c r="P514" s="769"/>
    </row>
    <row r="515" spans="1:16" s="773" customFormat="1" ht="15">
      <c r="A515" s="767"/>
      <c r="B515" s="769"/>
      <c r="C515" s="401"/>
      <c r="D515" s="401"/>
      <c r="E515" s="401"/>
      <c r="F515" s="405" t="s">
        <v>471</v>
      </c>
      <c r="G515" s="769"/>
      <c r="H515" s="769"/>
      <c r="I515" s="769"/>
      <c r="J515" s="769"/>
      <c r="K515" s="769"/>
      <c r="L515" s="769"/>
      <c r="M515" s="769"/>
      <c r="N515" s="769"/>
      <c r="O515" s="769"/>
      <c r="P515" s="769"/>
    </row>
    <row r="516" spans="1:16" s="773" customFormat="1" ht="15">
      <c r="A516" s="767"/>
      <c r="B516" s="444"/>
      <c r="C516" s="401" t="s">
        <v>238</v>
      </c>
      <c r="D516" s="405">
        <f>D513*G513</f>
        <v>1.6800000000000002</v>
      </c>
      <c r="E516" s="405" t="s">
        <v>29</v>
      </c>
      <c r="F516" s="226">
        <v>4</v>
      </c>
      <c r="G516" s="769"/>
      <c r="H516" s="769"/>
      <c r="I516" s="769"/>
      <c r="J516" s="769"/>
      <c r="K516" s="769"/>
      <c r="L516" s="769"/>
      <c r="M516" s="769"/>
      <c r="N516" s="769"/>
      <c r="O516" s="769"/>
      <c r="P516" s="769"/>
    </row>
    <row r="517" spans="1:16" s="773" customFormat="1" ht="15">
      <c r="A517" s="767"/>
      <c r="B517" s="444"/>
      <c r="C517" s="401"/>
      <c r="D517" s="405"/>
      <c r="E517" s="405"/>
      <c r="F517" s="226"/>
      <c r="G517" s="769"/>
      <c r="H517" s="769"/>
      <c r="I517" s="769"/>
      <c r="J517" s="769"/>
      <c r="K517" s="769"/>
      <c r="L517" s="769"/>
      <c r="M517" s="769"/>
      <c r="N517" s="769"/>
      <c r="O517" s="769"/>
      <c r="P517" s="769"/>
    </row>
    <row r="518" spans="1:16" s="773" customFormat="1" ht="15">
      <c r="A518" s="767"/>
      <c r="B518" s="769"/>
      <c r="C518" s="406" t="s">
        <v>238</v>
      </c>
      <c r="D518" s="408">
        <f>ROUND((D516*F516),2)</f>
        <v>6.72</v>
      </c>
      <c r="E518" s="425" t="s">
        <v>3</v>
      </c>
      <c r="F518" s="769"/>
      <c r="G518" s="769"/>
      <c r="H518" s="769"/>
      <c r="I518" s="769"/>
      <c r="J518" s="769"/>
      <c r="K518" s="769"/>
      <c r="L518" s="769"/>
      <c r="M518" s="769"/>
      <c r="N518" s="769"/>
      <c r="O518" s="769"/>
      <c r="P518" s="769"/>
    </row>
    <row r="519" spans="1:16" s="773" customFormat="1" ht="15">
      <c r="A519" s="767"/>
      <c r="B519" s="769"/>
      <c r="C519" s="405"/>
      <c r="D519" s="405"/>
      <c r="E519" s="405"/>
      <c r="F519" s="769"/>
      <c r="G519" s="769"/>
      <c r="H519" s="769"/>
      <c r="I519" s="769"/>
      <c r="J519" s="769"/>
      <c r="K519" s="769"/>
      <c r="L519" s="769"/>
      <c r="M519" s="769"/>
      <c r="N519" s="769"/>
      <c r="O519" s="769"/>
      <c r="P519" s="769"/>
    </row>
    <row r="520" spans="1:16" s="773" customFormat="1" ht="15">
      <c r="A520" s="767"/>
      <c r="B520" s="778"/>
      <c r="C520" s="772" t="s">
        <v>497</v>
      </c>
      <c r="D520" s="769"/>
      <c r="E520" s="769"/>
      <c r="F520" s="769"/>
      <c r="G520" s="769"/>
      <c r="H520" s="769"/>
      <c r="I520" s="778"/>
      <c r="J520" s="778"/>
      <c r="K520" s="778"/>
      <c r="L520" s="778"/>
      <c r="M520" s="778"/>
      <c r="N520" s="769"/>
      <c r="O520" s="769"/>
      <c r="P520" s="769"/>
    </row>
    <row r="521" spans="1:16" s="773" customFormat="1" ht="15">
      <c r="A521" s="767"/>
      <c r="B521" s="772"/>
      <c r="C521" s="445" t="s">
        <v>238</v>
      </c>
      <c r="D521" s="775">
        <v>0.9</v>
      </c>
      <c r="E521" s="769" t="s">
        <v>81</v>
      </c>
      <c r="F521" s="769" t="s">
        <v>29</v>
      </c>
      <c r="G521" s="445">
        <v>2.1</v>
      </c>
      <c r="H521" s="769" t="s">
        <v>81</v>
      </c>
      <c r="I521" s="772"/>
      <c r="J521" s="772"/>
      <c r="K521" s="772"/>
      <c r="L521" s="772"/>
      <c r="M521" s="772"/>
      <c r="N521" s="769"/>
      <c r="O521" s="769"/>
      <c r="P521" s="769"/>
    </row>
    <row r="522" spans="1:16" s="773" customFormat="1" ht="15">
      <c r="A522" s="767"/>
      <c r="B522" s="769"/>
      <c r="D522" s="444"/>
      <c r="E522" s="405"/>
      <c r="F522" s="444"/>
      <c r="G522" s="445"/>
      <c r="H522" s="769"/>
      <c r="I522" s="769"/>
      <c r="J522" s="769"/>
      <c r="K522" s="769"/>
      <c r="L522" s="769"/>
      <c r="M522" s="769"/>
      <c r="N522" s="769"/>
      <c r="O522" s="769"/>
      <c r="P522" s="769"/>
    </row>
    <row r="523" spans="1:16" s="773" customFormat="1" ht="15">
      <c r="A523" s="767"/>
      <c r="B523" s="779"/>
      <c r="C523" s="401"/>
      <c r="D523" s="401"/>
      <c r="E523" s="401"/>
      <c r="F523" s="405" t="s">
        <v>471</v>
      </c>
      <c r="G523" s="769"/>
      <c r="H523" s="769"/>
      <c r="I523" s="769"/>
      <c r="J523" s="769"/>
      <c r="K523" s="769"/>
      <c r="L523" s="769"/>
      <c r="M523" s="769"/>
      <c r="N523" s="769"/>
      <c r="O523" s="769"/>
      <c r="P523" s="769"/>
    </row>
    <row r="524" spans="1:16" s="773" customFormat="1" ht="15">
      <c r="A524" s="767"/>
      <c r="B524" s="769"/>
      <c r="C524" s="401" t="s">
        <v>238</v>
      </c>
      <c r="D524" s="405">
        <f>D521*G521</f>
        <v>1.8900000000000001</v>
      </c>
      <c r="E524" s="405" t="s">
        <v>29</v>
      </c>
      <c r="F524" s="226">
        <v>1</v>
      </c>
      <c r="G524" s="769"/>
      <c r="H524" s="769"/>
      <c r="I524" s="769"/>
      <c r="J524" s="769"/>
      <c r="K524" s="769"/>
      <c r="L524" s="769"/>
      <c r="M524" s="769"/>
      <c r="N524" s="769"/>
      <c r="O524" s="769"/>
      <c r="P524" s="769"/>
    </row>
    <row r="525" spans="1:16" s="773" customFormat="1" ht="15">
      <c r="A525" s="767"/>
      <c r="B525" s="769"/>
      <c r="C525" s="401"/>
      <c r="D525" s="405"/>
      <c r="E525" s="405"/>
      <c r="F525" s="226"/>
      <c r="G525" s="769"/>
      <c r="H525" s="769"/>
      <c r="I525" s="769"/>
      <c r="J525" s="769"/>
      <c r="K525" s="769"/>
      <c r="L525" s="769"/>
      <c r="M525" s="769"/>
      <c r="N525" s="769"/>
      <c r="O525" s="769"/>
      <c r="P525" s="769"/>
    </row>
    <row r="526" spans="1:16" s="773" customFormat="1" ht="15">
      <c r="A526" s="767"/>
      <c r="B526" s="444"/>
      <c r="C526" s="406" t="s">
        <v>238</v>
      </c>
      <c r="D526" s="408">
        <f>ROUND((D524*F524),2)</f>
        <v>1.89</v>
      </c>
      <c r="E526" s="425" t="s">
        <v>3</v>
      </c>
      <c r="F526" s="769"/>
      <c r="G526" s="769"/>
      <c r="H526" s="769"/>
      <c r="I526" s="769"/>
      <c r="J526" s="769"/>
      <c r="K526" s="769"/>
      <c r="L526" s="769"/>
      <c r="M526" s="769"/>
      <c r="N526" s="769"/>
      <c r="O526" s="769"/>
      <c r="P526" s="769"/>
    </row>
    <row r="527" spans="1:16" s="773" customFormat="1" ht="15">
      <c r="A527" s="767"/>
      <c r="B527" s="444"/>
      <c r="C527" s="405"/>
      <c r="D527" s="405"/>
      <c r="E527" s="405"/>
      <c r="F527" s="769"/>
      <c r="G527" s="769"/>
      <c r="H527" s="769"/>
      <c r="I527" s="769"/>
      <c r="J527" s="769"/>
      <c r="K527" s="769"/>
      <c r="L527" s="769"/>
      <c r="M527" s="769"/>
      <c r="N527" s="769"/>
      <c r="O527" s="769"/>
      <c r="P527" s="769"/>
    </row>
    <row r="528" spans="1:14" s="770" customFormat="1" ht="15">
      <c r="A528" s="767"/>
      <c r="B528" s="444"/>
      <c r="C528" s="772" t="s">
        <v>498</v>
      </c>
      <c r="D528" s="769"/>
      <c r="E528" s="769"/>
      <c r="F528" s="769"/>
      <c r="G528" s="769"/>
      <c r="H528" s="769"/>
      <c r="I528" s="769"/>
      <c r="J528" s="769"/>
      <c r="K528" s="769"/>
      <c r="L528" s="769"/>
      <c r="M528" s="769"/>
      <c r="N528" s="781"/>
    </row>
    <row r="529" spans="1:14" s="770" customFormat="1" ht="15">
      <c r="A529" s="42"/>
      <c r="B529" s="768"/>
      <c r="C529" s="445" t="s">
        <v>238</v>
      </c>
      <c r="D529" s="775">
        <v>0.7</v>
      </c>
      <c r="E529" s="769" t="s">
        <v>81</v>
      </c>
      <c r="F529" s="769" t="s">
        <v>29</v>
      </c>
      <c r="G529" s="445">
        <v>2.1</v>
      </c>
      <c r="H529" s="769" t="s">
        <v>81</v>
      </c>
      <c r="I529" s="42"/>
      <c r="J529" s="42"/>
      <c r="K529" s="42"/>
      <c r="L529" s="42"/>
      <c r="M529" s="42"/>
      <c r="N529" s="42"/>
    </row>
    <row r="530" spans="1:14" s="770" customFormat="1" ht="15">
      <c r="A530" s="782"/>
      <c r="B530" s="768"/>
      <c r="C530" s="773"/>
      <c r="D530" s="444"/>
      <c r="E530" s="405"/>
      <c r="F530" s="444"/>
      <c r="G530" s="445"/>
      <c r="H530" s="769"/>
      <c r="I530" s="42"/>
      <c r="J530" s="42"/>
      <c r="K530" s="42"/>
      <c r="L530" s="42"/>
      <c r="M530" s="42"/>
      <c r="N530" s="42"/>
    </row>
    <row r="531" spans="1:14" s="770" customFormat="1" ht="15">
      <c r="A531" s="768"/>
      <c r="B531" s="768"/>
      <c r="C531" s="401"/>
      <c r="D531" s="401"/>
      <c r="E531" s="401"/>
      <c r="F531" s="405" t="s">
        <v>471</v>
      </c>
      <c r="G531" s="769"/>
      <c r="H531" s="769"/>
      <c r="I531" s="42"/>
      <c r="J531" s="42"/>
      <c r="K531" s="42"/>
      <c r="L531" s="42"/>
      <c r="M531" s="42"/>
      <c r="N531" s="42"/>
    </row>
    <row r="532" spans="1:14" s="770" customFormat="1" ht="15">
      <c r="A532" s="767"/>
      <c r="B532" s="769"/>
      <c r="C532" s="401" t="s">
        <v>238</v>
      </c>
      <c r="D532" s="405">
        <f>D529*G529</f>
        <v>1.47</v>
      </c>
      <c r="E532" s="405" t="s">
        <v>29</v>
      </c>
      <c r="F532" s="226">
        <v>2</v>
      </c>
      <c r="G532" s="769"/>
      <c r="H532" s="769"/>
      <c r="I532" s="769"/>
      <c r="J532" s="769"/>
      <c r="K532" s="769"/>
      <c r="L532" s="769"/>
      <c r="M532" s="769"/>
      <c r="N532" s="42"/>
    </row>
    <row r="533" spans="1:14" s="770" customFormat="1" ht="15">
      <c r="A533" s="767"/>
      <c r="B533" s="445"/>
      <c r="C533" s="773"/>
      <c r="D533" s="444"/>
      <c r="E533" s="405"/>
      <c r="F533" s="444"/>
      <c r="G533" s="445"/>
      <c r="H533" s="769"/>
      <c r="I533" s="769"/>
      <c r="J533" s="769"/>
      <c r="K533" s="769"/>
      <c r="L533" s="769"/>
      <c r="M533" s="769"/>
      <c r="N533" s="42"/>
    </row>
    <row r="534" spans="1:14" s="770" customFormat="1" ht="15">
      <c r="A534" s="767"/>
      <c r="B534" s="769"/>
      <c r="C534" s="406" t="s">
        <v>238</v>
      </c>
      <c r="D534" s="408">
        <f>ROUND((D532*F532),2)</f>
        <v>2.94</v>
      </c>
      <c r="E534" s="425" t="s">
        <v>3</v>
      </c>
      <c r="F534" s="769"/>
      <c r="G534" s="769"/>
      <c r="H534" s="769"/>
      <c r="I534" s="769"/>
      <c r="J534" s="769"/>
      <c r="K534" s="769"/>
      <c r="L534" s="769"/>
      <c r="M534" s="769"/>
      <c r="N534" s="783"/>
    </row>
    <row r="535" spans="1:14" s="770" customFormat="1" ht="15">
      <c r="A535" s="767"/>
      <c r="B535" s="444"/>
      <c r="C535" s="445"/>
      <c r="D535" s="444"/>
      <c r="E535" s="769"/>
      <c r="F535" s="769"/>
      <c r="G535" s="769"/>
      <c r="H535" s="769"/>
      <c r="I535" s="769"/>
      <c r="J535" s="769"/>
      <c r="K535" s="769"/>
      <c r="L535" s="769"/>
      <c r="M535" s="769"/>
      <c r="N535" s="42"/>
    </row>
    <row r="536" spans="1:14" s="770" customFormat="1" ht="15">
      <c r="A536" s="767"/>
      <c r="B536" s="769"/>
      <c r="C536" s="769" t="s">
        <v>500</v>
      </c>
      <c r="D536" s="769"/>
      <c r="E536" s="769"/>
      <c r="F536" s="769"/>
      <c r="G536" s="769"/>
      <c r="H536" s="769"/>
      <c r="I536" s="769"/>
      <c r="J536" s="769"/>
      <c r="K536" s="769"/>
      <c r="L536" s="769"/>
      <c r="M536" s="769"/>
      <c r="N536" s="42"/>
    </row>
    <row r="537" spans="1:14" s="770" customFormat="1" ht="15">
      <c r="A537" s="767"/>
      <c r="B537" s="772"/>
      <c r="C537" s="406" t="s">
        <v>501</v>
      </c>
      <c r="D537" s="408">
        <f>D534+D526+D518+D510</f>
        <v>12.950000000000001</v>
      </c>
      <c r="E537" s="425" t="s">
        <v>3</v>
      </c>
      <c r="F537" s="769"/>
      <c r="G537" s="769"/>
      <c r="H537" s="769"/>
      <c r="I537" s="769"/>
      <c r="J537" s="769"/>
      <c r="K537" s="769"/>
      <c r="L537" s="769"/>
      <c r="M537" s="769"/>
      <c r="N537" s="42"/>
    </row>
    <row r="538" spans="1:14" s="770" customFormat="1" ht="15">
      <c r="A538" s="767"/>
      <c r="B538" s="769"/>
      <c r="C538" s="769"/>
      <c r="D538" s="769"/>
      <c r="E538" s="769"/>
      <c r="F538" s="769"/>
      <c r="G538" s="769"/>
      <c r="H538" s="769"/>
      <c r="I538" s="769"/>
      <c r="J538" s="769"/>
      <c r="K538" s="769"/>
      <c r="L538" s="769"/>
      <c r="M538" s="769"/>
      <c r="N538" s="42"/>
    </row>
    <row r="539" spans="1:14" s="770" customFormat="1" ht="15">
      <c r="A539" s="767"/>
      <c r="B539" s="769"/>
      <c r="C539" s="769"/>
      <c r="D539" s="769"/>
      <c r="E539" s="774"/>
      <c r="F539" s="769"/>
      <c r="G539" s="769"/>
      <c r="H539" s="769"/>
      <c r="I539" s="769"/>
      <c r="J539" s="769"/>
      <c r="K539" s="769"/>
      <c r="L539" s="769"/>
      <c r="M539" s="769"/>
      <c r="N539" s="42"/>
    </row>
    <row r="540" spans="1:14" s="770" customFormat="1" ht="15">
      <c r="A540" s="767"/>
      <c r="B540" s="775"/>
      <c r="C540" s="773" t="s">
        <v>512</v>
      </c>
      <c r="D540" s="444"/>
      <c r="E540" s="405"/>
      <c r="F540" s="444"/>
      <c r="G540" s="445"/>
      <c r="H540" s="769"/>
      <c r="I540" s="769"/>
      <c r="J540" s="769"/>
      <c r="K540" s="769"/>
      <c r="L540" s="769"/>
      <c r="M540" s="769"/>
      <c r="N540" s="783"/>
    </row>
    <row r="541" spans="1:14" s="770" customFormat="1" ht="15">
      <c r="A541" s="767"/>
      <c r="B541" s="775"/>
      <c r="C541" s="773"/>
      <c r="D541" s="444"/>
      <c r="E541" s="405"/>
      <c r="F541" s="444"/>
      <c r="G541" s="445"/>
      <c r="H541" s="769"/>
      <c r="I541" s="769"/>
      <c r="J541" s="769"/>
      <c r="K541" s="769"/>
      <c r="L541" s="769"/>
      <c r="M541" s="769"/>
      <c r="N541" s="783"/>
    </row>
    <row r="542" spans="1:14" s="770" customFormat="1" ht="15">
      <c r="A542" s="767"/>
      <c r="B542" s="769"/>
      <c r="C542" s="444" t="s">
        <v>504</v>
      </c>
      <c r="D542" s="769"/>
      <c r="E542" s="444" t="s">
        <v>505</v>
      </c>
      <c r="F542" s="769"/>
      <c r="G542" s="769"/>
      <c r="H542" s="769"/>
      <c r="I542" s="769"/>
      <c r="J542" s="769"/>
      <c r="K542" s="769"/>
      <c r="L542" s="769"/>
      <c r="M542" s="769"/>
      <c r="N542" s="42"/>
    </row>
    <row r="543" spans="1:14" s="770" customFormat="1" ht="15">
      <c r="A543" s="767"/>
      <c r="B543" s="444"/>
      <c r="C543" s="445" t="s">
        <v>513</v>
      </c>
      <c r="D543" s="444"/>
      <c r="E543" s="445" t="s">
        <v>506</v>
      </c>
      <c r="F543" s="769"/>
      <c r="G543" s="444" t="s">
        <v>82</v>
      </c>
      <c r="H543" s="769"/>
      <c r="I543" s="769"/>
      <c r="J543" s="769"/>
      <c r="K543" s="769"/>
      <c r="L543" s="769"/>
      <c r="M543" s="769"/>
      <c r="N543" s="42"/>
    </row>
    <row r="544" spans="1:14" s="770" customFormat="1" ht="15">
      <c r="A544" s="767"/>
      <c r="B544" s="769"/>
      <c r="C544" s="775">
        <f>D500</f>
        <v>23.64</v>
      </c>
      <c r="D544" s="444" t="s">
        <v>114</v>
      </c>
      <c r="E544" s="826">
        <f>D537</f>
        <v>12.950000000000001</v>
      </c>
      <c r="F544" s="769" t="s">
        <v>30</v>
      </c>
      <c r="G544" s="775">
        <f>C544+E544</f>
        <v>36.59</v>
      </c>
      <c r="H544" s="769"/>
      <c r="I544" s="769"/>
      <c r="J544" s="769"/>
      <c r="K544" s="769"/>
      <c r="L544" s="769"/>
      <c r="M544" s="769"/>
      <c r="N544" s="42"/>
    </row>
    <row r="545" spans="1:14" s="770" customFormat="1" ht="15">
      <c r="A545" s="767"/>
      <c r="B545" s="769"/>
      <c r="C545" s="775"/>
      <c r="D545" s="769"/>
      <c r="E545" s="826"/>
      <c r="F545" s="769"/>
      <c r="G545" s="775"/>
      <c r="H545" s="769"/>
      <c r="I545" s="769"/>
      <c r="J545" s="769"/>
      <c r="K545" s="769"/>
      <c r="L545" s="769"/>
      <c r="M545" s="769"/>
      <c r="N545" s="42"/>
    </row>
    <row r="546" spans="1:14" s="770" customFormat="1" ht="15">
      <c r="A546" s="767"/>
      <c r="B546" s="769"/>
      <c r="C546" s="444" t="s">
        <v>507</v>
      </c>
      <c r="D546" s="769"/>
      <c r="E546" s="444" t="s">
        <v>509</v>
      </c>
      <c r="F546" s="769"/>
      <c r="G546" s="775" t="s">
        <v>511</v>
      </c>
      <c r="H546" s="769"/>
      <c r="I546" s="769"/>
      <c r="J546" s="769"/>
      <c r="K546" s="769"/>
      <c r="L546" s="769"/>
      <c r="M546" s="769"/>
      <c r="N546" s="42"/>
    </row>
    <row r="547" spans="1:14" s="770" customFormat="1" ht="28.5">
      <c r="A547" s="772"/>
      <c r="B547" s="780"/>
      <c r="C547" s="445" t="s">
        <v>514</v>
      </c>
      <c r="D547" s="780"/>
      <c r="E547" s="445" t="s">
        <v>508</v>
      </c>
      <c r="F547" s="780"/>
      <c r="G547" s="828" t="s">
        <v>510</v>
      </c>
      <c r="H547" s="780"/>
      <c r="I547" s="780"/>
      <c r="J547" s="780"/>
      <c r="K547" s="780"/>
      <c r="L547" s="780"/>
      <c r="M547" s="780"/>
      <c r="N547" s="780"/>
    </row>
    <row r="548" spans="1:14" s="770" customFormat="1" ht="15">
      <c r="A548" s="772"/>
      <c r="B548" s="780"/>
      <c r="C548" s="827">
        <f>D494</f>
        <v>440.0149999999999</v>
      </c>
      <c r="D548" s="828" t="s">
        <v>35</v>
      </c>
      <c r="E548" s="828">
        <f>G544</f>
        <v>36.59</v>
      </c>
      <c r="F548" s="829" t="s">
        <v>30</v>
      </c>
      <c r="G548" s="830">
        <f>C548-E548</f>
        <v>403.42499999999984</v>
      </c>
      <c r="H548" s="828" t="s">
        <v>3</v>
      </c>
      <c r="I548" s="780"/>
      <c r="J548" s="780"/>
      <c r="K548" s="780"/>
      <c r="L548" s="780"/>
      <c r="M548" s="780"/>
      <c r="N548" s="42"/>
    </row>
    <row r="549" spans="1:14" s="770" customFormat="1" ht="15">
      <c r="A549" s="767"/>
      <c r="B549" s="769"/>
      <c r="C549" s="769"/>
      <c r="D549" s="769"/>
      <c r="E549" s="769"/>
      <c r="F549" s="769"/>
      <c r="G549" s="769"/>
      <c r="H549" s="769"/>
      <c r="I549" s="769"/>
      <c r="J549" s="769"/>
      <c r="K549" s="769"/>
      <c r="L549" s="769"/>
      <c r="M549" s="769"/>
      <c r="N549" s="42"/>
    </row>
    <row r="550" spans="1:14" s="770" customFormat="1" ht="15">
      <c r="A550" s="767"/>
      <c r="B550" s="776"/>
      <c r="C550" s="406" t="s">
        <v>238</v>
      </c>
      <c r="D550" s="408">
        <f>G548</f>
        <v>403.42499999999984</v>
      </c>
      <c r="E550" s="425" t="s">
        <v>3</v>
      </c>
      <c r="F550" s="776"/>
      <c r="G550" s="776"/>
      <c r="H550" s="776"/>
      <c r="I550" s="769"/>
      <c r="J550" s="769"/>
      <c r="K550" s="769"/>
      <c r="L550" s="769"/>
      <c r="M550" s="769"/>
      <c r="N550" s="42"/>
    </row>
    <row r="551" spans="1:14" s="770" customFormat="1" ht="15">
      <c r="A551" s="767"/>
      <c r="B551" s="779"/>
      <c r="C551" s="779"/>
      <c r="D551" s="775"/>
      <c r="E551" s="405"/>
      <c r="F551" s="775"/>
      <c r="G551" s="445"/>
      <c r="H551" s="776"/>
      <c r="I551" s="769"/>
      <c r="J551" s="769"/>
      <c r="K551" s="769"/>
      <c r="L551" s="769"/>
      <c r="M551" s="769"/>
      <c r="N551" s="42"/>
    </row>
    <row r="552" spans="1:14" s="770" customFormat="1" ht="15">
      <c r="A552" s="869" t="str">
        <f>'ORÇAMENTO NÃO DESONERADO'!A134</f>
        <v>5.12</v>
      </c>
      <c r="B552" s="823" t="str">
        <f>'ORÇAMENTO NÃO DESONERADO'!C134</f>
        <v>INSTALAÇÕES ELÉTRICAS</v>
      </c>
      <c r="C552" s="823"/>
      <c r="D552" s="823"/>
      <c r="E552" s="823"/>
      <c r="F552" s="823"/>
      <c r="G552" s="823"/>
      <c r="H552" s="823"/>
      <c r="I552" s="823"/>
      <c r="J552" s="823"/>
      <c r="K552" s="823"/>
      <c r="L552" s="823"/>
      <c r="M552" s="823"/>
      <c r="N552" s="868"/>
    </row>
    <row r="553" spans="1:14" s="770" customFormat="1" ht="15" customHeight="1">
      <c r="A553" s="869" t="str">
        <f>'ORÇAMENTO NÃO DESONERADO'!A135</f>
        <v>5.12.1</v>
      </c>
      <c r="B553" s="1156" t="str">
        <f>'ORÇAMENTO NÃO DESONERADO'!C135</f>
        <v>LUMINARIA DE EMBUTIR EM CHAPA DE ACO PARA 2 LAMPADAS FLUORESCENTES DE 14 W COM REFLETOR E ALETAS EM ALUMINIO, COMPLETA (INCLUI REATOR E LAMPADAS)</v>
      </c>
      <c r="C553" s="1156"/>
      <c r="D553" s="1156"/>
      <c r="E553" s="1156"/>
      <c r="F553" s="1156"/>
      <c r="G553" s="1156"/>
      <c r="H553" s="1156"/>
      <c r="I553" s="1156"/>
      <c r="J553" s="1156"/>
      <c r="K553" s="1156"/>
      <c r="L553" s="1156"/>
      <c r="M553" s="1156"/>
      <c r="N553" s="1156"/>
    </row>
    <row r="554" spans="1:14" s="770" customFormat="1" ht="15">
      <c r="A554" s="864"/>
      <c r="B554" s="1156"/>
      <c r="C554" s="1156"/>
      <c r="D554" s="1156"/>
      <c r="E554" s="1156"/>
      <c r="F554" s="1156"/>
      <c r="G554" s="1156"/>
      <c r="H554" s="1156"/>
      <c r="I554" s="1156"/>
      <c r="J554" s="1156"/>
      <c r="K554" s="1156"/>
      <c r="L554" s="1156"/>
      <c r="M554" s="1156"/>
      <c r="N554" s="1156"/>
    </row>
    <row r="555" spans="1:14" s="770" customFormat="1" ht="15">
      <c r="A555" s="864"/>
      <c r="B555" s="823"/>
      <c r="C555" s="823"/>
      <c r="D555" s="823"/>
      <c r="E555" s="823"/>
      <c r="F555" s="823"/>
      <c r="G555" s="823"/>
      <c r="H555" s="823"/>
      <c r="I555" s="823"/>
      <c r="J555" s="823"/>
      <c r="K555" s="823"/>
      <c r="L555" s="823"/>
      <c r="M555" s="823"/>
      <c r="N555" s="868"/>
    </row>
    <row r="556" spans="1:14" s="770" customFormat="1" ht="15">
      <c r="A556" s="864"/>
      <c r="B556" s="776"/>
      <c r="C556" s="406" t="s">
        <v>238</v>
      </c>
      <c r="D556" s="408">
        <v>5</v>
      </c>
      <c r="E556" s="425" t="s">
        <v>495</v>
      </c>
      <c r="F556" s="776"/>
      <c r="G556" s="776"/>
      <c r="H556" s="776"/>
      <c r="I556" s="776"/>
      <c r="J556" s="776"/>
      <c r="K556" s="776"/>
      <c r="L556" s="776"/>
      <c r="M556" s="776"/>
      <c r="N556" s="449"/>
    </row>
    <row r="557" spans="1:14" s="770" customFormat="1" ht="15">
      <c r="A557" s="864"/>
      <c r="B557" s="776"/>
      <c r="C557" s="776"/>
      <c r="D557" s="776"/>
      <c r="E557" s="777"/>
      <c r="F557" s="776"/>
      <c r="G557" s="776"/>
      <c r="H557" s="776"/>
      <c r="I557" s="776"/>
      <c r="J557" s="776"/>
      <c r="K557" s="776"/>
      <c r="L557" s="776"/>
      <c r="M557" s="776"/>
      <c r="N557" s="449"/>
    </row>
    <row r="558" spans="1:14" s="770" customFormat="1" ht="15">
      <c r="A558" s="869" t="str">
        <f>'ORÇAMENTO NÃO DESONERADO'!A136</f>
        <v>5.12.2</v>
      </c>
      <c r="B558" s="823" t="str">
        <f>'ORÇAMENTO NÃO DESONERADO'!C136</f>
        <v>LUMINÁRIA TIPO CALHA, DE SOBREPOR, COM 2 LÂMPADAS TUBULARES DE 36 W - FORNECIMENTO E INSTALAÇÃO. AF_11/2017</v>
      </c>
      <c r="C558" s="776"/>
      <c r="D558" s="775"/>
      <c r="E558" s="865"/>
      <c r="F558" s="775"/>
      <c r="G558" s="775"/>
      <c r="H558" s="776"/>
      <c r="I558" s="776"/>
      <c r="J558" s="776"/>
      <c r="K558" s="776"/>
      <c r="L558" s="776"/>
      <c r="M558" s="776"/>
      <c r="N558" s="449"/>
    </row>
    <row r="559" spans="1:14" s="770" customFormat="1" ht="15">
      <c r="A559" s="864"/>
      <c r="B559" s="776"/>
      <c r="C559" s="776"/>
      <c r="D559" s="776"/>
      <c r="E559" s="776"/>
      <c r="F559" s="776"/>
      <c r="G559" s="776"/>
      <c r="H559" s="776"/>
      <c r="I559" s="776"/>
      <c r="J559" s="776"/>
      <c r="K559" s="776"/>
      <c r="L559" s="776"/>
      <c r="M559" s="776"/>
      <c r="N559" s="449"/>
    </row>
    <row r="560" spans="1:14" s="770" customFormat="1" ht="15">
      <c r="A560" s="864"/>
      <c r="B560" s="775"/>
      <c r="C560" s="406" t="s">
        <v>238</v>
      </c>
      <c r="D560" s="408">
        <v>4</v>
      </c>
      <c r="E560" s="425" t="s">
        <v>495</v>
      </c>
      <c r="F560" s="776"/>
      <c r="G560" s="776"/>
      <c r="H560" s="776"/>
      <c r="I560" s="776"/>
      <c r="J560" s="776"/>
      <c r="K560" s="776"/>
      <c r="L560" s="776"/>
      <c r="M560" s="776"/>
      <c r="N560" s="449"/>
    </row>
    <row r="561" spans="1:14" s="770" customFormat="1" ht="15">
      <c r="A561" s="864"/>
      <c r="B561" s="776"/>
      <c r="C561" s="776"/>
      <c r="D561" s="776"/>
      <c r="E561" s="776"/>
      <c r="F561" s="776"/>
      <c r="G561" s="776"/>
      <c r="H561" s="776"/>
      <c r="I561" s="776"/>
      <c r="J561" s="776"/>
      <c r="K561" s="776"/>
      <c r="L561" s="776"/>
      <c r="M561" s="776"/>
      <c r="N561" s="449"/>
    </row>
    <row r="562" spans="1:14" s="770" customFormat="1" ht="15" customHeight="1">
      <c r="A562" s="870" t="str">
        <f>'ORÇAMENTO NÃO DESONERADO'!A137</f>
        <v>5.12.3</v>
      </c>
      <c r="B562" s="1157" t="str">
        <f>'ORÇAMENTO NÃO DESONERADO'!C137</f>
        <v>LUMINÁRIA TIPO CALHA, DE SOBREPOR, COM 1 LÂMPADA TUBULAR DE 18 W FORNECIMENTO E INSTALAÇÃO. AF_11/2017</v>
      </c>
      <c r="C562" s="1157"/>
      <c r="D562" s="1157"/>
      <c r="E562" s="1157"/>
      <c r="F562" s="1157"/>
      <c r="G562" s="1157"/>
      <c r="H562" s="1157"/>
      <c r="I562" s="1157"/>
      <c r="J562" s="1157"/>
      <c r="K562" s="1157"/>
      <c r="L562" s="1157"/>
      <c r="M562" s="1157"/>
      <c r="N562" s="1157"/>
    </row>
    <row r="563" spans="1:14" s="770" customFormat="1" ht="12.75">
      <c r="A563" s="449"/>
      <c r="B563" s="449"/>
      <c r="C563" s="449"/>
      <c r="D563" s="449"/>
      <c r="E563" s="449"/>
      <c r="F563" s="449"/>
      <c r="G563" s="449"/>
      <c r="H563" s="449"/>
      <c r="I563" s="449"/>
      <c r="J563" s="449"/>
      <c r="K563" s="449"/>
      <c r="L563" s="449"/>
      <c r="M563" s="449"/>
      <c r="N563" s="449"/>
    </row>
    <row r="564" spans="1:14" s="770" customFormat="1" ht="12.75">
      <c r="A564" s="449"/>
      <c r="B564" s="449"/>
      <c r="C564" s="406" t="s">
        <v>238</v>
      </c>
      <c r="D564" s="408">
        <v>19</v>
      </c>
      <c r="E564" s="425" t="s">
        <v>495</v>
      </c>
      <c r="F564" s="449"/>
      <c r="G564" s="449"/>
      <c r="H564" s="449"/>
      <c r="I564" s="449"/>
      <c r="J564" s="449"/>
      <c r="K564" s="449"/>
      <c r="L564" s="449"/>
      <c r="M564" s="449"/>
      <c r="N564" s="449"/>
    </row>
    <row r="565" spans="1:14" s="770" customFormat="1" ht="12.75">
      <c r="A565" s="449"/>
      <c r="B565" s="449"/>
      <c r="C565" s="449"/>
      <c r="D565" s="449"/>
      <c r="E565" s="449"/>
      <c r="F565" s="449"/>
      <c r="G565" s="449"/>
      <c r="H565" s="449"/>
      <c r="I565" s="449"/>
      <c r="J565" s="449"/>
      <c r="K565" s="449"/>
      <c r="L565" s="449"/>
      <c r="M565" s="449"/>
      <c r="N565" s="449"/>
    </row>
    <row r="566" spans="1:14" s="770" customFormat="1" ht="12.75">
      <c r="A566" s="449"/>
      <c r="B566" s="775"/>
      <c r="C566" s="775"/>
      <c r="D566" s="775"/>
      <c r="E566" s="449"/>
      <c r="F566" s="449"/>
      <c r="G566" s="449"/>
      <c r="H566" s="449"/>
      <c r="I566" s="449"/>
      <c r="J566" s="449"/>
      <c r="K566" s="449"/>
      <c r="L566" s="449"/>
      <c r="M566" s="449"/>
      <c r="N566" s="449"/>
    </row>
    <row r="567" spans="1:14" s="770" customFormat="1" ht="15">
      <c r="A567" s="871" t="str">
        <f>'ORÇAMENTO NÃO DESONERADO'!A138</f>
        <v>5.12.4</v>
      </c>
      <c r="B567" s="868" t="str">
        <f>'ORÇAMENTO NÃO DESONERADO'!C138</f>
        <v>TOMADA 2P+T 10A, 250V, CONJUNTO MONTADO PARA EMBUTIR 4" X 2" (PLACA + SUPORTE +MODULOR)</v>
      </c>
      <c r="C567" s="449"/>
      <c r="D567" s="449"/>
      <c r="E567" s="449"/>
      <c r="F567" s="449"/>
      <c r="G567" s="449"/>
      <c r="H567" s="449"/>
      <c r="I567" s="449"/>
      <c r="J567" s="449"/>
      <c r="K567" s="449"/>
      <c r="L567" s="449"/>
      <c r="M567" s="449"/>
      <c r="N567" s="449"/>
    </row>
    <row r="568" spans="1:14" s="770" customFormat="1" ht="15">
      <c r="A568" s="866"/>
      <c r="B568" s="867"/>
      <c r="C568" s="867"/>
      <c r="D568" s="867"/>
      <c r="E568" s="867"/>
      <c r="F568" s="867"/>
      <c r="G568" s="867"/>
      <c r="H568" s="867"/>
      <c r="I568" s="867"/>
      <c r="J568" s="867"/>
      <c r="K568" s="867"/>
      <c r="L568" s="867"/>
      <c r="M568" s="867"/>
      <c r="N568" s="449"/>
    </row>
    <row r="569" spans="1:14" s="770" customFormat="1" ht="12.75">
      <c r="A569" s="449"/>
      <c r="B569" s="449"/>
      <c r="C569" s="406" t="s">
        <v>238</v>
      </c>
      <c r="D569" s="408">
        <v>3</v>
      </c>
      <c r="E569" s="425" t="s">
        <v>495</v>
      </c>
      <c r="F569" s="449"/>
      <c r="G569" s="449"/>
      <c r="H569" s="449"/>
      <c r="I569" s="449"/>
      <c r="J569" s="449"/>
      <c r="K569" s="449"/>
      <c r="L569" s="449"/>
      <c r="M569" s="449"/>
      <c r="N569" s="449"/>
    </row>
    <row r="570" spans="1:14" s="770" customFormat="1" ht="12.75">
      <c r="A570" s="449"/>
      <c r="B570" s="449"/>
      <c r="C570" s="449"/>
      <c r="D570" s="449"/>
      <c r="E570" s="449"/>
      <c r="F570" s="449"/>
      <c r="G570" s="449"/>
      <c r="H570" s="449"/>
      <c r="I570" s="449"/>
      <c r="J570" s="449"/>
      <c r="K570" s="449"/>
      <c r="L570" s="449"/>
      <c r="M570" s="449"/>
      <c r="N570" s="449"/>
    </row>
    <row r="571" spans="1:14" s="770" customFormat="1" ht="15">
      <c r="A571" s="871" t="str">
        <f>'ORÇAMENTO NÃO DESONERADO'!A139</f>
        <v>5.12.5</v>
      </c>
      <c r="B571" s="868" t="str">
        <f>'ORÇAMENTO NÃO DESONERADO'!C139</f>
        <v>INTERRUPTOR SIMPLES 10A, 250V, CONJUNTO MONTADO PARA EMBUTIR 4" X 2" (PLACA +SUPORTE + MODULO)</v>
      </c>
      <c r="C571" s="449"/>
      <c r="D571" s="449"/>
      <c r="E571" s="449"/>
      <c r="F571" s="449"/>
      <c r="G571" s="449"/>
      <c r="H571" s="449"/>
      <c r="I571" s="449"/>
      <c r="J571" s="449"/>
      <c r="K571" s="449"/>
      <c r="L571" s="449"/>
      <c r="M571" s="449"/>
      <c r="N571" s="449"/>
    </row>
    <row r="572" spans="1:14" s="770" customFormat="1" ht="15">
      <c r="A572" s="868"/>
      <c r="B572" s="864"/>
      <c r="C572" s="775"/>
      <c r="D572" s="775"/>
      <c r="E572" s="449"/>
      <c r="F572" s="449"/>
      <c r="G572" s="449"/>
      <c r="H572" s="449"/>
      <c r="I572" s="449"/>
      <c r="J572" s="449"/>
      <c r="K572" s="449"/>
      <c r="L572" s="449"/>
      <c r="M572" s="449"/>
      <c r="N572" s="449"/>
    </row>
    <row r="573" spans="1:14" s="770" customFormat="1" ht="15">
      <c r="A573" s="868"/>
      <c r="B573" s="868"/>
      <c r="C573" s="406" t="s">
        <v>238</v>
      </c>
      <c r="D573" s="408">
        <v>4</v>
      </c>
      <c r="E573" s="425" t="s">
        <v>495</v>
      </c>
      <c r="F573" s="449"/>
      <c r="G573" s="449"/>
      <c r="H573" s="449"/>
      <c r="I573" s="449"/>
      <c r="J573" s="449"/>
      <c r="K573" s="449"/>
      <c r="L573" s="449"/>
      <c r="M573" s="449"/>
      <c r="N573" s="449"/>
    </row>
    <row r="574" spans="1:14" s="770" customFormat="1" ht="15">
      <c r="A574" s="868"/>
      <c r="B574" s="867"/>
      <c r="C574" s="867"/>
      <c r="D574" s="867"/>
      <c r="E574" s="867"/>
      <c r="F574" s="867"/>
      <c r="G574" s="867"/>
      <c r="H574" s="867"/>
      <c r="I574" s="867"/>
      <c r="J574" s="867"/>
      <c r="K574" s="867"/>
      <c r="L574" s="867"/>
      <c r="M574" s="867"/>
      <c r="N574" s="449"/>
    </row>
    <row r="575" spans="1:14" s="770" customFormat="1" ht="15">
      <c r="A575" s="871" t="str">
        <f>'ORÇAMENTO NÃO DESONERADO'!A140</f>
        <v>5.12.6</v>
      </c>
      <c r="B575" s="868" t="str">
        <f>'ORÇAMENTO NÃO DESONERADO'!C140</f>
        <v>INTERRUPTORES SIMPLES (2 MODULOS) 10A, 250V, CONJUNTO MONTADO PARA EMBUTIR 4"X 2" (PLACA + SUPORTE + MODULOS)</v>
      </c>
      <c r="C575" s="449"/>
      <c r="D575" s="449"/>
      <c r="E575" s="449"/>
      <c r="F575" s="449"/>
      <c r="G575" s="449"/>
      <c r="H575" s="449"/>
      <c r="I575" s="449"/>
      <c r="J575" s="449"/>
      <c r="K575" s="449"/>
      <c r="L575" s="449"/>
      <c r="M575" s="449"/>
      <c r="N575" s="449"/>
    </row>
    <row r="576" spans="1:14" s="770" customFormat="1" ht="15">
      <c r="A576" s="868"/>
      <c r="B576" s="868"/>
      <c r="C576" s="449"/>
      <c r="D576" s="449"/>
      <c r="E576" s="449"/>
      <c r="F576" s="449"/>
      <c r="G576" s="449"/>
      <c r="H576" s="449"/>
      <c r="I576" s="449"/>
      <c r="J576" s="449"/>
      <c r="K576" s="449"/>
      <c r="L576" s="449"/>
      <c r="M576" s="449"/>
      <c r="N576" s="449"/>
    </row>
    <row r="577" spans="1:14" s="770" customFormat="1" ht="12.75">
      <c r="A577" s="449"/>
      <c r="B577" s="449"/>
      <c r="C577" s="406" t="s">
        <v>238</v>
      </c>
      <c r="D577" s="408">
        <v>1</v>
      </c>
      <c r="E577" s="425" t="s">
        <v>495</v>
      </c>
      <c r="F577" s="449"/>
      <c r="G577" s="449"/>
      <c r="H577" s="449"/>
      <c r="I577" s="449"/>
      <c r="J577" s="449"/>
      <c r="K577" s="449"/>
      <c r="L577" s="449"/>
      <c r="M577" s="449"/>
      <c r="N577" s="449"/>
    </row>
    <row r="578" spans="1:14" s="770" customFormat="1" ht="12.75">
      <c r="A578" s="449"/>
      <c r="B578" s="775"/>
      <c r="C578" s="775"/>
      <c r="D578" s="775"/>
      <c r="E578" s="449"/>
      <c r="F578" s="449"/>
      <c r="G578" s="449"/>
      <c r="H578" s="449"/>
      <c r="I578" s="449"/>
      <c r="J578" s="449"/>
      <c r="K578" s="449"/>
      <c r="L578" s="449"/>
      <c r="M578" s="449"/>
      <c r="N578" s="449"/>
    </row>
    <row r="579" spans="1:14" s="770" customFormat="1" ht="15">
      <c r="A579" s="871" t="str">
        <f>'ORÇAMENTO NÃO DESONERADO'!A141</f>
        <v>5.12.7</v>
      </c>
      <c r="B579" s="868" t="str">
        <f>'ORÇAMENTO NÃO DESONERADO'!C141</f>
        <v>INTERRUPTOR SIMPLES + TOMADA 2P+T 10A, 250V, CONJUNTO MONTADO PARA EMBUTIR 4"X 2" (PLACA + SUPORTE + MODULOS)</v>
      </c>
      <c r="C579" s="449"/>
      <c r="D579" s="449"/>
      <c r="E579" s="449"/>
      <c r="F579" s="449"/>
      <c r="G579" s="449"/>
      <c r="H579" s="449"/>
      <c r="I579" s="449"/>
      <c r="J579" s="449"/>
      <c r="K579" s="449"/>
      <c r="L579" s="449"/>
      <c r="M579" s="449"/>
      <c r="N579" s="449"/>
    </row>
    <row r="580" spans="1:14" s="770" customFormat="1" ht="12.75">
      <c r="A580" s="449"/>
      <c r="B580" s="449"/>
      <c r="C580" s="449"/>
      <c r="D580" s="449"/>
      <c r="E580" s="449"/>
      <c r="F580" s="449"/>
      <c r="G580" s="449"/>
      <c r="H580" s="449"/>
      <c r="I580" s="449"/>
      <c r="J580" s="449"/>
      <c r="K580" s="449"/>
      <c r="L580" s="449"/>
      <c r="M580" s="449"/>
      <c r="N580" s="449"/>
    </row>
    <row r="581" spans="1:14" s="770" customFormat="1" ht="12.75">
      <c r="A581" s="449"/>
      <c r="B581" s="449"/>
      <c r="C581" s="406" t="s">
        <v>238</v>
      </c>
      <c r="D581" s="408">
        <v>2</v>
      </c>
      <c r="E581" s="425" t="s">
        <v>495</v>
      </c>
      <c r="F581" s="449"/>
      <c r="G581" s="449"/>
      <c r="H581" s="449"/>
      <c r="I581" s="449"/>
      <c r="J581" s="449"/>
      <c r="K581" s="449"/>
      <c r="L581" s="449"/>
      <c r="M581" s="449"/>
      <c r="N581" s="449"/>
    </row>
    <row r="582" spans="1:14" s="770" customFormat="1" ht="12.75">
      <c r="A582" s="449"/>
      <c r="B582" s="449"/>
      <c r="C582" s="449"/>
      <c r="D582" s="449"/>
      <c r="E582" s="449"/>
      <c r="F582" s="449"/>
      <c r="G582" s="449"/>
      <c r="H582" s="449"/>
      <c r="I582" s="449"/>
      <c r="J582" s="449"/>
      <c r="K582" s="449"/>
      <c r="L582" s="449"/>
      <c r="M582" s="449"/>
      <c r="N582" s="449"/>
    </row>
    <row r="583" spans="1:14" s="770" customFormat="1" ht="15">
      <c r="A583" s="871" t="str">
        <f>'ORÇAMENTO NÃO DESONERADO'!A142</f>
        <v>5.12.8</v>
      </c>
      <c r="B583" s="868" t="str">
        <f>'ORÇAMENTO NÃO DESONERADO'!C142</f>
        <v>CAIXA DE PASSAGEM, EM PVC, DE 4" X 2", PARA ELETRODUTO FLEXIVEL CORRUGADO</v>
      </c>
      <c r="C583" s="449"/>
      <c r="D583" s="449"/>
      <c r="E583" s="449"/>
      <c r="F583" s="449"/>
      <c r="G583" s="449"/>
      <c r="H583" s="449"/>
      <c r="I583" s="449"/>
      <c r="J583" s="449"/>
      <c r="K583" s="449"/>
      <c r="L583" s="449"/>
      <c r="M583" s="449"/>
      <c r="N583" s="449"/>
    </row>
    <row r="584" spans="1:14" s="770" customFormat="1" ht="12.75">
      <c r="A584" s="449"/>
      <c r="B584" s="449"/>
      <c r="C584" s="449"/>
      <c r="D584" s="449"/>
      <c r="E584" s="449"/>
      <c r="F584" s="449"/>
      <c r="G584" s="449"/>
      <c r="H584" s="449"/>
      <c r="I584" s="449"/>
      <c r="J584" s="449"/>
      <c r="K584" s="449"/>
      <c r="L584" s="449"/>
      <c r="M584" s="449"/>
      <c r="N584" s="449"/>
    </row>
    <row r="585" spans="1:14" s="770" customFormat="1" ht="12.75">
      <c r="A585" s="449"/>
      <c r="B585" s="449"/>
      <c r="C585" s="406" t="s">
        <v>238</v>
      </c>
      <c r="D585" s="408">
        <v>10</v>
      </c>
      <c r="E585" s="425" t="s">
        <v>495</v>
      </c>
      <c r="F585" s="449"/>
      <c r="G585" s="449"/>
      <c r="H585" s="449"/>
      <c r="I585" s="449"/>
      <c r="J585" s="449"/>
      <c r="K585" s="449"/>
      <c r="L585" s="449"/>
      <c r="M585" s="449"/>
      <c r="N585" s="449"/>
    </row>
    <row r="586" spans="1:14" s="770" customFormat="1" ht="12.75">
      <c r="A586" s="449"/>
      <c r="B586" s="449"/>
      <c r="C586" s="449"/>
      <c r="D586" s="449"/>
      <c r="E586" s="449"/>
      <c r="F586" s="449"/>
      <c r="G586" s="449"/>
      <c r="H586" s="449"/>
      <c r="I586" s="449"/>
      <c r="J586" s="449"/>
      <c r="K586" s="449"/>
      <c r="L586" s="449"/>
      <c r="M586" s="449"/>
      <c r="N586" s="449"/>
    </row>
    <row r="587" spans="1:14" s="770" customFormat="1" ht="15">
      <c r="A587" s="871" t="str">
        <f>'ORÇAMENTO NÃO DESONERADO'!A143</f>
        <v>5.12.9</v>
      </c>
      <c r="B587" s="868" t="str">
        <f>'ORÇAMENTO NÃO DESONERADO'!C143</f>
        <v>QUADRO DE DISTRIBUICAO, COM BARRAMENTO TERRA / NEUTRO, DE EMBUTIR, PARA 8 DISJUNTORES DIN</v>
      </c>
      <c r="C587" s="449"/>
      <c r="D587" s="449"/>
      <c r="E587" s="449"/>
      <c r="F587" s="449"/>
      <c r="G587" s="449"/>
      <c r="H587" s="449"/>
      <c r="I587" s="449"/>
      <c r="J587" s="449"/>
      <c r="K587" s="449"/>
      <c r="L587" s="449"/>
      <c r="M587" s="449"/>
      <c r="N587" s="449"/>
    </row>
    <row r="588" spans="1:14" s="770" customFormat="1" ht="12.75">
      <c r="A588" s="449"/>
      <c r="B588" s="449"/>
      <c r="C588" s="449"/>
      <c r="D588" s="449"/>
      <c r="E588" s="449"/>
      <c r="F588" s="449"/>
      <c r="G588" s="449"/>
      <c r="H588" s="449"/>
      <c r="I588" s="449"/>
      <c r="J588" s="449"/>
      <c r="K588" s="449"/>
      <c r="L588" s="449"/>
      <c r="M588" s="449"/>
      <c r="N588" s="449"/>
    </row>
    <row r="589" spans="1:14" s="770" customFormat="1" ht="12.75">
      <c r="A589" s="449"/>
      <c r="B589" s="449"/>
      <c r="C589" s="406" t="s">
        <v>238</v>
      </c>
      <c r="D589" s="408">
        <v>1</v>
      </c>
      <c r="E589" s="425" t="s">
        <v>495</v>
      </c>
      <c r="F589" s="449"/>
      <c r="G589" s="449"/>
      <c r="H589" s="449"/>
      <c r="I589" s="449"/>
      <c r="J589" s="449"/>
      <c r="K589" s="449"/>
      <c r="L589" s="449"/>
      <c r="M589" s="449"/>
      <c r="N589" s="449"/>
    </row>
    <row r="590" spans="1:14" s="770" customFormat="1" ht="12.75">
      <c r="A590" s="449"/>
      <c r="B590" s="449"/>
      <c r="C590" s="449"/>
      <c r="D590" s="449"/>
      <c r="E590" s="449"/>
      <c r="F590" s="449"/>
      <c r="G590" s="449"/>
      <c r="H590" s="449"/>
      <c r="I590" s="449"/>
      <c r="J590" s="449"/>
      <c r="K590" s="449"/>
      <c r="L590" s="449"/>
      <c r="M590" s="449"/>
      <c r="N590" s="449"/>
    </row>
    <row r="591" spans="1:14" s="770" customFormat="1" ht="15">
      <c r="A591" s="871" t="str">
        <f>'ORÇAMENTO NÃO DESONERADO'!A144</f>
        <v>5.12.10</v>
      </c>
      <c r="B591" s="868" t="str">
        <f>'ORÇAMENTO NÃO DESONERADO'!C144</f>
        <v>DISJUNTOR TERMOMAGNETICO MONOPOLAR PADRAO NEMA (AMERICANO) 10 A 30A 240V, FORNECIMENTO E INSTALACAO</v>
      </c>
      <c r="C591" s="449"/>
      <c r="D591" s="449"/>
      <c r="E591" s="449"/>
      <c r="F591" s="449"/>
      <c r="G591" s="449"/>
      <c r="H591" s="449"/>
      <c r="I591" s="449"/>
      <c r="J591" s="449"/>
      <c r="K591" s="449"/>
      <c r="L591" s="449"/>
      <c r="M591" s="449"/>
      <c r="N591" s="449"/>
    </row>
    <row r="592" spans="1:14" s="770" customFormat="1" ht="15">
      <c r="A592" s="868"/>
      <c r="B592" s="868"/>
      <c r="C592" s="449"/>
      <c r="D592" s="449"/>
      <c r="E592" s="449"/>
      <c r="F592" s="449"/>
      <c r="G592" s="449"/>
      <c r="H592" s="449"/>
      <c r="I592" s="449"/>
      <c r="J592" s="449"/>
      <c r="K592" s="449"/>
      <c r="L592" s="449"/>
      <c r="M592" s="449"/>
      <c r="N592" s="449"/>
    </row>
    <row r="593" spans="1:14" s="770" customFormat="1" ht="12.75">
      <c r="A593" s="449"/>
      <c r="B593" s="449"/>
      <c r="C593" s="406" t="s">
        <v>238</v>
      </c>
      <c r="D593" s="408">
        <v>6</v>
      </c>
      <c r="E593" s="425" t="s">
        <v>495</v>
      </c>
      <c r="F593" s="449"/>
      <c r="G593" s="449"/>
      <c r="H593" s="449"/>
      <c r="I593" s="449"/>
      <c r="J593" s="449"/>
      <c r="K593" s="449"/>
      <c r="L593" s="449"/>
      <c r="M593" s="449"/>
      <c r="N593" s="449"/>
    </row>
    <row r="594" spans="1:14" s="770" customFormat="1" ht="12.75">
      <c r="A594" s="449"/>
      <c r="B594" s="449"/>
      <c r="C594" s="449"/>
      <c r="D594" s="449"/>
      <c r="E594" s="449"/>
      <c r="F594" s="449"/>
      <c r="G594" s="449"/>
      <c r="H594" s="449"/>
      <c r="I594" s="449"/>
      <c r="J594" s="449"/>
      <c r="K594" s="449"/>
      <c r="L594" s="449"/>
      <c r="M594" s="449"/>
      <c r="N594" s="449"/>
    </row>
    <row r="595" spans="1:14" s="770" customFormat="1" ht="15" customHeight="1">
      <c r="A595" s="871" t="str">
        <f>'ORÇAMENTO NÃO DESONERADO'!A145</f>
        <v>5.12.11</v>
      </c>
      <c r="B595" s="1158" t="str">
        <f>'ORÇAMENTO NÃO DESONERADO'!C145</f>
        <v>ELETRODUTO FLEXÍVEL CORRUGADO, PVC, DN 25 MM (3/4"), PARA CIRCUITOS TE RMINAIS, INSTALADO EM LAJE - FORNECIMENTO E INSTALAÇÃO. AF_12/2015</v>
      </c>
      <c r="C595" s="1158"/>
      <c r="D595" s="1158"/>
      <c r="E595" s="1158"/>
      <c r="F595" s="1158"/>
      <c r="G595" s="1158"/>
      <c r="H595" s="1158"/>
      <c r="I595" s="1158"/>
      <c r="J595" s="1158"/>
      <c r="K595" s="1158"/>
      <c r="L595" s="1158"/>
      <c r="M595" s="1158"/>
      <c r="N595" s="1158"/>
    </row>
    <row r="596" spans="2:14" ht="14.25" customHeight="1">
      <c r="B596" s="1158"/>
      <c r="C596" s="1158"/>
      <c r="D596" s="1158"/>
      <c r="E596" s="1158"/>
      <c r="F596" s="1158"/>
      <c r="G596" s="1158"/>
      <c r="H596" s="1158"/>
      <c r="I596" s="1158"/>
      <c r="J596" s="1158"/>
      <c r="K596" s="1158"/>
      <c r="L596" s="1158"/>
      <c r="M596" s="1158"/>
      <c r="N596" s="1158"/>
    </row>
    <row r="598" spans="3:5" ht="12.75">
      <c r="C598" s="406" t="s">
        <v>238</v>
      </c>
      <c r="D598" s="408">
        <v>19</v>
      </c>
      <c r="E598" s="425" t="s">
        <v>80</v>
      </c>
    </row>
    <row r="600" spans="1:14" ht="15" customHeight="1">
      <c r="A600" s="201" t="str">
        <f>'ORÇAMENTO NÃO DESONERADO'!A146</f>
        <v>5.12.12</v>
      </c>
      <c r="B600" s="1145" t="str">
        <f>'ORÇAMENTO NÃO DESONERADO'!C146</f>
        <v>CURVA 90 GRAUS PARA ELETRODUTO, PVC, ROSCÁVEL, DN 25 MM (3/4"), PARA CIRCUITOS TERMINAIS, INSTALADA EM LAJE - FORNECIMENTO E INSTALAÇÃO. AF_12/2015</v>
      </c>
      <c r="C600" s="1145"/>
      <c r="D600" s="1145"/>
      <c r="E600" s="1145"/>
      <c r="F600" s="1145"/>
      <c r="G600" s="1145"/>
      <c r="H600" s="1145"/>
      <c r="I600" s="1145"/>
      <c r="J600" s="1145"/>
      <c r="K600" s="1145"/>
      <c r="L600" s="1145"/>
      <c r="M600" s="1145"/>
      <c r="N600" s="1145"/>
    </row>
    <row r="601" spans="2:14" ht="14.25" customHeight="1">
      <c r="B601" s="1145"/>
      <c r="C601" s="1145"/>
      <c r="D601" s="1145"/>
      <c r="E601" s="1145"/>
      <c r="F601" s="1145"/>
      <c r="G601" s="1145"/>
      <c r="H601" s="1145"/>
      <c r="I601" s="1145"/>
      <c r="J601" s="1145"/>
      <c r="K601" s="1145"/>
      <c r="L601" s="1145"/>
      <c r="M601" s="1145"/>
      <c r="N601" s="1145"/>
    </row>
    <row r="603" spans="3:5" ht="12.75">
      <c r="C603" s="406" t="s">
        <v>238</v>
      </c>
      <c r="D603" s="408">
        <v>9</v>
      </c>
      <c r="E603" s="425" t="s">
        <v>495</v>
      </c>
    </row>
    <row r="605" spans="1:14" ht="15" customHeight="1">
      <c r="A605" s="201" t="str">
        <f>'ORÇAMENTO NÃO DESONERADO'!A147</f>
        <v>5.12.13</v>
      </c>
      <c r="B605" s="1145" t="str">
        <f>'ORÇAMENTO NÃO DESONERADO'!C147</f>
        <v xml:space="preserve">ELETRODUTO RÍGIDO ROSCÁVEL, PVC, DN 25 MM (3/4"), PARA CIRCU ITOS TERMINAIS, INSTALADO EM FORRO - FORNECIMENTO E INSTALAÇÃO. AF_12/2015 </v>
      </c>
      <c r="C605" s="1145"/>
      <c r="D605" s="1145"/>
      <c r="E605" s="1145"/>
      <c r="F605" s="1145"/>
      <c r="G605" s="1145"/>
      <c r="H605" s="1145"/>
      <c r="I605" s="1145"/>
      <c r="J605" s="1145"/>
      <c r="K605" s="1145"/>
      <c r="L605" s="1145"/>
      <c r="M605" s="1145"/>
      <c r="N605" s="1145"/>
    </row>
    <row r="606" spans="2:14" ht="14.25" customHeight="1">
      <c r="B606" s="1145"/>
      <c r="C606" s="1145"/>
      <c r="D606" s="1145"/>
      <c r="E606" s="1145"/>
      <c r="F606" s="1145"/>
      <c r="G606" s="1145"/>
      <c r="H606" s="1145"/>
      <c r="I606" s="1145"/>
      <c r="J606" s="1145"/>
      <c r="K606" s="1145"/>
      <c r="L606" s="1145"/>
      <c r="M606" s="1145"/>
      <c r="N606" s="1145"/>
    </row>
    <row r="608" spans="3:5" ht="12.75">
      <c r="C608" s="406" t="s">
        <v>238</v>
      </c>
      <c r="D608" s="408">
        <v>15</v>
      </c>
      <c r="E608" s="425" t="s">
        <v>80</v>
      </c>
    </row>
    <row r="610" spans="1:14" ht="15" customHeight="1">
      <c r="A610" s="201" t="str">
        <f>'ORÇAMENTO NÃO DESONERADO'!A148</f>
        <v>5.12.14</v>
      </c>
      <c r="B610" s="1145" t="str">
        <f>'ORÇAMENTO NÃO DESONERADO'!C148</f>
        <v>LUVA PARA ELETRODUTO, PVC, SOLDÁVEL, DN 25 MM (3/4), APARENTE, INSTALADA EM TETO - FORNECIMENTO E INSTALAÇÃO. AF_11/2016_P</v>
      </c>
      <c r="C610" s="1145"/>
      <c r="D610" s="1145"/>
      <c r="E610" s="1145"/>
      <c r="F610" s="1145"/>
      <c r="G610" s="1145"/>
      <c r="H610" s="1145"/>
      <c r="I610" s="1145"/>
      <c r="J610" s="1145"/>
      <c r="K610" s="1145"/>
      <c r="L610" s="1145"/>
      <c r="M610" s="1145"/>
      <c r="N610" s="1145"/>
    </row>
    <row r="611" spans="2:14" ht="14.25" customHeight="1">
      <c r="B611" s="1145"/>
      <c r="C611" s="1145"/>
      <c r="D611" s="1145"/>
      <c r="E611" s="1145"/>
      <c r="F611" s="1145"/>
      <c r="G611" s="1145"/>
      <c r="H611" s="1145"/>
      <c r="I611" s="1145"/>
      <c r="J611" s="1145"/>
      <c r="K611" s="1145"/>
      <c r="L611" s="1145"/>
      <c r="M611" s="1145"/>
      <c r="N611" s="1145"/>
    </row>
    <row r="613" spans="3:5" ht="12.75">
      <c r="C613" s="406" t="s">
        <v>238</v>
      </c>
      <c r="D613" s="408">
        <v>9</v>
      </c>
      <c r="E613" s="425" t="s">
        <v>495</v>
      </c>
    </row>
    <row r="615" spans="1:2" ht="15">
      <c r="A615" s="201" t="str">
        <f>'ORÇAMENTO NÃO DESONERADO'!A149</f>
        <v>5.12.15</v>
      </c>
      <c r="B615" s="201" t="str">
        <f>'ORÇAMENTO NÃO DESONERADO'!C149</f>
        <v>PERFILADO PERFURADO SIMPLES 38 X 38 MM, CHAPA 22</v>
      </c>
    </row>
    <row r="617" spans="3:5" ht="12.75">
      <c r="C617" s="406" t="s">
        <v>238</v>
      </c>
      <c r="D617" s="408">
        <v>80</v>
      </c>
      <c r="E617" s="425" t="s">
        <v>80</v>
      </c>
    </row>
    <row r="618" spans="1:3" ht="15">
      <c r="A618" s="201"/>
      <c r="B618" s="201"/>
      <c r="C618" s="201"/>
    </row>
    <row r="619" spans="1:3" ht="15">
      <c r="A619" s="201" t="str">
        <f>'ORÇAMENTO NÃO DESONERADO'!A150</f>
        <v>5.12.16</v>
      </c>
      <c r="B619" s="201" t="str">
        <f>'ORÇAMENTO NÃO DESONERADO'!C150</f>
        <v>CAIXA DE PASSAGEM 40X40X50 FUNDO BRITA COM TAMPA</v>
      </c>
      <c r="C619" s="201"/>
    </row>
    <row r="620" spans="1:3" ht="15">
      <c r="A620" s="201"/>
      <c r="B620" s="201"/>
      <c r="C620" s="201"/>
    </row>
    <row r="621" spans="3:5" ht="12.75">
      <c r="C621" s="406" t="s">
        <v>238</v>
      </c>
      <c r="D621" s="408">
        <v>16</v>
      </c>
      <c r="E621" s="425" t="s">
        <v>495</v>
      </c>
    </row>
    <row r="623" spans="1:2" ht="15">
      <c r="A623" s="201" t="str">
        <f>'ORÇAMENTO NÃO DESONERADO'!A151</f>
        <v>5.12.17</v>
      </c>
      <c r="B623" s="201" t="str">
        <f>'ORÇAMENTO NÃO DESONERADO'!C151</f>
        <v>CAIXA DE PROTECAO PARA 1 MEDIDOR MONOFASICO, EM CHAPA DE ACO 20 USG (PADRAO DA CONCESSIONARIA LOCAL)</v>
      </c>
    </row>
    <row r="625" spans="3:5" ht="12.75">
      <c r="C625" s="406" t="s">
        <v>238</v>
      </c>
      <c r="D625" s="408">
        <v>1</v>
      </c>
      <c r="E625" s="425" t="s">
        <v>495</v>
      </c>
    </row>
    <row r="627" spans="1:2" ht="15">
      <c r="A627" s="201" t="str">
        <f>'ORÇAMENTO NÃO DESONERADO'!A152</f>
        <v>5.12.18</v>
      </c>
      <c r="B627" s="201" t="str">
        <f>'ORÇAMENTO NÃO DESONERADO'!C152</f>
        <v>HASTE DE ATERRAMENTO 3/4 PARA SPDA - FORNECIMENTO E INSTALAÇÃO. AF_12/2017</v>
      </c>
    </row>
    <row r="629" spans="3:5" ht="12.75">
      <c r="C629" s="406" t="s">
        <v>238</v>
      </c>
      <c r="D629" s="408">
        <v>3</v>
      </c>
      <c r="E629" s="425" t="s">
        <v>495</v>
      </c>
    </row>
    <row r="631" spans="1:14" ht="15" customHeight="1">
      <c r="A631" s="201" t="str">
        <f>'ORÇAMENTO NÃO DESONERADO'!A153</f>
        <v>5.12.19</v>
      </c>
      <c r="B631" s="1145" t="str">
        <f>'ORÇAMENTO NÃO DESONERADO'!C153</f>
        <v>CABO DE COBRE FLEXÍVEL ISOLADO, 2,5 MM², ANTI-CHAMA 450/750 V, PARA CIRCUITOS TERMINAIS - FORNECIMENTO E INSTALAÇÃO. AF_12/2015</v>
      </c>
      <c r="C631" s="1145"/>
      <c r="D631" s="1145"/>
      <c r="E631" s="1145"/>
      <c r="F631" s="1145"/>
      <c r="G631" s="1145"/>
      <c r="H631" s="1145"/>
      <c r="I631" s="1145"/>
      <c r="J631" s="1145"/>
      <c r="K631" s="1145"/>
      <c r="L631" s="1145"/>
      <c r="M631" s="1145"/>
      <c r="N631" s="1145"/>
    </row>
    <row r="632" spans="2:14" ht="14.25" customHeight="1">
      <c r="B632" s="1145"/>
      <c r="C632" s="1145"/>
      <c r="D632" s="1145"/>
      <c r="E632" s="1145"/>
      <c r="F632" s="1145"/>
      <c r="G632" s="1145"/>
      <c r="H632" s="1145"/>
      <c r="I632" s="1145"/>
      <c r="J632" s="1145"/>
      <c r="K632" s="1145"/>
      <c r="L632" s="1145"/>
      <c r="M632" s="1145"/>
      <c r="N632" s="1145"/>
    </row>
    <row r="634" spans="3:5" ht="12.75">
      <c r="C634" s="406" t="s">
        <v>238</v>
      </c>
      <c r="D634" s="408">
        <v>150</v>
      </c>
      <c r="E634" s="425" t="s">
        <v>495</v>
      </c>
    </row>
    <row r="636" spans="1:14" ht="15" customHeight="1">
      <c r="A636" s="201" t="str">
        <f>'ORÇAMENTO NÃO DESONERADO'!A154</f>
        <v>5.12.20</v>
      </c>
      <c r="B636" s="1145" t="str">
        <f>'ORÇAMENTO NÃO DESONERADO'!C154</f>
        <v>CABO DE COBRE FLEXÍVEL ISOLADO, 4 MM², ANTI-CHAMA 450/750 V, PARA CIRCUITOS TERMINAIS - FORNECIMENTO E INSTALAÇÃO. AF_12/2015</v>
      </c>
      <c r="C636" s="1145"/>
      <c r="D636" s="1145"/>
      <c r="E636" s="1145"/>
      <c r="F636" s="1145"/>
      <c r="G636" s="1145"/>
      <c r="H636" s="1145"/>
      <c r="I636" s="1145"/>
      <c r="J636" s="1145"/>
      <c r="K636" s="1145"/>
      <c r="L636" s="1145"/>
      <c r="M636" s="1145"/>
      <c r="N636" s="1145"/>
    </row>
    <row r="637" spans="1:14" ht="15">
      <c r="A637" s="201"/>
      <c r="B637" s="1145"/>
      <c r="C637" s="1145"/>
      <c r="D637" s="1145"/>
      <c r="E637" s="1145"/>
      <c r="F637" s="1145"/>
      <c r="G637" s="1145"/>
      <c r="H637" s="1145"/>
      <c r="I637" s="1145"/>
      <c r="J637" s="1145"/>
      <c r="K637" s="1145"/>
      <c r="L637" s="1145"/>
      <c r="M637" s="1145"/>
      <c r="N637" s="1145"/>
    </row>
    <row r="639" spans="3:5" ht="12.75">
      <c r="C639" s="406" t="s">
        <v>238</v>
      </c>
      <c r="D639" s="408">
        <v>10</v>
      </c>
      <c r="E639" s="425" t="s">
        <v>80</v>
      </c>
    </row>
    <row r="641" spans="1:2" ht="15">
      <c r="A641" s="45" t="str">
        <f>'ORÇAMENTO NÃO DESONERADO'!A208</f>
        <v>5.17</v>
      </c>
      <c r="B641" s="201" t="str">
        <f>'ORÇAMENTO NÃO DESONERADO'!C208</f>
        <v xml:space="preserve">DIVERSOS </v>
      </c>
    </row>
    <row r="642" spans="1:14" ht="15">
      <c r="A642" s="45" t="str">
        <f>'ORÇAMENTO NÃO DESONERADO'!A209</f>
        <v>5,17,1</v>
      </c>
      <c r="B642" s="1145" t="str">
        <f>'ORÇAMENTO NÃO DESONERADO'!C209</f>
        <v>DIVISORIA EM GRANITO, COM DUAS FACES POLIDAS, TIPO ANDORINHA/ QUARTZ/ CASTELO/CORUMBA OU OUTROS EQUIVALENTES DA REGIAO, E= *3,0* CM</v>
      </c>
      <c r="C642" s="1145"/>
      <c r="D642" s="1145"/>
      <c r="E642" s="1145"/>
      <c r="F642" s="1145"/>
      <c r="G642" s="1145"/>
      <c r="H642" s="1145"/>
      <c r="I642" s="1145"/>
      <c r="J642" s="1145"/>
      <c r="K642" s="1145"/>
      <c r="L642" s="1145"/>
      <c r="M642" s="1145"/>
      <c r="N642" s="1145"/>
    </row>
    <row r="643" spans="1:14" ht="15">
      <c r="A643" s="201"/>
      <c r="B643" s="1145"/>
      <c r="C643" s="1145"/>
      <c r="D643" s="1145"/>
      <c r="E643" s="1145"/>
      <c r="F643" s="1145"/>
      <c r="G643" s="1145"/>
      <c r="H643" s="1145"/>
      <c r="I643" s="1145"/>
      <c r="J643" s="1145"/>
      <c r="K643" s="1145"/>
      <c r="L643" s="1145"/>
      <c r="M643" s="1145"/>
      <c r="N643" s="1145"/>
    </row>
    <row r="645" spans="2:7" ht="15">
      <c r="B645" s="445" t="s">
        <v>74</v>
      </c>
      <c r="C645" s="780"/>
      <c r="D645" s="828" t="s">
        <v>33</v>
      </c>
      <c r="E645" s="780"/>
      <c r="G645" s="780"/>
    </row>
    <row r="646" spans="2:5" ht="12.75">
      <c r="B646" s="827">
        <v>1.5</v>
      </c>
      <c r="C646" s="828" t="s">
        <v>30</v>
      </c>
      <c r="D646" s="888">
        <v>2</v>
      </c>
      <c r="E646" s="828" t="s">
        <v>3</v>
      </c>
    </row>
    <row r="647" spans="2:7" ht="12.75">
      <c r="B647" s="769"/>
      <c r="C647" s="769"/>
      <c r="D647" s="769"/>
      <c r="E647" s="769"/>
      <c r="F647" s="769"/>
      <c r="G647" s="769"/>
    </row>
    <row r="648" spans="2:7" ht="12.75">
      <c r="B648" s="406" t="s">
        <v>238</v>
      </c>
      <c r="C648" s="408">
        <f>D646*B646</f>
        <v>3</v>
      </c>
      <c r="D648" s="425" t="s">
        <v>3</v>
      </c>
      <c r="E648" s="776"/>
      <c r="F648" s="776"/>
      <c r="G648" s="776"/>
    </row>
    <row r="650" spans="1:14" ht="15">
      <c r="A650" s="200">
        <f>'ORÇAMENTO NÃO DESONERADO'!B210</f>
        <v>4911</v>
      </c>
      <c r="B650" s="1145" t="str">
        <f>'ORÇAMENTO NÃO DESONERADO'!C210</f>
        <v>PORTA DE ENROLAR MANUAL COMPLETA, ARTICULADA RAIADA LARGA, EM ACO GALVANIZADO NATURAL, CHAPA NUMERO 24 (SEM INSTALACAO)</v>
      </c>
      <c r="C650" s="1145"/>
      <c r="D650" s="1145"/>
      <c r="E650" s="1145"/>
      <c r="F650" s="1145"/>
      <c r="G650" s="1145"/>
      <c r="H650" s="1145"/>
      <c r="I650" s="1145"/>
      <c r="J650" s="1145"/>
      <c r="K650" s="1145"/>
      <c r="L650" s="1145"/>
      <c r="M650" s="1145"/>
      <c r="N650" s="1145"/>
    </row>
    <row r="651" spans="2:14" ht="12.75">
      <c r="B651" s="1145"/>
      <c r="C651" s="1145"/>
      <c r="D651" s="1145"/>
      <c r="E651" s="1145"/>
      <c r="F651" s="1145"/>
      <c r="G651" s="1145"/>
      <c r="H651" s="1145"/>
      <c r="I651" s="1145"/>
      <c r="J651" s="1145"/>
      <c r="K651" s="1145"/>
      <c r="L651" s="1145"/>
      <c r="M651" s="1145"/>
      <c r="N651" s="1145"/>
    </row>
    <row r="653" spans="2:5" ht="15">
      <c r="B653" s="445" t="s">
        <v>74</v>
      </c>
      <c r="C653" s="780"/>
      <c r="D653" s="828" t="s">
        <v>33</v>
      </c>
      <c r="E653" s="780"/>
    </row>
    <row r="654" spans="2:5" ht="12.75">
      <c r="B654" s="827">
        <v>2.5</v>
      </c>
      <c r="C654" s="828" t="s">
        <v>30</v>
      </c>
      <c r="D654" s="888">
        <v>1.2</v>
      </c>
      <c r="E654" s="828" t="s">
        <v>3</v>
      </c>
    </row>
    <row r="655" spans="2:5" ht="12.75">
      <c r="B655" s="769"/>
      <c r="C655" s="769"/>
      <c r="D655" s="769"/>
      <c r="E655" s="769"/>
    </row>
    <row r="656" spans="2:5" ht="12.75">
      <c r="B656" s="406" t="s">
        <v>238</v>
      </c>
      <c r="C656" s="408">
        <f>D654*B654</f>
        <v>3</v>
      </c>
      <c r="D656" s="425" t="s">
        <v>3</v>
      </c>
      <c r="E656" s="776"/>
    </row>
  </sheetData>
  <mergeCells count="81">
    <mergeCell ref="B352:N352"/>
    <mergeCell ref="B339:N339"/>
    <mergeCell ref="B642:N643"/>
    <mergeCell ref="B650:N651"/>
    <mergeCell ref="A7:B8"/>
    <mergeCell ref="C7:E8"/>
    <mergeCell ref="F7:G8"/>
    <mergeCell ref="H7:N8"/>
    <mergeCell ref="C286:D286"/>
    <mergeCell ref="B194:N195"/>
    <mergeCell ref="A221:C221"/>
    <mergeCell ref="I212:M213"/>
    <mergeCell ref="B218:N218"/>
    <mergeCell ref="A25:C25"/>
    <mergeCell ref="B105:N105"/>
    <mergeCell ref="A74:C74"/>
    <mergeCell ref="A1:N1"/>
    <mergeCell ref="C2:N2"/>
    <mergeCell ref="H3:N3"/>
    <mergeCell ref="C4:N4"/>
    <mergeCell ref="H6:N6"/>
    <mergeCell ref="C5:N5"/>
    <mergeCell ref="A4:B4"/>
    <mergeCell ref="A5:B5"/>
    <mergeCell ref="A6:B6"/>
    <mergeCell ref="C6:E6"/>
    <mergeCell ref="F6:G6"/>
    <mergeCell ref="A2:B2"/>
    <mergeCell ref="A3:B3"/>
    <mergeCell ref="C3:E3"/>
    <mergeCell ref="B315:N315"/>
    <mergeCell ref="J108:K108"/>
    <mergeCell ref="K149:M151"/>
    <mergeCell ref="J158:K158"/>
    <mergeCell ref="I173:M174"/>
    <mergeCell ref="G280:I280"/>
    <mergeCell ref="B281:D281"/>
    <mergeCell ref="B284:E284"/>
    <mergeCell ref="C285:D285"/>
    <mergeCell ref="G270:J270"/>
    <mergeCell ref="G260:J260"/>
    <mergeCell ref="I125:M126"/>
    <mergeCell ref="B130:N132"/>
    <mergeCell ref="A9:N9"/>
    <mergeCell ref="B268:D268"/>
    <mergeCell ref="B269:E269"/>
    <mergeCell ref="G269:I269"/>
    <mergeCell ref="B260:D260"/>
    <mergeCell ref="B261:E261"/>
    <mergeCell ref="G261:J261"/>
    <mergeCell ref="B415:N415"/>
    <mergeCell ref="B405:N405"/>
    <mergeCell ref="B390:N391"/>
    <mergeCell ref="B253:N253"/>
    <mergeCell ref="B308:N308"/>
    <mergeCell ref="B293:N294"/>
    <mergeCell ref="B299:D299"/>
    <mergeCell ref="B287:D287"/>
    <mergeCell ref="B381:N381"/>
    <mergeCell ref="B359:N359"/>
    <mergeCell ref="B374:N374"/>
    <mergeCell ref="B367:N367"/>
    <mergeCell ref="B399:N400"/>
    <mergeCell ref="B325:N325"/>
    <mergeCell ref="B255:E255"/>
    <mergeCell ref="G255:K255"/>
    <mergeCell ref="B454:N455"/>
    <mergeCell ref="B459:N460"/>
    <mergeCell ref="B425:N426"/>
    <mergeCell ref="B432:N433"/>
    <mergeCell ref="B437:N438"/>
    <mergeCell ref="B443:N444"/>
    <mergeCell ref="B448:N449"/>
    <mergeCell ref="B610:N611"/>
    <mergeCell ref="B631:N632"/>
    <mergeCell ref="B636:N637"/>
    <mergeCell ref="B553:N554"/>
    <mergeCell ref="B562:N562"/>
    <mergeCell ref="B595:N596"/>
    <mergeCell ref="B600:N601"/>
    <mergeCell ref="B605:N606"/>
  </mergeCells>
  <printOptions/>
  <pageMargins left="0.511811024" right="0.511811024" top="0.787401575" bottom="0.787401575" header="0.31496062" footer="0.31496062"/>
  <pageSetup horizontalDpi="600" verticalDpi="600" orientation="portrait" paperSize="9" scale="61" r:id="rId2"/>
  <rowBreaks count="5" manualBreakCount="5">
    <brk id="139" max="16383" man="1"/>
    <brk id="207" max="16383" man="1"/>
    <brk id="267" max="16383" man="1"/>
    <brk id="338" max="16383" man="1"/>
    <brk id="64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BAPTISTA</cp:lastModifiedBy>
  <cp:lastPrinted>2018-08-16T20:05:38Z</cp:lastPrinted>
  <dcterms:created xsi:type="dcterms:W3CDTF">2009-07-02T17:29:30Z</dcterms:created>
  <dcterms:modified xsi:type="dcterms:W3CDTF">2019-08-29T11:35:56Z</dcterms:modified>
  <cp:category/>
  <cp:version/>
  <cp:contentType/>
  <cp:contentStatus/>
</cp:coreProperties>
</file>