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9675"/>
  </bookViews>
  <sheets>
    <sheet name="ORÇ SANTA LUZIA" sheetId="2" r:id="rId1"/>
    <sheet name="CRONOGRAMA SANTA LUZIA" sheetId="6" r:id="rId2"/>
    <sheet name="ORÇ SÃO MIGUEL" sheetId="7" r:id="rId3"/>
    <sheet name="CRONOGRAMA SÃO MIGUEL" sheetId="8" r:id="rId4"/>
    <sheet name="CBUQ DESONERADA" sheetId="5" state="hidden" r:id="rId5"/>
    <sheet name="MEMORIAL QUANT. CBUQ" sheetId="4" state="hidden" r:id="rId6"/>
  </sheets>
  <externalReferences>
    <externalReference r:id="rId7"/>
  </externalReferences>
  <definedNames>
    <definedName name="_xlnm._FilterDatabase" localSheetId="4" hidden="1">'CBUQ DESONERADA'!$A$8:$K$54</definedName>
    <definedName name="_xlnm._FilterDatabase" localSheetId="5" hidden="1">'MEMORIAL QUANT. CBUQ'!$A$1:$O$66</definedName>
    <definedName name="_xlnm._FilterDatabase" localSheetId="0" hidden="1">'ORÇ SANTA LUZIA'!$A$16:$K$67</definedName>
    <definedName name="_xlnm._FilterDatabase" localSheetId="2" hidden="1">'ORÇ SÃO MIGUEL'!$A$16:$K$65</definedName>
    <definedName name="_xlnm.Print_Area" localSheetId="1">'CRONOGRAMA SANTA LUZIA'!$B$1:$O$45</definedName>
    <definedName name="_xlnm.Print_Area" localSheetId="3">'CRONOGRAMA SÃO MIGUEL'!$B$1:$O$45</definedName>
    <definedName name="_xlnm.Print_Area" localSheetId="0">'ORÇ SANTA LUZIA'!$A$1:$K$74</definedName>
    <definedName name="_xlnm.Print_Area" localSheetId="2">'ORÇ SÃO MIGUEL'!$A$1:$K$73</definedName>
    <definedName name="_xlnm.Print_Titles" localSheetId="1">'CRONOGRAMA SANTA LUZIA'!$1:$16</definedName>
    <definedName name="_xlnm.Print_Titles" localSheetId="3">'CRONOGRAMA SÃO MIGUEL'!$1:$16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8" l="1"/>
  <c r="O34" i="8"/>
  <c r="O32" i="8"/>
  <c r="H31" i="8"/>
  <c r="K32" i="8" s="1"/>
  <c r="C31" i="8"/>
  <c r="O29" i="8"/>
  <c r="H28" i="8"/>
  <c r="K29" i="8" s="1"/>
  <c r="L29" i="8" s="1"/>
  <c r="C28" i="8"/>
  <c r="R26" i="8"/>
  <c r="Q26" i="8"/>
  <c r="P26" i="8"/>
  <c r="O26" i="8"/>
  <c r="H25" i="8"/>
  <c r="K26" i="8" s="1"/>
  <c r="L26" i="8" s="1"/>
  <c r="C25" i="8"/>
  <c r="R23" i="8"/>
  <c r="Q23" i="8"/>
  <c r="P23" i="8"/>
  <c r="O23" i="8"/>
  <c r="H22" i="8"/>
  <c r="K23" i="8" s="1"/>
  <c r="L23" i="8" s="1"/>
  <c r="C22" i="8"/>
  <c r="R20" i="8"/>
  <c r="Q20" i="8"/>
  <c r="Q34" i="8" s="1"/>
  <c r="P20" i="8"/>
  <c r="P34" i="8" s="1"/>
  <c r="O20" i="8"/>
  <c r="H19" i="8"/>
  <c r="C35" i="8" s="1"/>
  <c r="C19" i="8"/>
  <c r="K18" i="8"/>
  <c r="R16" i="8"/>
  <c r="Q16" i="8"/>
  <c r="P16" i="8"/>
  <c r="O16" i="8"/>
  <c r="N16" i="8"/>
  <c r="L16" i="8"/>
  <c r="J16" i="8"/>
  <c r="K16" i="8" s="1"/>
  <c r="M16" i="8" s="1"/>
  <c r="M15" i="8"/>
  <c r="K15" i="8"/>
  <c r="I15" i="8"/>
  <c r="K62" i="7"/>
  <c r="J62" i="7"/>
  <c r="K61" i="7"/>
  <c r="J61" i="7"/>
  <c r="K60" i="7"/>
  <c r="J60" i="7"/>
  <c r="K59" i="7"/>
  <c r="K63" i="7" s="1"/>
  <c r="J59" i="7"/>
  <c r="J63" i="7" s="1"/>
  <c r="K56" i="7"/>
  <c r="I56" i="7"/>
  <c r="H56" i="7"/>
  <c r="J56" i="7" s="1"/>
  <c r="C56" i="7"/>
  <c r="B56" i="7"/>
  <c r="K55" i="7"/>
  <c r="K57" i="7" s="1"/>
  <c r="J55" i="7"/>
  <c r="K54" i="7"/>
  <c r="I54" i="7"/>
  <c r="G54" i="7"/>
  <c r="J54" i="7" s="1"/>
  <c r="K53" i="7"/>
  <c r="I53" i="7"/>
  <c r="G53" i="7"/>
  <c r="J53" i="7" s="1"/>
  <c r="I52" i="7"/>
  <c r="G52" i="7"/>
  <c r="J52" i="7" s="1"/>
  <c r="I51" i="7"/>
  <c r="G51" i="7"/>
  <c r="J51" i="7" s="1"/>
  <c r="K50" i="7"/>
  <c r="J50" i="7"/>
  <c r="I50" i="7"/>
  <c r="K49" i="7"/>
  <c r="J49" i="7"/>
  <c r="I49" i="7"/>
  <c r="J48" i="7"/>
  <c r="I48" i="7"/>
  <c r="K48" i="7" s="1"/>
  <c r="J47" i="7"/>
  <c r="I47" i="7"/>
  <c r="K47" i="7" s="1"/>
  <c r="I46" i="7"/>
  <c r="G46" i="7"/>
  <c r="J46" i="7" s="1"/>
  <c r="I45" i="7"/>
  <c r="G45" i="7"/>
  <c r="J45" i="7" s="1"/>
  <c r="K44" i="7"/>
  <c r="I44" i="7"/>
  <c r="G44" i="7"/>
  <c r="J44" i="7" s="1"/>
  <c r="K43" i="7"/>
  <c r="I43" i="7"/>
  <c r="G43" i="7"/>
  <c r="J43" i="7" s="1"/>
  <c r="I42" i="7"/>
  <c r="G42" i="7"/>
  <c r="J42" i="7" s="1"/>
  <c r="I41" i="7"/>
  <c r="G41" i="7"/>
  <c r="J41" i="7" s="1"/>
  <c r="K40" i="7"/>
  <c r="I40" i="7"/>
  <c r="G40" i="7"/>
  <c r="J40" i="7" s="1"/>
  <c r="K39" i="7"/>
  <c r="J39" i="7"/>
  <c r="I39" i="7"/>
  <c r="K38" i="7"/>
  <c r="J38" i="7"/>
  <c r="I38" i="7"/>
  <c r="J37" i="7"/>
  <c r="I37" i="7"/>
  <c r="K37" i="7" s="1"/>
  <c r="J36" i="7"/>
  <c r="I36" i="7"/>
  <c r="K36" i="7" s="1"/>
  <c r="K33" i="7"/>
  <c r="J33" i="7"/>
  <c r="K32" i="7"/>
  <c r="K34" i="7" s="1"/>
  <c r="J32" i="7"/>
  <c r="J31" i="7"/>
  <c r="I31" i="7"/>
  <c r="K31" i="7" s="1"/>
  <c r="K30" i="7"/>
  <c r="J30" i="7"/>
  <c r="J34" i="7" s="1"/>
  <c r="J28" i="7"/>
  <c r="J27" i="7"/>
  <c r="I27" i="7"/>
  <c r="K27" i="7" s="1"/>
  <c r="K28" i="7" s="1"/>
  <c r="K24" i="7"/>
  <c r="J24" i="7"/>
  <c r="K23" i="7"/>
  <c r="K25" i="7" s="1"/>
  <c r="J23" i="7"/>
  <c r="J25" i="7" s="1"/>
  <c r="K20" i="7"/>
  <c r="J20" i="7"/>
  <c r="K19" i="7"/>
  <c r="J19" i="7"/>
  <c r="J21" i="7" s="1"/>
  <c r="K18" i="7"/>
  <c r="K21" i="7" s="1"/>
  <c r="J18" i="7"/>
  <c r="K42" i="7" l="1"/>
  <c r="K46" i="7"/>
  <c r="K52" i="7"/>
  <c r="K20" i="8"/>
  <c r="L20" i="8" s="1"/>
  <c r="J57" i="7"/>
  <c r="K41" i="7"/>
  <c r="K45" i="7"/>
  <c r="K51" i="7"/>
  <c r="K34" i="8"/>
  <c r="K33" i="8" s="1"/>
  <c r="L32" i="8"/>
  <c r="L34" i="8"/>
  <c r="I20" i="8"/>
  <c r="J20" i="8" s="1"/>
  <c r="I23" i="8"/>
  <c r="J23" i="8" s="1"/>
  <c r="M23" i="8"/>
  <c r="N23" i="8" s="1"/>
  <c r="I26" i="8"/>
  <c r="M26" i="8"/>
  <c r="N26" i="8" s="1"/>
  <c r="I29" i="8"/>
  <c r="J29" i="8" s="1"/>
  <c r="M29" i="8"/>
  <c r="N29" i="8" s="1"/>
  <c r="M18" i="8"/>
  <c r="M20" i="8" s="1"/>
  <c r="N20" i="8" s="1"/>
  <c r="I32" i="8"/>
  <c r="J32" i="8" s="1"/>
  <c r="M32" i="8"/>
  <c r="J64" i="7"/>
  <c r="J65" i="7"/>
  <c r="M65" i="7" s="1"/>
  <c r="J34" i="8" l="1"/>
  <c r="N34" i="8"/>
  <c r="I34" i="8"/>
  <c r="J26" i="8"/>
  <c r="M34" i="8"/>
  <c r="M33" i="8" s="1"/>
  <c r="N32" i="8"/>
  <c r="I37" i="8" l="1"/>
  <c r="K37" i="8" s="1"/>
  <c r="M37" i="8" s="1"/>
  <c r="I33" i="8"/>
  <c r="I36" i="8" s="1"/>
  <c r="K36" i="8" s="1"/>
  <c r="M36" i="8" s="1"/>
  <c r="J67" i="2" l="1"/>
  <c r="K65" i="2"/>
  <c r="K59" i="2"/>
  <c r="K36" i="2"/>
  <c r="K27" i="2"/>
  <c r="K21" i="2"/>
  <c r="K64" i="2"/>
  <c r="J65" i="2"/>
  <c r="K62" i="2"/>
  <c r="K63" i="2"/>
  <c r="K61" i="2"/>
  <c r="J62" i="2"/>
  <c r="J63" i="2"/>
  <c r="J64" i="2"/>
  <c r="J61" i="2"/>
  <c r="K58" i="2"/>
  <c r="J58" i="2"/>
  <c r="K57" i="2"/>
  <c r="J57" i="2"/>
  <c r="K33" i="2"/>
  <c r="K34" i="2"/>
  <c r="K35" i="2"/>
  <c r="J33" i="2"/>
  <c r="J34" i="2"/>
  <c r="J35" i="2"/>
  <c r="K32" i="2"/>
  <c r="J32" i="2"/>
  <c r="K24" i="2"/>
  <c r="K25" i="2"/>
  <c r="K26" i="2"/>
  <c r="J24" i="2"/>
  <c r="J25" i="2"/>
  <c r="J26" i="2"/>
  <c r="K23" i="2"/>
  <c r="J23" i="2"/>
  <c r="K19" i="2"/>
  <c r="K20" i="2"/>
  <c r="J19" i="2"/>
  <c r="J20" i="2"/>
  <c r="K18" i="2"/>
  <c r="J18" i="2"/>
  <c r="C31" i="6" l="1"/>
  <c r="C28" i="6"/>
  <c r="C25" i="6"/>
  <c r="C22" i="6"/>
  <c r="C19" i="6"/>
  <c r="O32" i="6"/>
  <c r="O29" i="6"/>
  <c r="R26" i="6"/>
  <c r="Q26" i="6"/>
  <c r="P26" i="6"/>
  <c r="O26" i="6"/>
  <c r="R23" i="6"/>
  <c r="Q23" i="6"/>
  <c r="P23" i="6"/>
  <c r="O23" i="6"/>
  <c r="R20" i="6"/>
  <c r="R34" i="6" s="1"/>
  <c r="Q20" i="6"/>
  <c r="Q34" i="6" s="1"/>
  <c r="P20" i="6"/>
  <c r="P34" i="6" s="1"/>
  <c r="O20" i="6"/>
  <c r="O34" i="6" s="1"/>
  <c r="K18" i="6"/>
  <c r="R16" i="6"/>
  <c r="Q16" i="6"/>
  <c r="P16" i="6"/>
  <c r="O16" i="6"/>
  <c r="N16" i="6"/>
  <c r="L16" i="6"/>
  <c r="K16" i="6"/>
  <c r="M16" i="6" s="1"/>
  <c r="J16" i="6"/>
  <c r="M15" i="6"/>
  <c r="K15" i="6"/>
  <c r="I15" i="6"/>
  <c r="M18" i="6" l="1"/>
  <c r="C58" i="2"/>
  <c r="I35" i="2"/>
  <c r="I58" i="2" s="1"/>
  <c r="H28" i="6" s="1"/>
  <c r="H35" i="2"/>
  <c r="H58" i="2" s="1"/>
  <c r="B35" i="2"/>
  <c r="B58" i="2" s="1"/>
  <c r="H19" i="6" l="1"/>
  <c r="K20" i="6" s="1"/>
  <c r="L20" i="6" s="1"/>
  <c r="M29" i="6"/>
  <c r="N29" i="6" s="1"/>
  <c r="K29" i="6"/>
  <c r="L29" i="6" s="1"/>
  <c r="I29" i="6"/>
  <c r="J29" i="6" s="1"/>
  <c r="H31" i="6"/>
  <c r="H22" i="6"/>
  <c r="I33" i="2"/>
  <c r="I20" i="6" l="1"/>
  <c r="J20" i="6" s="1"/>
  <c r="M20" i="6"/>
  <c r="N20" i="6" s="1"/>
  <c r="K23" i="6"/>
  <c r="L23" i="6" s="1"/>
  <c r="I23" i="6"/>
  <c r="J23" i="6" s="1"/>
  <c r="M23" i="6"/>
  <c r="N23" i="6" s="1"/>
  <c r="K32" i="6"/>
  <c r="M32" i="6"/>
  <c r="I32" i="6"/>
  <c r="J32" i="6" s="1"/>
  <c r="M34" i="6" l="1"/>
  <c r="N32" i="6"/>
  <c r="L32" i="6"/>
  <c r="D46" i="4"/>
  <c r="D47" i="4" l="1"/>
  <c r="G19" i="4" l="1"/>
  <c r="A5" i="4"/>
  <c r="A3" i="4"/>
  <c r="A7" i="5"/>
  <c r="A2" i="5"/>
  <c r="D16" i="4" l="1"/>
  <c r="C16" i="4"/>
  <c r="H16" i="4" l="1"/>
  <c r="F31" i="4"/>
  <c r="D32" i="4" l="1"/>
  <c r="F32" i="4"/>
  <c r="G36" i="4" l="1"/>
  <c r="G37" i="4"/>
  <c r="G38" i="4"/>
  <c r="G35" i="4"/>
  <c r="G28" i="5" l="1"/>
  <c r="D11" i="4"/>
  <c r="D10" i="4"/>
  <c r="I51" i="5" l="1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29" i="5"/>
  <c r="I28" i="5"/>
  <c r="K28" i="5" s="1"/>
  <c r="J28" i="5"/>
  <c r="I27" i="5"/>
  <c r="I26" i="5"/>
  <c r="I23" i="5"/>
  <c r="I20" i="5"/>
  <c r="I19" i="5"/>
  <c r="I18" i="5"/>
  <c r="I17" i="5"/>
  <c r="I16" i="5"/>
  <c r="I13" i="5"/>
  <c r="I12" i="5"/>
  <c r="I11" i="5"/>
  <c r="I10" i="5"/>
  <c r="I55" i="2" l="1"/>
  <c r="I56" i="2"/>
  <c r="I52" i="2"/>
  <c r="I53" i="2"/>
  <c r="I54" i="2"/>
  <c r="I50" i="2"/>
  <c r="I51" i="2"/>
  <c r="I47" i="2"/>
  <c r="I48" i="2"/>
  <c r="I49" i="2"/>
  <c r="I44" i="2"/>
  <c r="I45" i="2"/>
  <c r="I46" i="2"/>
  <c r="I41" i="2"/>
  <c r="I42" i="2"/>
  <c r="I43" i="2"/>
  <c r="I39" i="2"/>
  <c r="I40" i="2"/>
  <c r="I38" i="2"/>
  <c r="I29" i="2"/>
  <c r="F66" i="4"/>
  <c r="D62" i="4"/>
  <c r="K62" i="4" s="1"/>
  <c r="D61" i="4"/>
  <c r="C61" i="4"/>
  <c r="D60" i="4"/>
  <c r="C60" i="4"/>
  <c r="E59" i="4"/>
  <c r="E61" i="4" s="1"/>
  <c r="D59" i="4"/>
  <c r="K58" i="4"/>
  <c r="I58" i="4"/>
  <c r="H58" i="4" s="1"/>
  <c r="H63" i="4" s="1"/>
  <c r="K63" i="4" s="1"/>
  <c r="D56" i="4"/>
  <c r="K56" i="4" s="1"/>
  <c r="E55" i="4"/>
  <c r="D54" i="4"/>
  <c r="K54" i="4" s="1"/>
  <c r="D53" i="4"/>
  <c r="K53" i="4" s="1"/>
  <c r="G38" i="5" s="1"/>
  <c r="J38" i="5" s="1"/>
  <c r="K52" i="4"/>
  <c r="H52" i="4"/>
  <c r="H57" i="4" s="1"/>
  <c r="K57" i="4" s="1"/>
  <c r="D48" i="4"/>
  <c r="D49" i="4" s="1"/>
  <c r="C48" i="4"/>
  <c r="C49" i="4" s="1"/>
  <c r="E41" i="4"/>
  <c r="G32" i="4"/>
  <c r="E31" i="4"/>
  <c r="G31" i="4" s="1"/>
  <c r="D30" i="4"/>
  <c r="G30" i="4" s="1"/>
  <c r="I26" i="4"/>
  <c r="C22" i="4"/>
  <c r="G22" i="4" s="1"/>
  <c r="D18" i="4"/>
  <c r="C18" i="4"/>
  <c r="E11" i="4"/>
  <c r="C11" i="4"/>
  <c r="C10" i="4"/>
  <c r="I10" i="4" s="1"/>
  <c r="G11" i="5" s="1"/>
  <c r="J11" i="5" s="1"/>
  <c r="G54" i="2" l="1"/>
  <c r="J54" i="2" s="1"/>
  <c r="G48" i="5"/>
  <c r="G53" i="2"/>
  <c r="K53" i="2" s="1"/>
  <c r="G47" i="5"/>
  <c r="J49" i="2"/>
  <c r="G43" i="5"/>
  <c r="G45" i="2"/>
  <c r="J45" i="2" s="1"/>
  <c r="G39" i="5"/>
  <c r="G47" i="2"/>
  <c r="K47" i="2" s="1"/>
  <c r="G41" i="5"/>
  <c r="G44" i="2"/>
  <c r="J44" i="2" s="1"/>
  <c r="K38" i="5"/>
  <c r="G43" i="2"/>
  <c r="K43" i="2" s="1"/>
  <c r="G37" i="5"/>
  <c r="G48" i="2"/>
  <c r="J48" i="2" s="1"/>
  <c r="G42" i="5"/>
  <c r="G41" i="4"/>
  <c r="G29" i="5" s="1"/>
  <c r="G20" i="5"/>
  <c r="K11" i="5"/>
  <c r="G26" i="5"/>
  <c r="G23" i="5"/>
  <c r="G27" i="5"/>
  <c r="D55" i="4"/>
  <c r="K60" i="4"/>
  <c r="K55" i="4"/>
  <c r="K59" i="4"/>
  <c r="K49" i="2" l="1"/>
  <c r="J53" i="2"/>
  <c r="J43" i="2"/>
  <c r="J47" i="2"/>
  <c r="K54" i="2"/>
  <c r="K45" i="2"/>
  <c r="K44" i="2"/>
  <c r="K48" i="2"/>
  <c r="J47" i="5"/>
  <c r="K47" i="5"/>
  <c r="J51" i="2"/>
  <c r="G45" i="5"/>
  <c r="J43" i="5"/>
  <c r="K43" i="5"/>
  <c r="J48" i="5"/>
  <c r="K48" i="5"/>
  <c r="J50" i="2"/>
  <c r="G44" i="5"/>
  <c r="J37" i="5"/>
  <c r="K37" i="5"/>
  <c r="K41" i="5"/>
  <c r="J41" i="5"/>
  <c r="J39" i="5"/>
  <c r="K39" i="5"/>
  <c r="G46" i="2"/>
  <c r="J46" i="2" s="1"/>
  <c r="G40" i="5"/>
  <c r="J42" i="5"/>
  <c r="K42" i="5"/>
  <c r="J29" i="5"/>
  <c r="K29" i="5"/>
  <c r="J20" i="5"/>
  <c r="K20" i="5"/>
  <c r="J26" i="5"/>
  <c r="K26" i="5"/>
  <c r="J23" i="5"/>
  <c r="J24" i="5" s="1"/>
  <c r="K23" i="5"/>
  <c r="K24" i="5" s="1"/>
  <c r="J27" i="5"/>
  <c r="K27" i="5"/>
  <c r="K61" i="4"/>
  <c r="I11" i="4"/>
  <c r="I9" i="4"/>
  <c r="K46" i="2" l="1"/>
  <c r="K51" i="2"/>
  <c r="J52" i="2"/>
  <c r="G46" i="5"/>
  <c r="J45" i="5"/>
  <c r="K45" i="5"/>
  <c r="K50" i="2"/>
  <c r="J44" i="5"/>
  <c r="K44" i="5"/>
  <c r="J40" i="5"/>
  <c r="K40" i="5"/>
  <c r="K30" i="5"/>
  <c r="J30" i="5"/>
  <c r="G10" i="5"/>
  <c r="G12" i="5"/>
  <c r="G16" i="5"/>
  <c r="F17" i="4"/>
  <c r="H17" i="4" s="1"/>
  <c r="G12" i="4"/>
  <c r="I12" i="4" s="1"/>
  <c r="H18" i="4"/>
  <c r="K46" i="4"/>
  <c r="K47" i="4"/>
  <c r="K48" i="4"/>
  <c r="G34" i="5" s="1"/>
  <c r="K49" i="4"/>
  <c r="K64" i="4"/>
  <c r="K65" i="4"/>
  <c r="K66" i="4"/>
  <c r="K52" i="2" l="1"/>
  <c r="G56" i="2"/>
  <c r="J56" i="2" s="1"/>
  <c r="G50" i="5"/>
  <c r="G51" i="5"/>
  <c r="G55" i="2"/>
  <c r="J55" i="2" s="1"/>
  <c r="G49" i="5"/>
  <c r="J46" i="5"/>
  <c r="K46" i="5"/>
  <c r="J34" i="5"/>
  <c r="K34" i="5"/>
  <c r="J41" i="2"/>
  <c r="G35" i="5"/>
  <c r="J39" i="2"/>
  <c r="G33" i="5"/>
  <c r="J38" i="2"/>
  <c r="G32" i="5"/>
  <c r="J12" i="5"/>
  <c r="K12" i="5"/>
  <c r="G13" i="5"/>
  <c r="J10" i="5"/>
  <c r="K10" i="5"/>
  <c r="G18" i="5"/>
  <c r="J16" i="5"/>
  <c r="K16" i="5"/>
  <c r="G17" i="5"/>
  <c r="H50" i="4"/>
  <c r="K50" i="4" s="1"/>
  <c r="J40" i="2"/>
  <c r="K29" i="2"/>
  <c r="K30" i="2" s="1"/>
  <c r="F19" i="4"/>
  <c r="H19" i="4" s="1"/>
  <c r="M67" i="2" l="1"/>
  <c r="H25" i="6"/>
  <c r="J21" i="2"/>
  <c r="J51" i="5"/>
  <c r="K51" i="5"/>
  <c r="J50" i="5"/>
  <c r="K50" i="5"/>
  <c r="J49" i="5"/>
  <c r="K49" i="5"/>
  <c r="J35" i="5"/>
  <c r="K35" i="5"/>
  <c r="J33" i="5"/>
  <c r="K33" i="5"/>
  <c r="G42" i="2"/>
  <c r="K42" i="2" s="1"/>
  <c r="G36" i="5"/>
  <c r="J32" i="5"/>
  <c r="K32" i="5"/>
  <c r="J13" i="5"/>
  <c r="J14" i="5" s="1"/>
  <c r="K13" i="5"/>
  <c r="K14" i="5" s="1"/>
  <c r="G19" i="5"/>
  <c r="J17" i="5"/>
  <c r="K17" i="5"/>
  <c r="J18" i="5"/>
  <c r="K18" i="5"/>
  <c r="K56" i="2"/>
  <c r="J29" i="2"/>
  <c r="J30" i="2" s="1"/>
  <c r="K38" i="2"/>
  <c r="K55" i="2"/>
  <c r="K40" i="2"/>
  <c r="K39" i="2"/>
  <c r="J36" i="2"/>
  <c r="J27" i="2"/>
  <c r="K41" i="2"/>
  <c r="I26" i="6" l="1"/>
  <c r="M26" i="6"/>
  <c r="N26" i="6" s="1"/>
  <c r="N34" i="6" s="1"/>
  <c r="K26" i="6"/>
  <c r="C35" i="6"/>
  <c r="M33" i="6" s="1"/>
  <c r="J42" i="2"/>
  <c r="J59" i="2" s="1"/>
  <c r="J66" i="2" s="1"/>
  <c r="J36" i="5"/>
  <c r="J52" i="5" s="1"/>
  <c r="K36" i="5"/>
  <c r="K52" i="5" s="1"/>
  <c r="J19" i="5"/>
  <c r="J21" i="5" s="1"/>
  <c r="K19" i="5"/>
  <c r="K21" i="5" s="1"/>
  <c r="L26" i="6" l="1"/>
  <c r="L34" i="6" s="1"/>
  <c r="K34" i="6"/>
  <c r="K33" i="6" s="1"/>
  <c r="I34" i="6"/>
  <c r="J26" i="6"/>
  <c r="J34" i="6" s="1"/>
  <c r="J54" i="5"/>
  <c r="J53" i="5"/>
  <c r="I33" i="6" l="1"/>
  <c r="I36" i="6" s="1"/>
  <c r="K36" i="6" s="1"/>
  <c r="M36" i="6" s="1"/>
  <c r="I37" i="6"/>
  <c r="K37" i="6" s="1"/>
  <c r="M37" i="6" s="1"/>
</calcChain>
</file>

<file path=xl/comments1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color indexed="81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color indexed="81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sharedStrings.xml><?xml version="1.0" encoding="utf-8"?>
<sst xmlns="http://schemas.openxmlformats.org/spreadsheetml/2006/main" count="1036" uniqueCount="223">
  <si>
    <t>TOTAL INCLUSO BDI  (%)</t>
  </si>
  <si>
    <t xml:space="preserve"> TOTAL (R$)</t>
  </si>
  <si>
    <t>SUB - TOTAL</t>
  </si>
  <si>
    <t>m</t>
  </si>
  <si>
    <t>Assentamento de tudo de concreto para redes coletoras de águas pluviais, diâmeto de 600 mm, junta rígida, instalado em local com baixo nível de interferências</t>
  </si>
  <si>
    <t>S</t>
  </si>
  <si>
    <t>SINAPI</t>
  </si>
  <si>
    <t>5.13</t>
  </si>
  <si>
    <t>5.12</t>
  </si>
  <si>
    <t>Tubo de Concreto Simples, DN 400 mm para aguas pluviais</t>
  </si>
  <si>
    <t>I</t>
  </si>
  <si>
    <t>5.11</t>
  </si>
  <si>
    <t>Tubo de Concreto Simples, DN 600 mm para aguas pluviais</t>
  </si>
  <si>
    <t>5.10</t>
  </si>
  <si>
    <t>und</t>
  </si>
  <si>
    <t>Tampao fofo articulado, classe D400 carga max 40 T, redondo tampa *600 mm, rede pluvial/esgoto</t>
  </si>
  <si>
    <t>5.9</t>
  </si>
  <si>
    <t>Poço de visita para rede de esg. Sanit. Em aneis de concreto, diâmetro = 60 CM, prof = 80 cm, incluindo degrau, excluindo tampao ferro fundido</t>
  </si>
  <si>
    <t>5.8</t>
  </si>
  <si>
    <t>Boca de lobo em alvenaria tijolo macico, revestida c/ argamassa de cimento e areia 1:3, sobre lastro de concreto 10 cm e tampa de concreto armado</t>
  </si>
  <si>
    <t xml:space="preserve">SINAPI  </t>
  </si>
  <si>
    <t>5.7</t>
  </si>
  <si>
    <t>m³Xkm</t>
  </si>
  <si>
    <t>Transporte com caminhão basculante 6 m³ em rodovia com leito natural</t>
  </si>
  <si>
    <t>5.6</t>
  </si>
  <si>
    <t>m³</t>
  </si>
  <si>
    <t>5.5</t>
  </si>
  <si>
    <t>m²</t>
  </si>
  <si>
    <t>Preparo de fundo de vala com largura menor que 1.5 M, em local com nível baixo de interferência</t>
  </si>
  <si>
    <t>5.4</t>
  </si>
  <si>
    <t>5.3</t>
  </si>
  <si>
    <t>Execução de sarjeta de concreto usinado, moldada in loco em trecho reto, 30 CM base X 15 CM altura</t>
  </si>
  <si>
    <t>5.2</t>
  </si>
  <si>
    <t>Guia (meio-fio) concreto, moldada in loco em trecho reto com extrusoram 14 cm base x 30 cm altura</t>
  </si>
  <si>
    <t>5.1</t>
  </si>
  <si>
    <t>DRENAGEM</t>
  </si>
  <si>
    <t>Placa de sinalização em chapa de aço num 16 com pintura refletiva</t>
  </si>
  <si>
    <t>4.3</t>
  </si>
  <si>
    <t>4.2</t>
  </si>
  <si>
    <t>4.1</t>
  </si>
  <si>
    <t>SINALIZAÇÃO</t>
  </si>
  <si>
    <t>3.1</t>
  </si>
  <si>
    <t>ACESSIBILIDADE</t>
  </si>
  <si>
    <t>2.5</t>
  </si>
  <si>
    <t>Transporte com caminhão basculante 10 m³ de massa asfaltica para pavimentação urbana</t>
  </si>
  <si>
    <t>2.4</t>
  </si>
  <si>
    <t>Construção de pavimento com aplicação de concreto betuminoso usinado a quente (CBUQ), binder, com espessura de 5,0 cm</t>
  </si>
  <si>
    <t>2.3</t>
  </si>
  <si>
    <t>2.2</t>
  </si>
  <si>
    <t>2.1</t>
  </si>
  <si>
    <t xml:space="preserve">PAVIMENTAÇÃO ASFALTICA </t>
  </si>
  <si>
    <t>Execução e Compactação de base e ou sub base com solo estabilizado granulometricamente - Exclusive escavação, carga e transporte e solo.</t>
  </si>
  <si>
    <t>1.2</t>
  </si>
  <si>
    <t>Regularização e compactação do Subleito até 20 cm de espessura</t>
  </si>
  <si>
    <t>1.1</t>
  </si>
  <si>
    <t>TERRAPLANAGEM</t>
  </si>
  <si>
    <t>VALOR TOTAL COM BDI (R$)</t>
  </si>
  <si>
    <t>VALOR TOTAL (R$)</t>
  </si>
  <si>
    <t>PREÇO COM BDI (R$)</t>
  </si>
  <si>
    <t>QUANTITATIVO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</si>
  <si>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</si>
  <si>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</si>
  <si>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</si>
  <si>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</si>
  <si>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</si>
  <si>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</si>
  <si>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</si>
  <si>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</si>
  <si>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PAVIMENTAÇÃO DE VIAS PÚBLICAS - URBANAS</t>
  </si>
  <si>
    <t>PLANILHA ORÇAMENTÁRIA</t>
  </si>
  <si>
    <t>UND</t>
  </si>
  <si>
    <t>m³XKm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</si>
  <si>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</si>
  <si>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</si>
  <si>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</si>
  <si>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</si>
  <si>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</si>
  <si>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</si>
  <si>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</si>
  <si>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</si>
  <si>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</si>
  <si>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</si>
  <si>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</si>
  <si>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</si>
  <si>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</si>
  <si>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5.0</t>
  </si>
  <si>
    <t>4.0</t>
  </si>
  <si>
    <t>3.0</t>
  </si>
  <si>
    <t>(km)</t>
  </si>
  <si>
    <t>ESPESSURA</t>
  </si>
  <si>
    <t>PAVIMENAÇÃO ASFÁLTICA</t>
  </si>
  <si>
    <t>2.0</t>
  </si>
  <si>
    <t>1.0</t>
  </si>
  <si>
    <t>PLANILHA DE CÁLCULO DE QUANTITATIVOS DE PAVIMENTAÇÃO</t>
  </si>
  <si>
    <t>1.3</t>
  </si>
  <si>
    <t>1.4</t>
  </si>
  <si>
    <t>74154/001</t>
  </si>
  <si>
    <t>Escavação , carga e transporte de material de 1A categoria com trator sobre esteiras 347 HP e caçamba 6m³, DMT 50 a 200M</t>
  </si>
  <si>
    <t>TxKm</t>
  </si>
  <si>
    <t>Execução de imprimação com asfalto diluído CM-30</t>
  </si>
  <si>
    <t>PESO ESPECIFICO - SOLO</t>
  </si>
  <si>
    <t>(T/m³)</t>
  </si>
  <si>
    <r>
      <t xml:space="preserve">Transporte comercial com caminhao carroceria 9 T, rodovia pavimentada - </t>
    </r>
    <r>
      <rPr>
        <i/>
        <sz val="11"/>
        <color theme="1"/>
        <rFont val="Calibri"/>
        <family val="2"/>
        <scheme val="minor"/>
      </rPr>
      <t>( taxa de 0,0012 T/m² de CM-30 x Area a ser pavimentada)</t>
    </r>
  </si>
  <si>
    <t>EMPOLAMENTO</t>
  </si>
  <si>
    <t>TABELA DE REFERÊNCIA - SINAPI / PA / 10_2017 /COM DESONERAÇÃO</t>
  </si>
  <si>
    <t xml:space="preserve">CUSTO UNITÁRIO (R$) 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</si>
  <si>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JAZIDA/OBRA.</t>
    </r>
  </si>
  <si>
    <t>Txkm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</si>
  <si>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</t>
    </r>
  </si>
  <si>
    <t>m³xKm</t>
  </si>
  <si>
    <r>
      <t xml:space="preserve">Concreto FCK - 15MPA, traço 1:3,  4:3, 5 (cimento/areia média/brita 1) - preparo mecânico com betoneira 400 l. AF_07/2016 - </t>
    </r>
    <r>
      <rPr>
        <b/>
        <sz val="11"/>
        <color theme="1"/>
        <rFont val="Calibri"/>
        <family val="2"/>
        <scheme val="minor"/>
      </rPr>
      <t>TENTO</t>
    </r>
  </si>
  <si>
    <t>ALTURA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</si>
  <si>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</si>
  <si>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BASE MAIOR</t>
  </si>
  <si>
    <t>BASE MENOR</t>
  </si>
  <si>
    <t>4.1.1</t>
  </si>
  <si>
    <t>4.1.2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</si>
  <si>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</t>
    </r>
  </si>
  <si>
    <t>Nº DE FAIXAS PINTADAS</t>
  </si>
  <si>
    <t>-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</si>
  <si>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DE PEDESTRE</t>
    </r>
  </si>
  <si>
    <t>Piso podotatil de concreto - direcional e alerta, *40 x 40 x 2,5* cm</t>
  </si>
  <si>
    <t>ÁREA</t>
  </si>
  <si>
    <t>4.3.1</t>
  </si>
  <si>
    <t>4.3.2</t>
  </si>
  <si>
    <t>4.3.3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</si>
  <si>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</si>
  <si>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</si>
  <si>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</si>
  <si>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</si>
  <si>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4.3.4</t>
  </si>
  <si>
    <t>4.4</t>
  </si>
  <si>
    <t>4.4.1</t>
  </si>
  <si>
    <t>DRENAGEM SUPERFICIAL</t>
  </si>
  <si>
    <t>Transporte com caminhão basculante 6m³ em rodovia com leito natural - Bota fora</t>
  </si>
  <si>
    <t>m³xkm</t>
  </si>
  <si>
    <t>DRENAGEM DE TRAVESSIA URBANA</t>
  </si>
  <si>
    <t>5.14</t>
  </si>
  <si>
    <t>5.15</t>
  </si>
  <si>
    <t>5.16</t>
  </si>
  <si>
    <t>5.17</t>
  </si>
  <si>
    <t>5.18</t>
  </si>
  <si>
    <t>5.19</t>
  </si>
  <si>
    <t>5.20</t>
  </si>
  <si>
    <t>Transporte comercial com caminhao carroceria 9 T, rodovia pavimentada - ( taxa de 0,0012 T/m² de CM-30 x Area a ser pavimentada)</t>
  </si>
  <si>
    <r>
      <t xml:space="preserve">Concreto FCK - 15MPA, traço 1:3,  4:3, 5 (cimento/areia média/brita 1) - </t>
    </r>
    <r>
      <rPr>
        <b/>
        <sz val="11"/>
        <color theme="1"/>
        <rFont val="Calibri"/>
        <family val="2"/>
        <scheme val="minor"/>
      </rPr>
      <t>TENTO</t>
    </r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</si>
  <si>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 E PEDESTRE</t>
    </r>
  </si>
  <si>
    <t>Reaterro mecanizado de vala com retroescavadeira, largura até 0,8 M, profundidade até 1,5 M, com solo de 1 categoria em locais com baixo nível de interferência</t>
  </si>
  <si>
    <t>Assentamento de tubo de concreto para redes coletoras de águas pluviais, diâmetro de 400 mm, junta rígida, instalado em local com baixo nível de interferências</t>
  </si>
  <si>
    <t>73963/001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</si>
  <si>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</si>
  <si>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</t>
  </si>
  <si>
    <r>
      <t>Tubo Aço Galvanizado Com Costura, Classe Leve, Dn 50 Mm (2"), E = 3,00 Mm -</t>
    </r>
    <r>
      <rPr>
        <b/>
        <sz val="11"/>
        <rFont val="Calibri"/>
        <family val="2"/>
        <scheme val="minor"/>
      </rPr>
      <t>SUPORTE PLACA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</si>
  <si>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400 mm.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</si>
  <si>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600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</si>
  <si>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</si>
  <si>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</si>
  <si>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</si>
  <si>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Reaterro mecanizado de vala com retroescavadeira, largura até 0,8 M, profundidade até 1,5 M, com solo de 1 categoria em locais com baixo nivel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</si>
  <si>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>Assentamento de tudo de concreto para redes coletoras de águas pluviais, diâmeto de 400 mm, junta rígida, instalado em local com baixo nível de interferências</t>
    </r>
    <r>
      <rPr>
        <b/>
        <i/>
        <sz val="11"/>
        <color theme="1"/>
        <rFont val="Calibri"/>
        <family val="2"/>
        <scheme val="minor"/>
      </rPr>
      <t xml:space="preserve"> - DN 400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</si>
  <si>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</si>
  <si>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</si>
  <si>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r>
      <t xml:space="preserve">Reaterro mecanizado de vala com retroescavadeira, largura até 0,8 M, profundidade até 1,5 M, com solo de 1 categoria em locais com baixo nivel de interferência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</si>
  <si>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Assentamento de tudo de concreto para redes coletoras de águas pluviais, diâmeto de 600 mm, junta rígida, instalado em local com baixo nível de interferências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</si>
  <si>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</si>
  <si>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t>OBRA: PAVIMENTAÇÃO DE VIAS PÚBLICAS  - CONVÊNIO 0580/2017</t>
  </si>
  <si>
    <t>m131</t>
  </si>
  <si>
    <t>SERVIÇOS PRELIMINARES</t>
  </si>
  <si>
    <t xml:space="preserve">Placa de obra </t>
  </si>
  <si>
    <t>Instalação de canteiro de obra</t>
  </si>
  <si>
    <t>Mobilização, desmobilização de máquinas, equipamentos e pessoal</t>
  </si>
  <si>
    <t>SERVIÇOS DE CONSERVAÇÃO</t>
  </si>
  <si>
    <t>Limpeza lateral mecanizada</t>
  </si>
  <si>
    <t>Abertura de valetas</t>
  </si>
  <si>
    <t>SERVIÇOS DE TERRAPLENAGEM</t>
  </si>
  <si>
    <t>SERVIÇOS DE PAVIMENTAÇÃO</t>
  </si>
  <si>
    <t>SERVIÇOS DE OBRA DE ARTE CORRENTE (OAC)</t>
  </si>
  <si>
    <t>Base de solo estabilizado granu. s/ mistura (inclu. Indenização de jazida)</t>
  </si>
  <si>
    <t>Escavação mecanica de vala em mat 1ª categoria.</t>
  </si>
  <si>
    <t>Corpo BSTC D=0,80 m AC/BC/PC</t>
  </si>
  <si>
    <t>Reaterro compactado p/  bueiro</t>
  </si>
  <si>
    <t>Boca BSTC D = 0,80 AC/BC/PC</t>
  </si>
  <si>
    <t>tkm</t>
  </si>
  <si>
    <t>SEDOP</t>
  </si>
  <si>
    <t>Regularização do Sub leito</t>
  </si>
  <si>
    <t>Reaterro e compactação (pontos de erosão Km 15,5 a 15,8)</t>
  </si>
  <si>
    <t>Aterro e compactação p/ elevação de greide.</t>
  </si>
  <si>
    <t>PA-251 - PA-124 (Ourém) / BR-316 (Santa Luzia do Pará)</t>
  </si>
  <si>
    <t>CPU</t>
  </si>
  <si>
    <t>Transp. Local c/ basc. 10 m³ rodov. Não parvimentada - DMT 35 Km</t>
  </si>
  <si>
    <t>Transporte local c/ basculante10 m³ em rodovia não pavimentada DMT - 35 km</t>
  </si>
  <si>
    <t>Transp. Local c/ basc. 10 m³ rodov. Não parvimentada - DMT 35 km</t>
  </si>
  <si>
    <t>3.2</t>
  </si>
  <si>
    <t>3.3</t>
  </si>
  <si>
    <t xml:space="preserve">                 SARAIVA &amp; CIA LTDA – EPP</t>
  </si>
  <si>
    <t>OBRA: OBRAS DE CONSERVAÇÃO</t>
  </si>
  <si>
    <t xml:space="preserve">DATA: </t>
  </si>
  <si>
    <t>REF.: CONCORRÊNCIA PÚBLICA Nº 003/2018 - CPL/PMO</t>
  </si>
  <si>
    <t>TRECHO: PA-251 - PA-124 (OURÉM) / BR-316 (SANTA LUZIA DO PARÁ)</t>
  </si>
  <si>
    <t>73822/002</t>
  </si>
  <si>
    <t>73856/008</t>
  </si>
  <si>
    <t>* PREÇOS BASEADOS TABELA SINAPI E SEDOP</t>
  </si>
  <si>
    <t>CONTRATANTE: PREFEITURA MUNICIPAL DE OURÉM</t>
  </si>
  <si>
    <t xml:space="preserve">                SARAIVA &amp; CIA LTDA – EPP</t>
  </si>
  <si>
    <t xml:space="preserve"> C R O N O G R A M A   F I S I C O  -  F I N A N C E I R O   D A   O B R A</t>
  </si>
  <si>
    <t>TRECHO: PA-251 - TRECHO  BR-010 (SÃO MIGUEL DO GUAMÁ) / PA-124 (OURÉM)</t>
  </si>
  <si>
    <t>MÊS 1</t>
  </si>
  <si>
    <t>MÊS 2</t>
  </si>
  <si>
    <t>MÊS 3</t>
  </si>
  <si>
    <t>Item</t>
  </si>
  <si>
    <t>E t a p a   /   S e r v i ç o</t>
  </si>
  <si>
    <t>Valor</t>
  </si>
  <si>
    <t>%</t>
  </si>
  <si>
    <t>V A L O R E S</t>
  </si>
  <si>
    <t>Valor parcial</t>
  </si>
  <si>
    <t>T O T A I S</t>
  </si>
  <si>
    <t>Valor acumulado</t>
  </si>
  <si>
    <t>´</t>
  </si>
  <si>
    <t xml:space="preserve">Razão social: SARAIVA &amp; CIA LTDA - EPP
CNPJ: 12.545.515/0001-56
End: Av. Barão do Rio Branco, 402B – Betânia - Castanhal/ Pa – CEP: 68.741-670
Fone: (91) 98281-2400
</t>
  </si>
  <si>
    <t>DOIS MILHÕES, OITOCENTOS E OITENTA MIL, SEISCENTOS E NOVENTA E NOVE REAIS E DEZENOVE CENTAVOS</t>
  </si>
  <si>
    <t xml:space="preserve">_______________________________________
Anyelle de Sousa Pereira Honda
Sócia-administradora / Eng.Civil / Responsável Técnica
CPF.: 704.751.052-49  /    CREA 13586D PA
</t>
  </si>
  <si>
    <t>PA-251 - TRECHO  BR-010 (SÃO MIGUEL DO GUAMÁ) / PA-124 (OURÉM)</t>
  </si>
  <si>
    <t>QUATRO MILHÕES, NOVECENTOS E CINQUENTA E SETE MIL, SEISCENTOS E SEIS REAIS E CINQUENTA E NOVE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</si>
</sst>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General_)"/>
    <numFmt numFmtId="167" formatCode="_(* #,##0.00_);_(* \(#,##0.00\);_(* &quot;-&quot;??_);_(@_)"/>
    <numFmt numFmtId="168" formatCode="[$-416]d\-mmm\-yy;@"/>
    <numFmt numFmtId="169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sz val="12"/>
      <name val="Courie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Courier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0" fontId="15" fillId="0" borderId="0"/>
    <xf numFmtId="166" fontId="21" fillId="0" borderId="0"/>
    <xf numFmtId="166" fontId="21" fillId="0" borderId="0"/>
    <xf numFmtId="0" fontId="24" fillId="0" borderId="0"/>
    <xf numFmtId="166" fontId="21" fillId="0" borderId="0"/>
    <xf numFmtId="167" fontId="24" fillId="0" borderId="0" applyFont="0" applyFill="0" applyBorder="0" applyAlignment="0" applyProtection="0"/>
  </cellStyleXfs>
  <cellXfs count="360">
    <xf numFmtId="0" fontId="0" fillId="0" borderId="0" xfId="0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2" borderId="3" xfId="0" applyNumberFormat="1" applyFill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/>
    <xf numFmtId="0" fontId="8" fillId="3" borderId="5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9" fillId="0" borderId="0" xfId="0" applyFont="1" applyAlignment="1">
      <alignment horizont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2" fontId="9" fillId="3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2" fontId="9" fillId="0" borderId="3" xfId="0" applyNumberFormat="1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2" fontId="9" fillId="2" borderId="3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9" fillId="3" borderId="3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justify" vertical="center" wrapText="1"/>
    </xf>
    <xf numFmtId="0" fontId="0" fillId="2" borderId="3" xfId="0" applyFont="1" applyFill="1" applyBorder="1" applyAlignment="1" applyProtection="1">
      <alignment horizontal="justify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justify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justify" vertical="center" wrapText="1"/>
    </xf>
    <xf numFmtId="2" fontId="0" fillId="0" borderId="0" xfId="0" applyNumberFormat="1"/>
    <xf numFmtId="0" fontId="1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2" fontId="0" fillId="4" borderId="3" xfId="0" applyNumberFormat="1" applyFont="1" applyFill="1" applyBorder="1" applyAlignment="1" applyProtection="1">
      <alignment horizontal="center" vertical="center"/>
      <protection locked="0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justify" vertical="center" wrapText="1"/>
    </xf>
    <xf numFmtId="0" fontId="0" fillId="0" borderId="3" xfId="0" applyFont="1" applyBorder="1" applyAlignment="1" applyProtection="1">
      <alignment horizontal="justify" vertical="center" wrapText="1"/>
    </xf>
    <xf numFmtId="2" fontId="0" fillId="0" borderId="3" xfId="0" applyNumberFormat="1" applyFont="1" applyBorder="1" applyAlignment="1" applyProtection="1">
      <alignment horizontal="center" vertical="center"/>
    </xf>
    <xf numFmtId="2" fontId="3" fillId="0" borderId="3" xfId="1" applyNumberFormat="1" applyFont="1" applyBorder="1" applyAlignment="1" applyProtection="1">
      <alignment horizontal="center" vertical="center"/>
    </xf>
    <xf numFmtId="2" fontId="0" fillId="0" borderId="3" xfId="0" quotePrefix="1" applyNumberFormat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/>
    </xf>
    <xf numFmtId="0" fontId="0" fillId="0" borderId="0" xfId="0" applyAlignment="1">
      <alignment horizontal="justify"/>
    </xf>
    <xf numFmtId="2" fontId="0" fillId="0" borderId="3" xfId="0" applyNumberForma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left" vertical="center" wrapText="1"/>
    </xf>
    <xf numFmtId="165" fontId="0" fillId="0" borderId="3" xfId="0" applyNumberFormat="1" applyBorder="1" applyAlignment="1" applyProtection="1">
      <alignment horizontal="center" vertical="center"/>
    </xf>
    <xf numFmtId="165" fontId="0" fillId="2" borderId="3" xfId="0" applyNumberFormat="1" applyFill="1" applyBorder="1" applyAlignment="1" applyProtection="1">
      <alignment horizontal="center" vertical="center"/>
    </xf>
    <xf numFmtId="164" fontId="14" fillId="0" borderId="3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4" fontId="0" fillId="2" borderId="3" xfId="0" applyNumberFormat="1" applyFill="1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8" fillId="0" borderId="0" xfId="0" applyFont="1"/>
    <xf numFmtId="14" fontId="19" fillId="0" borderId="0" xfId="0" applyNumberFormat="1" applyFont="1"/>
    <xf numFmtId="44" fontId="0" fillId="0" borderId="3" xfId="2" applyFont="1" applyBorder="1" applyAlignment="1" applyProtection="1">
      <alignment horizontal="center" vertical="center"/>
    </xf>
    <xf numFmtId="44" fontId="0" fillId="0" borderId="3" xfId="2" applyFont="1" applyBorder="1" applyAlignment="1" applyProtection="1">
      <alignment horizontal="center" vertical="center" wrapText="1"/>
    </xf>
    <xf numFmtId="166" fontId="22" fillId="1" borderId="0" xfId="5" applyFont="1" applyFill="1" applyAlignment="1">
      <alignment vertical="center"/>
    </xf>
    <xf numFmtId="166" fontId="23" fillId="0" borderId="0" xfId="5" applyFont="1" applyFill="1" applyAlignment="1">
      <alignment horizontal="center" vertical="center"/>
    </xf>
    <xf numFmtId="166" fontId="23" fillId="0" borderId="0" xfId="6" applyFont="1" applyFill="1" applyBorder="1" applyAlignment="1" applyProtection="1">
      <alignment horizontal="left"/>
    </xf>
    <xf numFmtId="4" fontId="21" fillId="0" borderId="0" xfId="5" applyNumberFormat="1" applyAlignment="1">
      <alignment horizontal="center"/>
    </xf>
    <xf numFmtId="166" fontId="21" fillId="0" borderId="0" xfId="5"/>
    <xf numFmtId="0" fontId="24" fillId="0" borderId="0" xfId="7" applyAlignment="1">
      <alignment horizontal="left"/>
    </xf>
    <xf numFmtId="166" fontId="22" fillId="0" borderId="0" xfId="5" applyFont="1" applyAlignment="1">
      <alignment vertical="center"/>
    </xf>
    <xf numFmtId="4" fontId="22" fillId="0" borderId="0" xfId="5" applyNumberFormat="1" applyFont="1" applyBorder="1" applyAlignment="1">
      <alignment vertical="center"/>
    </xf>
    <xf numFmtId="4" fontId="22" fillId="0" borderId="0" xfId="5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4" fontId="21" fillId="0" borderId="0" xfId="5" applyNumberFormat="1"/>
    <xf numFmtId="166" fontId="21" fillId="0" borderId="0" xfId="8"/>
    <xf numFmtId="167" fontId="23" fillId="0" borderId="0" xfId="9" applyFont="1" applyAlignment="1">
      <alignment vertical="center"/>
    </xf>
    <xf numFmtId="4" fontId="21" fillId="0" borderId="0" xfId="5" applyNumberFormat="1"/>
    <xf numFmtId="166" fontId="22" fillId="0" borderId="0" xfId="6" applyFont="1" applyFill="1" applyBorder="1" applyAlignment="1" applyProtection="1">
      <alignment horizontal="right"/>
      <protection locked="0"/>
    </xf>
    <xf numFmtId="166" fontId="22" fillId="1" borderId="0" xfId="5" applyFont="1" applyFill="1" applyAlignment="1" applyProtection="1">
      <alignment horizontal="left" vertical="center"/>
    </xf>
    <xf numFmtId="166" fontId="23" fillId="0" borderId="0" xfId="5" applyFont="1" applyFill="1" applyAlignment="1" applyProtection="1">
      <alignment horizontal="center" vertical="center"/>
    </xf>
    <xf numFmtId="4" fontId="27" fillId="0" borderId="0" xfId="5" applyNumberFormat="1" applyFont="1" applyFill="1" applyBorder="1" applyAlignment="1" applyProtection="1">
      <alignment horizontal="right" vertical="center"/>
    </xf>
    <xf numFmtId="0" fontId="24" fillId="0" borderId="0" xfId="7" applyFill="1" applyBorder="1" applyAlignment="1">
      <alignment horizontal="right" vertical="center"/>
    </xf>
    <xf numFmtId="166" fontId="28" fillId="0" borderId="3" xfId="5" applyFont="1" applyBorder="1" applyAlignment="1">
      <alignment horizontal="center"/>
    </xf>
    <xf numFmtId="166" fontId="28" fillId="0" borderId="16" xfId="5" applyFont="1" applyBorder="1" applyAlignment="1"/>
    <xf numFmtId="166" fontId="29" fillId="0" borderId="17" xfId="5" applyFont="1" applyBorder="1" applyAlignment="1" applyProtection="1">
      <alignment horizontal="fill" vertical="center"/>
    </xf>
    <xf numFmtId="168" fontId="23" fillId="0" borderId="0" xfId="5" applyNumberFormat="1" applyFont="1" applyAlignment="1" applyProtection="1">
      <alignment horizontal="center" vertical="center"/>
    </xf>
    <xf numFmtId="4" fontId="22" fillId="0" borderId="18" xfId="5" applyNumberFormat="1" applyFont="1" applyBorder="1" applyAlignment="1" applyProtection="1">
      <alignment horizontal="fill" vertical="center"/>
    </xf>
    <xf numFmtId="4" fontId="22" fillId="0" borderId="0" xfId="5" applyNumberFormat="1" applyFont="1" applyBorder="1" applyAlignment="1" applyProtection="1">
      <alignment horizontal="fill" vertical="center"/>
    </xf>
    <xf numFmtId="4" fontId="22" fillId="0" borderId="6" xfId="5" applyNumberFormat="1" applyFont="1" applyBorder="1" applyAlignment="1" applyProtection="1">
      <alignment horizontal="center" vertical="center"/>
    </xf>
    <xf numFmtId="0" fontId="22" fillId="0" borderId="5" xfId="5" applyNumberFormat="1" applyFont="1" applyBorder="1" applyAlignment="1" applyProtection="1">
      <alignment horizontal="center" vertical="center"/>
    </xf>
    <xf numFmtId="166" fontId="22" fillId="0" borderId="19" xfId="5" applyFont="1" applyBorder="1" applyAlignment="1" applyProtection="1">
      <alignment horizontal="fill" vertical="center"/>
    </xf>
    <xf numFmtId="0" fontId="22" fillId="0" borderId="19" xfId="5" applyNumberFormat="1" applyFont="1" applyBorder="1" applyAlignment="1" applyProtection="1">
      <alignment horizontal="center" vertical="center"/>
    </xf>
    <xf numFmtId="166" fontId="21" fillId="0" borderId="19" xfId="5" applyBorder="1"/>
    <xf numFmtId="166" fontId="22" fillId="1" borderId="0" xfId="5" quotePrefix="1" applyFont="1" applyFill="1" applyBorder="1" applyAlignment="1" applyProtection="1">
      <alignment horizontal="left" vertical="center"/>
    </xf>
    <xf numFmtId="49" fontId="23" fillId="1" borderId="20" xfId="5" applyNumberFormat="1" applyFont="1" applyFill="1" applyBorder="1" applyAlignment="1" applyProtection="1">
      <alignment horizontal="center" vertical="center"/>
    </xf>
    <xf numFmtId="4" fontId="27" fillId="1" borderId="21" xfId="5" applyNumberFormat="1" applyFont="1" applyFill="1" applyBorder="1" applyAlignment="1" applyProtection="1">
      <alignment horizontal="center" vertical="center"/>
    </xf>
    <xf numFmtId="4" fontId="27" fillId="1" borderId="16" xfId="5" applyNumberFormat="1" applyFont="1" applyFill="1" applyBorder="1" applyAlignment="1" applyProtection="1">
      <alignment horizontal="center" vertical="center"/>
    </xf>
    <xf numFmtId="4" fontId="27" fillId="1" borderId="22" xfId="5" applyNumberFormat="1" applyFont="1" applyFill="1" applyBorder="1" applyAlignment="1" applyProtection="1">
      <alignment horizontal="center" vertical="center"/>
    </xf>
    <xf numFmtId="166" fontId="30" fillId="0" borderId="20" xfId="5" applyNumberFormat="1" applyFont="1" applyFill="1" applyBorder="1" applyAlignment="1" applyProtection="1">
      <alignment horizontal="center" vertical="center"/>
    </xf>
    <xf numFmtId="166" fontId="31" fillId="0" borderId="23" xfId="5" applyNumberFormat="1" applyFont="1" applyFill="1" applyBorder="1" applyAlignment="1">
      <alignment horizontal="center" vertical="center"/>
    </xf>
    <xf numFmtId="166" fontId="31" fillId="0" borderId="23" xfId="5" applyNumberFormat="1" applyFont="1" applyFill="1" applyBorder="1" applyAlignment="1" applyProtection="1">
      <alignment horizontal="center" vertical="center"/>
    </xf>
    <xf numFmtId="166" fontId="31" fillId="0" borderId="21" xfId="5" applyNumberFormat="1" applyFont="1" applyFill="1" applyBorder="1" applyAlignment="1">
      <alignment horizontal="center" vertical="center"/>
    </xf>
    <xf numFmtId="166" fontId="31" fillId="0" borderId="24" xfId="5" applyNumberFormat="1" applyFont="1" applyFill="1" applyBorder="1" applyAlignment="1">
      <alignment horizontal="center" vertical="center"/>
    </xf>
    <xf numFmtId="166" fontId="30" fillId="0" borderId="18" xfId="5" applyNumberFormat="1" applyFont="1" applyFill="1" applyBorder="1" applyAlignment="1" applyProtection="1">
      <alignment horizontal="center" vertical="center"/>
    </xf>
    <xf numFmtId="166" fontId="31" fillId="0" borderId="19" xfId="5" applyNumberFormat="1" applyFont="1" applyFill="1" applyBorder="1" applyAlignment="1">
      <alignment horizontal="center" vertical="center"/>
    </xf>
    <xf numFmtId="166" fontId="31" fillId="0" borderId="19" xfId="5" applyNumberFormat="1" applyFont="1" applyFill="1" applyBorder="1" applyAlignment="1" applyProtection="1">
      <alignment horizontal="center" vertical="center"/>
    </xf>
    <xf numFmtId="166" fontId="31" fillId="0" borderId="5" xfId="5" applyNumberFormat="1" applyFont="1" applyFill="1" applyBorder="1" applyAlignment="1">
      <alignment horizontal="center" vertical="center"/>
    </xf>
    <xf numFmtId="166" fontId="31" fillId="0" borderId="25" xfId="5" applyNumberFormat="1" applyFont="1" applyFill="1" applyBorder="1" applyAlignment="1">
      <alignment horizontal="center" vertical="center"/>
    </xf>
    <xf numFmtId="4" fontId="23" fillId="0" borderId="26" xfId="5" quotePrefix="1" applyNumberFormat="1" applyFont="1" applyFill="1" applyBorder="1" applyAlignment="1" applyProtection="1">
      <alignment horizontal="center" vertical="center"/>
    </xf>
    <xf numFmtId="4" fontId="27" fillId="0" borderId="27" xfId="5" applyNumberFormat="1" applyFont="1" applyFill="1" applyBorder="1" applyAlignment="1">
      <alignment vertical="center"/>
    </xf>
    <xf numFmtId="4" fontId="27" fillId="0" borderId="28" xfId="5" applyNumberFormat="1" applyFont="1" applyFill="1" applyBorder="1" applyAlignment="1">
      <alignment vertical="center"/>
    </xf>
    <xf numFmtId="4" fontId="27" fillId="0" borderId="28" xfId="5" applyNumberFormat="1" applyFont="1" applyFill="1" applyBorder="1" applyAlignment="1">
      <alignment horizontal="center" vertical="center"/>
    </xf>
    <xf numFmtId="169" fontId="33" fillId="0" borderId="18" xfId="5" applyNumberFormat="1" applyFont="1" applyFill="1" applyBorder="1" applyAlignment="1" applyProtection="1">
      <alignment horizontal="center" vertical="center"/>
    </xf>
    <xf numFmtId="169" fontId="33" fillId="0" borderId="19" xfId="5" applyNumberFormat="1" applyFont="1" applyFill="1" applyBorder="1" applyAlignment="1" applyProtection="1">
      <alignment horizontal="center" vertical="center"/>
    </xf>
    <xf numFmtId="169" fontId="33" fillId="0" borderId="5" xfId="5" applyNumberFormat="1" applyFont="1" applyFill="1" applyBorder="1" applyAlignment="1" applyProtection="1">
      <alignment horizontal="center" vertical="center"/>
    </xf>
    <xf numFmtId="166" fontId="33" fillId="0" borderId="25" xfId="5" applyFont="1" applyFill="1" applyBorder="1" applyAlignment="1">
      <alignment horizontal="center" vertical="center"/>
    </xf>
    <xf numFmtId="4" fontId="23" fillId="0" borderId="18" xfId="5" applyNumberFormat="1" applyFont="1" applyFill="1" applyBorder="1" applyAlignment="1" applyProtection="1">
      <alignment horizontal="center" vertical="center"/>
    </xf>
    <xf numFmtId="4" fontId="23" fillId="0" borderId="5" xfId="5" applyNumberFormat="1" applyFont="1" applyFill="1" applyBorder="1" applyAlignment="1" applyProtection="1">
      <alignment horizontal="center" vertical="center"/>
    </xf>
    <xf numFmtId="4" fontId="34" fillId="0" borderId="0" xfId="5" applyNumberFormat="1" applyFont="1" applyFill="1" applyBorder="1" applyAlignment="1" applyProtection="1">
      <alignment horizontal="center" vertical="center"/>
    </xf>
    <xf numFmtId="166" fontId="33" fillId="0" borderId="18" xfId="5" applyFont="1" applyFill="1" applyBorder="1" applyAlignment="1">
      <alignment vertical="center"/>
    </xf>
    <xf numFmtId="166" fontId="33" fillId="0" borderId="5" xfId="5" applyFont="1" applyFill="1" applyBorder="1" applyAlignment="1">
      <alignment vertical="center"/>
    </xf>
    <xf numFmtId="166" fontId="33" fillId="1" borderId="25" xfId="5" applyFont="1" applyFill="1" applyBorder="1" applyAlignment="1">
      <alignment vertical="center"/>
    </xf>
    <xf numFmtId="4" fontId="23" fillId="0" borderId="29" xfId="5" quotePrefix="1" applyNumberFormat="1" applyFont="1" applyFill="1" applyBorder="1" applyAlignment="1" applyProtection="1">
      <alignment horizontal="center" vertical="center"/>
    </xf>
    <xf numFmtId="4" fontId="27" fillId="0" borderId="30" xfId="5" applyNumberFormat="1" applyFont="1" applyFill="1" applyBorder="1" applyAlignment="1">
      <alignment vertical="center"/>
    </xf>
    <xf numFmtId="4" fontId="27" fillId="0" borderId="31" xfId="5" applyNumberFormat="1" applyFont="1" applyFill="1" applyBorder="1" applyAlignment="1">
      <alignment vertical="center"/>
    </xf>
    <xf numFmtId="4" fontId="27" fillId="0" borderId="31" xfId="5" applyNumberFormat="1" applyFont="1" applyFill="1" applyBorder="1" applyAlignment="1">
      <alignment horizontal="center" vertical="center"/>
    </xf>
    <xf numFmtId="39" fontId="33" fillId="0" borderId="29" xfId="5" applyNumberFormat="1" applyFont="1" applyFill="1" applyBorder="1" applyAlignment="1" applyProtection="1">
      <alignment horizontal="center" vertical="center"/>
    </xf>
    <xf numFmtId="39" fontId="33" fillId="0" borderId="32" xfId="5" applyNumberFormat="1" applyFont="1" applyFill="1" applyBorder="1" applyAlignment="1" applyProtection="1">
      <alignment horizontal="center" vertical="center"/>
    </xf>
    <xf numFmtId="39" fontId="33" fillId="0" borderId="30" xfId="5" applyNumberFormat="1" applyFont="1" applyFill="1" applyBorder="1" applyAlignment="1" applyProtection="1">
      <alignment horizontal="center" vertical="center"/>
    </xf>
    <xf numFmtId="39" fontId="33" fillId="0" borderId="33" xfId="5" applyNumberFormat="1" applyFont="1" applyFill="1" applyBorder="1" applyAlignment="1" applyProtection="1">
      <alignment horizontal="center" vertical="center"/>
    </xf>
    <xf numFmtId="4" fontId="34" fillId="0" borderId="6" xfId="5" applyNumberFormat="1" applyFont="1" applyFill="1" applyBorder="1" applyAlignment="1" applyProtection="1">
      <alignment horizontal="center" vertical="center"/>
    </xf>
    <xf numFmtId="4" fontId="27" fillId="0" borderId="27" xfId="5" applyNumberFormat="1" applyFont="1" applyBorder="1" applyAlignment="1">
      <alignment vertical="center"/>
    </xf>
    <xf numFmtId="4" fontId="27" fillId="0" borderId="34" xfId="5" applyNumberFormat="1" applyFont="1" applyBorder="1" applyAlignment="1">
      <alignment vertical="center"/>
    </xf>
    <xf numFmtId="4" fontId="27" fillId="0" borderId="34" xfId="5" applyNumberFormat="1" applyFont="1" applyBorder="1" applyAlignment="1">
      <alignment horizontal="center" vertical="center"/>
    </xf>
    <xf numFmtId="4" fontId="23" fillId="0" borderId="18" xfId="5" quotePrefix="1" applyNumberFormat="1" applyFont="1" applyFill="1" applyBorder="1" applyAlignment="1" applyProtection="1">
      <alignment horizontal="center" vertical="center"/>
    </xf>
    <xf numFmtId="4" fontId="23" fillId="0" borderId="5" xfId="5" quotePrefix="1" applyNumberFormat="1" applyFont="1" applyFill="1" applyBorder="1" applyAlignment="1" applyProtection="1">
      <alignment horizontal="center" vertical="center"/>
    </xf>
    <xf numFmtId="4" fontId="27" fillId="0" borderId="30" xfId="5" applyNumberFormat="1" applyFont="1" applyBorder="1" applyAlignment="1">
      <alignment vertical="center"/>
    </xf>
    <xf numFmtId="4" fontId="27" fillId="0" borderId="35" xfId="5" applyNumberFormat="1" applyFont="1" applyBorder="1" applyAlignment="1">
      <alignment vertical="center"/>
    </xf>
    <xf numFmtId="4" fontId="27" fillId="0" borderId="35" xfId="5" applyNumberFormat="1" applyFont="1" applyBorder="1" applyAlignment="1">
      <alignment horizontal="center" vertical="center"/>
    </xf>
    <xf numFmtId="39" fontId="33" fillId="0" borderId="5" xfId="5" applyNumberFormat="1" applyFont="1" applyFill="1" applyBorder="1" applyAlignment="1" applyProtection="1">
      <alignment horizontal="center" vertical="center"/>
    </xf>
    <xf numFmtId="39" fontId="33" fillId="0" borderId="25" xfId="5" applyNumberFormat="1" applyFont="1" applyFill="1" applyBorder="1" applyAlignment="1" applyProtection="1">
      <alignment horizontal="center" vertical="center"/>
    </xf>
    <xf numFmtId="166" fontId="22" fillId="1" borderId="0" xfId="5" quotePrefix="1" applyFont="1" applyFill="1" applyAlignment="1" applyProtection="1">
      <alignment horizontal="left" vertical="center"/>
    </xf>
    <xf numFmtId="49" fontId="23" fillId="0" borderId="36" xfId="5" quotePrefix="1" applyNumberFormat="1" applyFont="1" applyFill="1" applyBorder="1" applyAlignment="1" applyProtection="1">
      <alignment horizontal="center" vertical="center"/>
    </xf>
    <xf numFmtId="4" fontId="27" fillId="1" borderId="25" xfId="5" applyNumberFormat="1" applyFont="1" applyFill="1" applyBorder="1" applyAlignment="1">
      <alignment vertical="center"/>
    </xf>
    <xf numFmtId="4" fontId="34" fillId="1" borderId="36" xfId="5" applyNumberFormat="1" applyFont="1" applyFill="1" applyBorder="1" applyAlignment="1" applyProtection="1">
      <alignment horizontal="center" vertical="center"/>
    </xf>
    <xf numFmtId="169" fontId="31" fillId="0" borderId="27" xfId="5" applyNumberFormat="1" applyFont="1" applyFill="1" applyBorder="1" applyAlignment="1" applyProtection="1">
      <alignment horizontal="center" vertical="center"/>
    </xf>
    <xf numFmtId="166" fontId="31" fillId="0" borderId="27" xfId="5" applyFont="1" applyFill="1" applyBorder="1" applyAlignment="1">
      <alignment horizontal="center" vertical="center"/>
    </xf>
    <xf numFmtId="166" fontId="33" fillId="0" borderId="37" xfId="5" applyFont="1" applyFill="1" applyBorder="1" applyAlignment="1">
      <alignment horizontal="center" vertical="center"/>
    </xf>
    <xf numFmtId="49" fontId="23" fillId="0" borderId="38" xfId="5" quotePrefix="1" applyNumberFormat="1" applyFont="1" applyFill="1" applyBorder="1" applyAlignment="1" applyProtection="1">
      <alignment horizontal="center" vertical="center"/>
    </xf>
    <xf numFmtId="4" fontId="34" fillId="1" borderId="25" xfId="5" applyNumberFormat="1" applyFont="1" applyFill="1" applyBorder="1" applyAlignment="1" applyProtection="1">
      <alignment horizontal="center" vertical="center"/>
    </xf>
    <xf numFmtId="4" fontId="27" fillId="1" borderId="39" xfId="5" applyNumberFormat="1" applyFont="1" applyFill="1" applyBorder="1" applyAlignment="1" applyProtection="1">
      <alignment horizontal="center" vertical="center"/>
    </xf>
    <xf numFmtId="39" fontId="31" fillId="0" borderId="30" xfId="5" applyNumberFormat="1" applyFont="1" applyFill="1" applyBorder="1" applyAlignment="1" applyProtection="1">
      <alignment horizontal="center" vertical="center"/>
    </xf>
    <xf numFmtId="4" fontId="27" fillId="1" borderId="25" xfId="5" applyNumberFormat="1" applyFont="1" applyFill="1" applyBorder="1" applyAlignment="1" applyProtection="1">
      <alignment horizontal="center" vertical="center"/>
    </xf>
    <xf numFmtId="4" fontId="27" fillId="1" borderId="38" xfId="5" applyNumberFormat="1" applyFont="1" applyFill="1" applyBorder="1" applyAlignment="1" applyProtection="1">
      <alignment horizontal="center" vertical="center"/>
    </xf>
    <xf numFmtId="166" fontId="23" fillId="0" borderId="5" xfId="5" applyFont="1" applyBorder="1" applyAlignment="1" applyProtection="1">
      <alignment horizontal="fill" vertical="center"/>
    </xf>
    <xf numFmtId="166" fontId="23" fillId="0" borderId="5" xfId="5" applyFont="1" applyBorder="1" applyAlignment="1">
      <alignment vertical="center"/>
    </xf>
    <xf numFmtId="166" fontId="22" fillId="0" borderId="25" xfId="5" applyFont="1" applyBorder="1" applyAlignment="1">
      <alignment vertical="center"/>
    </xf>
    <xf numFmtId="4" fontId="34" fillId="1" borderId="38" xfId="5" applyNumberFormat="1" applyFont="1" applyFill="1" applyBorder="1" applyAlignment="1" applyProtection="1">
      <alignment horizontal="center" vertical="center"/>
    </xf>
    <xf numFmtId="169" fontId="31" fillId="0" borderId="5" xfId="5" applyNumberFormat="1" applyFont="1" applyFill="1" applyBorder="1" applyAlignment="1" applyProtection="1">
      <alignment horizontal="center" vertical="center"/>
    </xf>
    <xf numFmtId="166" fontId="31" fillId="0" borderId="5" xfId="5" applyFont="1" applyFill="1" applyBorder="1" applyAlignment="1">
      <alignment horizontal="center" vertical="center"/>
    </xf>
    <xf numFmtId="49" fontId="23" fillId="0" borderId="39" xfId="5" quotePrefix="1" applyNumberFormat="1" applyFont="1" applyFill="1" applyBorder="1" applyAlignment="1" applyProtection="1">
      <alignment horizontal="center" vertical="center"/>
    </xf>
    <xf numFmtId="4" fontId="27" fillId="1" borderId="33" xfId="5" applyNumberFormat="1" applyFont="1" applyFill="1" applyBorder="1" applyAlignment="1">
      <alignment vertical="center"/>
    </xf>
    <xf numFmtId="166" fontId="31" fillId="0" borderId="30" xfId="5" applyFont="1" applyFill="1" applyBorder="1" applyAlignment="1">
      <alignment horizontal="center" vertical="center"/>
    </xf>
    <xf numFmtId="166" fontId="33" fillId="0" borderId="33" xfId="5" applyFont="1" applyFill="1" applyBorder="1" applyAlignment="1">
      <alignment horizontal="center" vertical="center"/>
    </xf>
    <xf numFmtId="49" fontId="23" fillId="0" borderId="0" xfId="5" quotePrefix="1" applyNumberFormat="1" applyFont="1" applyFill="1" applyBorder="1" applyAlignment="1" applyProtection="1">
      <alignment horizontal="center" vertical="center"/>
    </xf>
    <xf numFmtId="4" fontId="22" fillId="1" borderId="0" xfId="5" applyNumberFormat="1" applyFont="1" applyFill="1" applyAlignment="1" applyProtection="1">
      <alignment horizontal="fill" vertical="center"/>
    </xf>
    <xf numFmtId="4" fontId="22" fillId="1" borderId="0" xfId="5" applyNumberFormat="1" applyFont="1" applyFill="1" applyAlignment="1" applyProtection="1">
      <alignment horizontal="center" vertical="center"/>
    </xf>
    <xf numFmtId="166" fontId="22" fillId="1" borderId="0" xfId="5" applyFont="1" applyFill="1" applyAlignment="1" applyProtection="1">
      <alignment horizontal="fill" vertical="center"/>
    </xf>
    <xf numFmtId="4" fontId="22" fillId="0" borderId="0" xfId="5" applyNumberFormat="1" applyFont="1" applyFill="1" applyAlignment="1" applyProtection="1">
      <alignment horizontal="fill" vertical="center"/>
    </xf>
    <xf numFmtId="4" fontId="22" fillId="0" borderId="0" xfId="5" applyNumberFormat="1" applyFont="1" applyFill="1" applyAlignment="1" applyProtection="1">
      <alignment horizontal="center" vertical="center"/>
    </xf>
    <xf numFmtId="166" fontId="22" fillId="0" borderId="0" xfId="5" applyFont="1" applyFill="1" applyAlignment="1" applyProtection="1">
      <alignment horizontal="fill" vertical="center"/>
    </xf>
    <xf numFmtId="166" fontId="28" fillId="0" borderId="0" xfId="5" applyFont="1" applyFill="1" applyBorder="1" applyAlignment="1">
      <alignment horizontal="center"/>
    </xf>
    <xf numFmtId="166" fontId="28" fillId="0" borderId="0" xfId="5" applyFont="1" applyFill="1" applyAlignment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 wrapText="1"/>
    </xf>
    <xf numFmtId="44" fontId="14" fillId="0" borderId="3" xfId="2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4" fontId="22" fillId="0" borderId="0" xfId="5" applyNumberFormat="1" applyFont="1" applyAlignment="1">
      <alignment wrapText="1"/>
    </xf>
    <xf numFmtId="0" fontId="24" fillId="0" borderId="0" xfId="7" applyFont="1" applyAlignment="1">
      <alignment horizontal="left"/>
    </xf>
    <xf numFmtId="166" fontId="22" fillId="0" borderId="0" xfId="5" applyFont="1"/>
    <xf numFmtId="0" fontId="36" fillId="0" borderId="0" xfId="0" applyFont="1"/>
    <xf numFmtId="14" fontId="22" fillId="0" borderId="0" xfId="5" applyNumberFormat="1" applyFont="1"/>
    <xf numFmtId="166" fontId="22" fillId="0" borderId="0" xfId="8" applyFont="1"/>
    <xf numFmtId="4" fontId="22" fillId="0" borderId="0" xfId="5" applyNumberFormat="1" applyFont="1"/>
    <xf numFmtId="4" fontId="22" fillId="0" borderId="0" xfId="5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3" applyFont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 wrapText="1"/>
    </xf>
    <xf numFmtId="4" fontId="24" fillId="0" borderId="0" xfId="5" applyNumberFormat="1" applyFont="1" applyAlignment="1">
      <alignment horizontal="center" wrapText="1"/>
    </xf>
    <xf numFmtId="0" fontId="17" fillId="5" borderId="40" xfId="0" applyFont="1" applyFill="1" applyBorder="1" applyAlignment="1">
      <alignment horizontal="center" vertical="top" wrapText="1"/>
    </xf>
    <xf numFmtId="0" fontId="17" fillId="5" borderId="16" xfId="0" applyFont="1" applyFill="1" applyBorder="1" applyAlignment="1">
      <alignment horizontal="center" vertical="top" wrapText="1"/>
    </xf>
    <xf numFmtId="0" fontId="17" fillId="5" borderId="2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4" fontId="22" fillId="0" borderId="0" xfId="5" applyNumberFormat="1" applyFont="1" applyAlignment="1">
      <alignment horizontal="center" wrapText="1"/>
    </xf>
    <xf numFmtId="0" fontId="25" fillId="0" borderId="0" xfId="7" applyFont="1" applyAlignment="1">
      <alignment horizontal="center" vertical="center"/>
    </xf>
    <xf numFmtId="166" fontId="26" fillId="0" borderId="0" xfId="6" applyFont="1" applyFill="1" applyBorder="1" applyAlignment="1" applyProtection="1">
      <alignment horizontal="center"/>
    </xf>
    <xf numFmtId="0" fontId="32" fillId="0" borderId="15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7" fillId="5" borderId="41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justify" vertical="center"/>
    </xf>
    <xf numFmtId="0" fontId="1" fillId="2" borderId="14" xfId="0" applyFont="1" applyFill="1" applyBorder="1" applyAlignment="1" applyProtection="1">
      <alignment horizontal="justify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justify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justify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justify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justify" vertical="center" wrapText="1"/>
    </xf>
    <xf numFmtId="0" fontId="1" fillId="2" borderId="14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10">
    <cellStyle name="Hiperlink" xfId="1" builtinId="8"/>
    <cellStyle name="Moeda" xfId="2" builtinId="4"/>
    <cellStyle name="Normal" xfId="0" builtinId="0"/>
    <cellStyle name="Normal 2" xfId="4"/>
    <cellStyle name="Normal 3" xfId="3"/>
    <cellStyle name="Normal 4" xfId="7"/>
    <cellStyle name="Normal_Cronograma" xfId="5"/>
    <cellStyle name="Normal_Materiais" xfId="8"/>
    <cellStyle name="Normal_Relatorio_1" xfId="6"/>
    <cellStyle name="Vírgula 2" xfId="9"/>
  </cellStyles>
  <dxfs count="4"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123825</xdr:rowOff>
    </xdr:from>
    <xdr:to>
      <xdr:col>4</xdr:col>
      <xdr:colOff>962024</xdr:colOff>
      <xdr:row>4</xdr:row>
      <xdr:rowOff>85725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4" y="123825"/>
          <a:ext cx="847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152400</xdr:rowOff>
    </xdr:from>
    <xdr:to>
      <xdr:col>2</xdr:col>
      <xdr:colOff>1847850</xdr:colOff>
      <xdr:row>3</xdr:row>
      <xdr:rowOff>47625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52400"/>
          <a:ext cx="1162050" cy="952500"/>
        </a:xfrm>
        <a:prstGeom prst="rect">
          <a:avLst/>
        </a:prstGeom>
        <a:noFill/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123825</xdr:rowOff>
    </xdr:from>
    <xdr:to>
      <xdr:col>4</xdr:col>
      <xdr:colOff>962024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4" y="123825"/>
          <a:ext cx="847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152400</xdr:rowOff>
    </xdr:from>
    <xdr:to>
      <xdr:col>2</xdr:col>
      <xdr:colOff>1847850</xdr:colOff>
      <xdr:row>3</xdr:row>
      <xdr:rowOff>47625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52400"/>
          <a:ext cx="1162050" cy="952500"/>
        </a:xfrm>
        <a:prstGeom prst="rect">
          <a:avLst/>
        </a:prstGeom>
        <a:noFill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S&#195;O%20MIGUEL.OUR&#201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1 (3)"/>
      <sheetName val="CBUQ DESONERADA"/>
      <sheetName val="MEMORIAL QUANT. CBUQ"/>
    </sheetNames>
    <sheetDataSet>
      <sheetData sheetId="0">
        <row r="17">
          <cell r="E17" t="str">
            <v>SERVIÇOS PRELIMINARES</v>
          </cell>
        </row>
        <row r="21">
          <cell r="K21">
            <v>134355.57</v>
          </cell>
        </row>
        <row r="22">
          <cell r="E22" t="str">
            <v>SERVIÇOS DE CONSERVAÇÃO</v>
          </cell>
        </row>
        <row r="25">
          <cell r="K25">
            <v>193600</v>
          </cell>
        </row>
        <row r="29">
          <cell r="E29" t="str">
            <v>SERVIÇOS DE TERRAPLENAGEM</v>
          </cell>
        </row>
        <row r="34">
          <cell r="K34">
            <v>1347359.58</v>
          </cell>
        </row>
        <row r="35">
          <cell r="E35" t="str">
            <v>SERVIÇOS DE PAVIMENTAÇÃO</v>
          </cell>
        </row>
        <row r="57">
          <cell r="K57">
            <v>3201148.17</v>
          </cell>
        </row>
        <row r="58">
          <cell r="E58" t="str">
            <v>SERVIÇOS DE OBRA DE ARTE CORRENTE (OAC)</v>
          </cell>
        </row>
        <row r="63">
          <cell r="K63">
            <v>81143.26999999999</v>
          </cell>
        </row>
      </sheetData>
      <sheetData sheetId="1"/>
      <sheetData sheetId="2"/>
      <sheetData sheetId="3">
        <row r="50">
          <cell r="K50">
            <v>950.40000000000009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4"/>
  <sheetViews>
    <sheetView tabSelected="1" view="pageBreakPreview" topLeftCell="A31" zoomScaleNormal="100" zoomScaleSheetLayoutView="100" workbookViewId="0">
      <selection activeCell="E71" sqref="E71:G71"/>
    </sheetView>
  </sheetViews>
  <sheetFormatPr defaultRowHeight="15" x14ac:dyDescent="0.25"/>
  <cols>
    <col min="1" max="1" width="6.42578125" customWidth="1"/>
    <col min="2" max="2" width="11.5703125" customWidth="1"/>
    <col min="3" max="3" width="10.7109375" customWidth="1"/>
    <col min="4" max="4" width="12.140625" hidden="1" customWidth="1"/>
    <col min="5" max="5" width="30.5703125" customWidth="1"/>
    <col min="6" max="6" width="6.7109375" customWidth="1"/>
    <col min="7" max="7" width="17.42578125" customWidth="1"/>
    <col min="8" max="8" width="14.42578125" customWidth="1"/>
    <col min="9" max="9" width="11.85546875" customWidth="1"/>
    <col min="10" max="10" width="17" bestFit="1" customWidth="1"/>
    <col min="11" max="11" width="18.140625" bestFit="1" customWidth="1"/>
  </cols>
  <sheetData>
    <row r="3" spans="1:13" ht="27" x14ac:dyDescent="0.25">
      <c r="A3" s="243" t="s">
        <v>194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6" spans="1:13" ht="3" customHeight="1" x14ac:dyDescent="0.25"/>
    <row r="7" spans="1:13" x14ac:dyDescent="0.25">
      <c r="A7" s="244" t="s">
        <v>202</v>
      </c>
      <c r="B7" s="244"/>
      <c r="C7" s="244"/>
      <c r="D7" s="244"/>
      <c r="E7" s="244"/>
      <c r="F7" s="244"/>
      <c r="G7" s="244"/>
    </row>
    <row r="8" spans="1:13" x14ac:dyDescent="0.25">
      <c r="A8" s="245" t="s">
        <v>195</v>
      </c>
      <c r="B8" s="246"/>
      <c r="C8" s="246"/>
      <c r="D8" s="246"/>
      <c r="E8" s="246"/>
      <c r="F8" s="246"/>
      <c r="H8" s="111" t="s">
        <v>196</v>
      </c>
      <c r="I8" s="112">
        <v>43340</v>
      </c>
    </row>
    <row r="9" spans="1:13" x14ac:dyDescent="0.25">
      <c r="A9" s="245" t="s">
        <v>198</v>
      </c>
      <c r="B9" s="246"/>
      <c r="C9" s="246"/>
      <c r="D9" s="246"/>
      <c r="E9" s="246"/>
      <c r="F9" s="246"/>
      <c r="H9" s="111" t="s">
        <v>197</v>
      </c>
    </row>
    <row r="11" spans="1:13" ht="18.75" x14ac:dyDescent="0.25">
      <c r="A11" s="247" t="s">
        <v>69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9"/>
    </row>
    <row r="12" spans="1:13" ht="18.75" x14ac:dyDescent="0.25">
      <c r="A12" s="271" t="s">
        <v>68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3"/>
    </row>
    <row r="13" spans="1:13" ht="15.75" customHeight="1" x14ac:dyDescent="0.25">
      <c r="A13" s="15"/>
      <c r="B13" s="110"/>
      <c r="C13" s="110"/>
      <c r="D13" s="110"/>
      <c r="E13" s="110"/>
      <c r="F13" s="110"/>
      <c r="G13" s="110"/>
      <c r="H13" s="110"/>
      <c r="I13" s="274" t="s">
        <v>67</v>
      </c>
      <c r="J13" s="274"/>
      <c r="K13" s="75">
        <v>14.02</v>
      </c>
    </row>
    <row r="14" spans="1:13" x14ac:dyDescent="0.25">
      <c r="A14" s="14"/>
      <c r="B14" s="13"/>
      <c r="C14" s="13"/>
      <c r="D14" s="13"/>
      <c r="E14" s="13"/>
      <c r="F14" s="13"/>
      <c r="G14" s="13"/>
      <c r="H14" s="12"/>
      <c r="I14" s="274" t="s">
        <v>66</v>
      </c>
      <c r="J14" s="274"/>
      <c r="K14" s="75">
        <v>20.97</v>
      </c>
    </row>
    <row r="15" spans="1:13" ht="18.75" x14ac:dyDescent="0.25">
      <c r="A15" s="255" t="s">
        <v>187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M15" s="11"/>
    </row>
    <row r="16" spans="1:13" ht="51.75" x14ac:dyDescent="0.25">
      <c r="A16" s="55" t="s">
        <v>65</v>
      </c>
      <c r="B16" s="55" t="s">
        <v>64</v>
      </c>
      <c r="C16" s="55" t="s">
        <v>63</v>
      </c>
      <c r="D16" s="10" t="s">
        <v>62</v>
      </c>
      <c r="E16" s="55" t="s">
        <v>61</v>
      </c>
      <c r="F16" s="55" t="s">
        <v>60</v>
      </c>
      <c r="G16" s="10" t="s">
        <v>59</v>
      </c>
      <c r="H16" s="10" t="s">
        <v>105</v>
      </c>
      <c r="I16" s="10" t="s">
        <v>58</v>
      </c>
      <c r="J16" s="49" t="s">
        <v>57</v>
      </c>
      <c r="K16" s="49" t="s">
        <v>56</v>
      </c>
    </row>
    <row r="17" spans="1:13" ht="21" customHeight="1" x14ac:dyDescent="0.25">
      <c r="A17" s="9">
        <v>1</v>
      </c>
      <c r="B17" s="8"/>
      <c r="C17" s="8"/>
      <c r="D17" s="8"/>
      <c r="E17" s="7" t="s">
        <v>167</v>
      </c>
      <c r="F17" s="6"/>
      <c r="G17" s="6"/>
      <c r="H17" s="22"/>
      <c r="I17" s="22"/>
      <c r="J17" s="50"/>
      <c r="K17" s="50"/>
    </row>
    <row r="18" spans="1:13" x14ac:dyDescent="0.25">
      <c r="A18" s="1" t="s">
        <v>54</v>
      </c>
      <c r="B18" s="2">
        <v>11340</v>
      </c>
      <c r="C18" s="2" t="s">
        <v>183</v>
      </c>
      <c r="D18" s="2" t="s">
        <v>5</v>
      </c>
      <c r="E18" s="58" t="s">
        <v>168</v>
      </c>
      <c r="F18" s="1" t="s">
        <v>27</v>
      </c>
      <c r="G18" s="84">
        <v>64</v>
      </c>
      <c r="H18" s="102">
        <v>166.72</v>
      </c>
      <c r="I18" s="102">
        <v>190.78</v>
      </c>
      <c r="J18" s="102">
        <f>ROUND(H18*G18,2)</f>
        <v>10670.08</v>
      </c>
      <c r="K18" s="102">
        <f>ROUND(I18*G18,2)</f>
        <v>12209.92</v>
      </c>
      <c r="M18" s="74"/>
    </row>
    <row r="19" spans="1:13" x14ac:dyDescent="0.25">
      <c r="A19" s="1" t="s">
        <v>52</v>
      </c>
      <c r="B19" s="76">
        <v>10767</v>
      </c>
      <c r="C19" s="2" t="s">
        <v>183</v>
      </c>
      <c r="D19" s="2" t="s">
        <v>5</v>
      </c>
      <c r="E19" s="58" t="s">
        <v>169</v>
      </c>
      <c r="F19" s="1" t="s">
        <v>27</v>
      </c>
      <c r="G19" s="84">
        <v>164</v>
      </c>
      <c r="H19" s="102">
        <v>397.36</v>
      </c>
      <c r="I19" s="102">
        <v>466.8</v>
      </c>
      <c r="J19" s="102">
        <f t="shared" ref="J19:J20" si="0">ROUND(H19*G19,2)</f>
        <v>65167.040000000001</v>
      </c>
      <c r="K19" s="102">
        <f t="shared" ref="K19:K20" si="1">ROUND(I19*G19,2)</f>
        <v>76555.199999999997</v>
      </c>
    </row>
    <row r="20" spans="1:13" ht="52.5" customHeight="1" x14ac:dyDescent="0.25">
      <c r="A20" s="1" t="s">
        <v>94</v>
      </c>
      <c r="B20" s="76" t="s">
        <v>119</v>
      </c>
      <c r="C20" s="2" t="s">
        <v>188</v>
      </c>
      <c r="D20" s="2" t="s">
        <v>5</v>
      </c>
      <c r="E20" s="58" t="s">
        <v>170</v>
      </c>
      <c r="F20" s="1" t="s">
        <v>14</v>
      </c>
      <c r="G20" s="84">
        <v>1</v>
      </c>
      <c r="H20" s="102">
        <v>37687.4</v>
      </c>
      <c r="I20" s="102">
        <v>45590.45</v>
      </c>
      <c r="J20" s="102">
        <f t="shared" si="0"/>
        <v>37687.4</v>
      </c>
      <c r="K20" s="102">
        <f t="shared" si="1"/>
        <v>45590.45</v>
      </c>
    </row>
    <row r="21" spans="1:13" x14ac:dyDescent="0.25">
      <c r="A21" s="250" t="s">
        <v>2</v>
      </c>
      <c r="B21" s="251"/>
      <c r="C21" s="251"/>
      <c r="D21" s="251"/>
      <c r="E21" s="251"/>
      <c r="F21" s="251"/>
      <c r="G21" s="251"/>
      <c r="H21" s="251"/>
      <c r="I21" s="252"/>
      <c r="J21" s="51">
        <f>SUM(J18:J20)</f>
        <v>113524.51999999999</v>
      </c>
      <c r="K21" s="51">
        <f>SUM(K18:K20)</f>
        <v>134355.57</v>
      </c>
    </row>
    <row r="22" spans="1:13" ht="33" customHeight="1" x14ac:dyDescent="0.25">
      <c r="A22" s="9">
        <v>2</v>
      </c>
      <c r="B22" s="8"/>
      <c r="C22" s="8"/>
      <c r="D22" s="8"/>
      <c r="E22" s="7" t="s">
        <v>171</v>
      </c>
      <c r="F22" s="6"/>
      <c r="G22" s="6"/>
      <c r="H22" s="22"/>
      <c r="I22" s="22"/>
      <c r="J22" s="50"/>
      <c r="K22" s="50"/>
    </row>
    <row r="23" spans="1:13" x14ac:dyDescent="0.25">
      <c r="A23" s="5" t="s">
        <v>49</v>
      </c>
      <c r="B23" s="4" t="s">
        <v>199</v>
      </c>
      <c r="C23" s="4" t="s">
        <v>6</v>
      </c>
      <c r="D23" s="4" t="s">
        <v>5</v>
      </c>
      <c r="E23" s="59" t="s">
        <v>172</v>
      </c>
      <c r="F23" s="3" t="s">
        <v>27</v>
      </c>
      <c r="G23" s="107">
        <v>136200</v>
      </c>
      <c r="H23" s="103">
        <v>0.52</v>
      </c>
      <c r="I23" s="102">
        <v>0.62</v>
      </c>
      <c r="J23" s="102">
        <f>ROUND(H23*G23,2)</f>
        <v>70824</v>
      </c>
      <c r="K23" s="102">
        <f>ROUND(I23*G23,2)</f>
        <v>84444</v>
      </c>
    </row>
    <row r="24" spans="1:13" x14ac:dyDescent="0.25">
      <c r="A24" s="5" t="s">
        <v>48</v>
      </c>
      <c r="B24" s="4" t="s">
        <v>119</v>
      </c>
      <c r="C24" s="4" t="s">
        <v>188</v>
      </c>
      <c r="D24" s="4" t="s">
        <v>5</v>
      </c>
      <c r="E24" s="101" t="s">
        <v>173</v>
      </c>
      <c r="F24" s="3" t="s">
        <v>3</v>
      </c>
      <c r="G24" s="107">
        <v>45400</v>
      </c>
      <c r="H24" s="103">
        <v>0.12</v>
      </c>
      <c r="I24" s="102">
        <v>0.14000000000000001</v>
      </c>
      <c r="J24" s="102">
        <f t="shared" ref="J24:J26" si="2">ROUND(H24*G24,2)</f>
        <v>5448</v>
      </c>
      <c r="K24" s="102">
        <f t="shared" ref="K24:K26" si="3">ROUND(I24*G24,2)</f>
        <v>6356</v>
      </c>
    </row>
    <row r="25" spans="1:13" ht="30" x14ac:dyDescent="0.25">
      <c r="A25" s="5" t="s">
        <v>47</v>
      </c>
      <c r="B25" s="4">
        <v>94316</v>
      </c>
      <c r="C25" s="2" t="s">
        <v>6</v>
      </c>
      <c r="D25" s="4" t="s">
        <v>10</v>
      </c>
      <c r="E25" s="59" t="s">
        <v>185</v>
      </c>
      <c r="F25" s="3" t="s">
        <v>25</v>
      </c>
      <c r="G25" s="107">
        <v>900</v>
      </c>
      <c r="H25" s="103">
        <v>23.83</v>
      </c>
      <c r="I25" s="102">
        <v>28.83</v>
      </c>
      <c r="J25" s="102">
        <f t="shared" si="2"/>
        <v>21447</v>
      </c>
      <c r="K25" s="102">
        <f t="shared" si="3"/>
        <v>25947</v>
      </c>
    </row>
    <row r="26" spans="1:13" ht="45" x14ac:dyDescent="0.25">
      <c r="A26" s="5" t="s">
        <v>45</v>
      </c>
      <c r="B26" s="2">
        <v>79472</v>
      </c>
      <c r="C26" s="4" t="s">
        <v>6</v>
      </c>
      <c r="D26" s="4" t="s">
        <v>10</v>
      </c>
      <c r="E26" s="58" t="s">
        <v>189</v>
      </c>
      <c r="F26" s="3" t="s">
        <v>182</v>
      </c>
      <c r="G26" s="107">
        <v>73710</v>
      </c>
      <c r="H26" s="103">
        <v>0.92</v>
      </c>
      <c r="I26" s="102">
        <v>1.07</v>
      </c>
      <c r="J26" s="102">
        <f t="shared" si="2"/>
        <v>67813.2</v>
      </c>
      <c r="K26" s="102">
        <f t="shared" si="3"/>
        <v>78869.7</v>
      </c>
    </row>
    <row r="27" spans="1:13" x14ac:dyDescent="0.25">
      <c r="A27" s="262" t="s">
        <v>2</v>
      </c>
      <c r="B27" s="263"/>
      <c r="C27" s="263"/>
      <c r="D27" s="263"/>
      <c r="E27" s="263"/>
      <c r="F27" s="263"/>
      <c r="G27" s="263"/>
      <c r="H27" s="263"/>
      <c r="I27" s="264"/>
      <c r="J27" s="51">
        <f>SUM(J23:J26)</f>
        <v>165532.20000000001</v>
      </c>
      <c r="K27" s="51">
        <f>SUM(K23:K26)</f>
        <v>195616.7</v>
      </c>
    </row>
    <row r="28" spans="1:13" ht="15" hidden="1" customHeight="1" x14ac:dyDescent="0.25">
      <c r="A28" s="9">
        <v>3</v>
      </c>
      <c r="B28" s="8"/>
      <c r="C28" s="8"/>
      <c r="D28" s="8"/>
      <c r="E28" s="7" t="s">
        <v>42</v>
      </c>
      <c r="F28" s="6"/>
      <c r="G28" s="6"/>
      <c r="H28" s="22"/>
      <c r="I28" s="22"/>
      <c r="J28" s="50"/>
      <c r="K28" s="50"/>
    </row>
    <row r="29" spans="1:13" ht="105" hidden="1" x14ac:dyDescent="0.25">
      <c r="A29" s="1" t="s">
        <v>41</v>
      </c>
      <c r="B29" s="2">
        <v>94996</v>
      </c>
      <c r="C29" s="2" t="s">
        <v>6</v>
      </c>
      <c r="D29" s="2" t="s">
        <v>5</v>
      </c>
      <c r="E29" s="58" t="s">
        <v>112</v>
      </c>
      <c r="F29" s="1" t="s">
        <v>27</v>
      </c>
      <c r="G29" s="84">
        <v>0</v>
      </c>
      <c r="H29" s="84">
        <v>83.62</v>
      </c>
      <c r="I29" s="84" t="e">
        <f>IF(D29="S",(#REF!/100)*H29,(#REF!/100)*H29)+H29</f>
        <v>#REF!</v>
      </c>
      <c r="J29" s="84">
        <f>G29*H29</f>
        <v>0</v>
      </c>
      <c r="K29" s="84" t="e">
        <f>G29*I29</f>
        <v>#REF!</v>
      </c>
    </row>
    <row r="30" spans="1:13" hidden="1" x14ac:dyDescent="0.25">
      <c r="A30" s="250" t="s">
        <v>2</v>
      </c>
      <c r="B30" s="251"/>
      <c r="C30" s="251"/>
      <c r="D30" s="251"/>
      <c r="E30" s="251"/>
      <c r="F30" s="251"/>
      <c r="G30" s="251"/>
      <c r="H30" s="251"/>
      <c r="I30" s="252"/>
      <c r="J30" s="51">
        <f>J29</f>
        <v>0</v>
      </c>
      <c r="K30" s="51" t="e">
        <f>K29</f>
        <v>#REF!</v>
      </c>
    </row>
    <row r="31" spans="1:13" ht="21" customHeight="1" x14ac:dyDescent="0.25">
      <c r="A31" s="9">
        <v>3</v>
      </c>
      <c r="B31" s="7"/>
      <c r="C31" s="7"/>
      <c r="D31" s="7"/>
      <c r="E31" s="7" t="s">
        <v>174</v>
      </c>
      <c r="F31" s="6"/>
      <c r="G31" s="6"/>
      <c r="H31" s="22"/>
      <c r="I31" s="22"/>
      <c r="J31" s="50"/>
      <c r="K31" s="50"/>
    </row>
    <row r="32" spans="1:13" x14ac:dyDescent="0.25">
      <c r="A32" s="106" t="s">
        <v>41</v>
      </c>
      <c r="B32" s="2">
        <v>72961</v>
      </c>
      <c r="C32" s="4" t="s">
        <v>6</v>
      </c>
      <c r="D32" s="2" t="s">
        <v>5</v>
      </c>
      <c r="E32" s="58" t="s">
        <v>184</v>
      </c>
      <c r="F32" s="1" t="s">
        <v>25</v>
      </c>
      <c r="G32" s="108">
        <v>204300</v>
      </c>
      <c r="H32" s="102">
        <v>0.76</v>
      </c>
      <c r="I32" s="102">
        <v>0.9</v>
      </c>
      <c r="J32" s="102">
        <f>ROUND(H32*G32,2)</f>
        <v>155268</v>
      </c>
      <c r="K32" s="102">
        <f>ROUND(I32*G32,2)</f>
        <v>183870</v>
      </c>
    </row>
    <row r="33" spans="1:11" ht="75" hidden="1" x14ac:dyDescent="0.25">
      <c r="A33" s="105" t="s">
        <v>38</v>
      </c>
      <c r="B33" s="2">
        <v>72947</v>
      </c>
      <c r="C33" s="4" t="s">
        <v>183</v>
      </c>
      <c r="D33" s="2" t="s">
        <v>5</v>
      </c>
      <c r="E33" s="58" t="s">
        <v>146</v>
      </c>
      <c r="F33" s="100" t="s">
        <v>166</v>
      </c>
      <c r="G33" s="108">
        <v>108</v>
      </c>
      <c r="H33" s="102">
        <v>24.63</v>
      </c>
      <c r="I33" s="102" t="e">
        <f>IF(D33="S",(#REF!/100)*H33,(#REF!/100)*H33)+H33</f>
        <v>#REF!</v>
      </c>
      <c r="J33" s="102">
        <f t="shared" ref="J33:J35" si="4">ROUND(H33*G33,2)</f>
        <v>2660.04</v>
      </c>
      <c r="K33" s="102" t="e">
        <f t="shared" ref="K33:K35" si="5">ROUND(I33*G33,2)</f>
        <v>#REF!</v>
      </c>
    </row>
    <row r="34" spans="1:11" ht="30" x14ac:dyDescent="0.25">
      <c r="A34" s="106" t="s">
        <v>192</v>
      </c>
      <c r="B34" s="4">
        <v>94316</v>
      </c>
      <c r="C34" s="2" t="s">
        <v>6</v>
      </c>
      <c r="D34" s="2" t="s">
        <v>5</v>
      </c>
      <c r="E34" s="58" t="s">
        <v>186</v>
      </c>
      <c r="F34" s="105" t="s">
        <v>25</v>
      </c>
      <c r="G34" s="108">
        <v>6432</v>
      </c>
      <c r="H34" s="102">
        <v>26.15</v>
      </c>
      <c r="I34" s="102">
        <v>30.58</v>
      </c>
      <c r="J34" s="102">
        <f t="shared" si="4"/>
        <v>168196.8</v>
      </c>
      <c r="K34" s="102">
        <f t="shared" si="5"/>
        <v>196690.56</v>
      </c>
    </row>
    <row r="35" spans="1:11" ht="45" x14ac:dyDescent="0.25">
      <c r="A35" s="109" t="s">
        <v>193</v>
      </c>
      <c r="B35" s="2">
        <f>B26</f>
        <v>79472</v>
      </c>
      <c r="C35" s="4" t="s">
        <v>6</v>
      </c>
      <c r="D35" s="2" t="s">
        <v>5</v>
      </c>
      <c r="E35" s="58" t="s">
        <v>190</v>
      </c>
      <c r="F35" s="100" t="s">
        <v>182</v>
      </c>
      <c r="G35" s="108">
        <v>526780.80000000005</v>
      </c>
      <c r="H35" s="102">
        <f>H26</f>
        <v>0.92</v>
      </c>
      <c r="I35" s="102">
        <f>I26</f>
        <v>1.07</v>
      </c>
      <c r="J35" s="102">
        <f t="shared" si="4"/>
        <v>484638.34</v>
      </c>
      <c r="K35" s="102">
        <f t="shared" si="5"/>
        <v>563655.46</v>
      </c>
    </row>
    <row r="36" spans="1:11" x14ac:dyDescent="0.25">
      <c r="A36" s="250" t="s">
        <v>2</v>
      </c>
      <c r="B36" s="251"/>
      <c r="C36" s="251"/>
      <c r="D36" s="251"/>
      <c r="E36" s="251"/>
      <c r="F36" s="251"/>
      <c r="G36" s="251"/>
      <c r="H36" s="251"/>
      <c r="I36" s="252"/>
      <c r="J36" s="104">
        <f>SUM(J32:J35)</f>
        <v>810763.17999999993</v>
      </c>
      <c r="K36" s="104">
        <f>+K34+K32+K35</f>
        <v>944216.02</v>
      </c>
    </row>
    <row r="37" spans="1:11" ht="15.75" customHeight="1" x14ac:dyDescent="0.25">
      <c r="A37" s="9">
        <v>4</v>
      </c>
      <c r="B37" s="8"/>
      <c r="C37" s="8"/>
      <c r="D37" s="8"/>
      <c r="E37" s="7" t="s">
        <v>175</v>
      </c>
      <c r="F37" s="6"/>
      <c r="G37" s="6"/>
      <c r="H37" s="22"/>
      <c r="I37" s="22"/>
      <c r="J37" s="50"/>
      <c r="K37" s="50"/>
    </row>
    <row r="38" spans="1:11" ht="60" hidden="1" x14ac:dyDescent="0.25">
      <c r="A38" s="5" t="s">
        <v>32</v>
      </c>
      <c r="B38" s="2">
        <v>94265</v>
      </c>
      <c r="C38" s="2" t="s">
        <v>6</v>
      </c>
      <c r="D38" s="4" t="s">
        <v>5</v>
      </c>
      <c r="E38" s="58" t="s">
        <v>33</v>
      </c>
      <c r="F38" s="23" t="s">
        <v>3</v>
      </c>
      <c r="G38" s="23">
        <v>0</v>
      </c>
      <c r="H38" s="23">
        <v>31.39</v>
      </c>
      <c r="I38" s="84" t="e">
        <f>IF(D38="S",(#REF!/100)*H38,(#REF!/100)*H38)+H38</f>
        <v>#REF!</v>
      </c>
      <c r="J38" s="23">
        <f t="shared" ref="J38:J56" si="6">G38*H38</f>
        <v>0</v>
      </c>
      <c r="K38" s="84" t="e">
        <f t="shared" ref="K38:K56" si="7">I38*G38</f>
        <v>#REF!</v>
      </c>
    </row>
    <row r="39" spans="1:11" ht="60" hidden="1" x14ac:dyDescent="0.25">
      <c r="A39" s="97" t="s">
        <v>30</v>
      </c>
      <c r="B39" s="2">
        <v>94281</v>
      </c>
      <c r="C39" s="2" t="s">
        <v>6</v>
      </c>
      <c r="D39" s="2" t="s">
        <v>5</v>
      </c>
      <c r="E39" s="58" t="s">
        <v>31</v>
      </c>
      <c r="F39" s="84" t="s">
        <v>3</v>
      </c>
      <c r="G39" s="84">
        <v>0</v>
      </c>
      <c r="H39" s="84">
        <v>37.49</v>
      </c>
      <c r="I39" s="84" t="e">
        <f>IF(D39="S",(#REF!/100)*H39,(#REF!/100)*H39)+H39</f>
        <v>#REF!</v>
      </c>
      <c r="J39" s="23">
        <f t="shared" si="6"/>
        <v>0</v>
      </c>
      <c r="K39" s="84" t="e">
        <f t="shared" si="7"/>
        <v>#REF!</v>
      </c>
    </row>
    <row r="40" spans="1:11" ht="165" hidden="1" x14ac:dyDescent="0.25">
      <c r="A40" s="5" t="s">
        <v>29</v>
      </c>
      <c r="B40" s="2">
        <v>90105</v>
      </c>
      <c r="C40" s="2" t="s">
        <v>6</v>
      </c>
      <c r="D40" s="2" t="s">
        <v>5</v>
      </c>
      <c r="E40" s="58" t="s">
        <v>150</v>
      </c>
      <c r="F40" s="84" t="s">
        <v>25</v>
      </c>
      <c r="G40" s="84">
        <v>0</v>
      </c>
      <c r="H40" s="84">
        <v>11.93</v>
      </c>
      <c r="I40" s="84" t="e">
        <f>IF(D40="S",(#REF!/100)*H40,(#REF!/100)*H40)+H40</f>
        <v>#REF!</v>
      </c>
      <c r="J40" s="23">
        <f t="shared" si="6"/>
        <v>0</v>
      </c>
      <c r="K40" s="84" t="e">
        <f t="shared" si="7"/>
        <v>#REF!</v>
      </c>
    </row>
    <row r="41" spans="1:11" ht="60" hidden="1" x14ac:dyDescent="0.25">
      <c r="A41" s="97" t="s">
        <v>26</v>
      </c>
      <c r="B41" s="2">
        <v>94097</v>
      </c>
      <c r="C41" s="2" t="s">
        <v>6</v>
      </c>
      <c r="D41" s="2" t="s">
        <v>5</v>
      </c>
      <c r="E41" s="58" t="s">
        <v>28</v>
      </c>
      <c r="F41" s="84" t="s">
        <v>27</v>
      </c>
      <c r="G41" s="84">
        <v>0</v>
      </c>
      <c r="H41" s="84">
        <v>4.5999999999999996</v>
      </c>
      <c r="I41" s="84" t="e">
        <f>IF(D41="S",(#REF!/100)*H41,(#REF!/100)*H41)+H41</f>
        <v>#REF!</v>
      </c>
      <c r="J41" s="23">
        <f t="shared" si="6"/>
        <v>0</v>
      </c>
      <c r="K41" s="84" t="e">
        <f t="shared" si="7"/>
        <v>#REF!</v>
      </c>
    </row>
    <row r="42" spans="1:11" ht="45" hidden="1" x14ac:dyDescent="0.25">
      <c r="A42" s="1" t="s">
        <v>26</v>
      </c>
      <c r="B42" s="2">
        <v>95290</v>
      </c>
      <c r="C42" s="2" t="s">
        <v>6</v>
      </c>
      <c r="D42" s="2" t="s">
        <v>5</v>
      </c>
      <c r="E42" s="73" t="s">
        <v>23</v>
      </c>
      <c r="F42" s="84" t="s">
        <v>135</v>
      </c>
      <c r="G42" s="84">
        <f>'MEMORIAL QUANT. CBUQ'!K50</f>
        <v>950.40000000000009</v>
      </c>
      <c r="H42" s="84">
        <v>1.76</v>
      </c>
      <c r="I42" s="84" t="e">
        <f>IF(D42="S",(#REF!/100)*H42,(#REF!/100)*H42)+H42</f>
        <v>#REF!</v>
      </c>
      <c r="J42" s="23">
        <f t="shared" ref="J42:J54" si="8">G42*H42</f>
        <v>1672.7040000000002</v>
      </c>
      <c r="K42" s="84" t="e">
        <f t="shared" ref="K42:K54" si="9">G42*I42</f>
        <v>#REF!</v>
      </c>
    </row>
    <row r="43" spans="1:11" ht="30" hidden="1" x14ac:dyDescent="0.25">
      <c r="A43" s="1" t="s">
        <v>24</v>
      </c>
      <c r="B43" s="2">
        <v>7781</v>
      </c>
      <c r="C43" s="2" t="s">
        <v>6</v>
      </c>
      <c r="D43" s="2" t="s">
        <v>10</v>
      </c>
      <c r="E43" s="58" t="s">
        <v>9</v>
      </c>
      <c r="F43" s="84" t="s">
        <v>3</v>
      </c>
      <c r="G43" s="84">
        <f>'MEMORIAL QUANT. CBUQ'!K52</f>
        <v>0</v>
      </c>
      <c r="H43" s="84">
        <v>51.95</v>
      </c>
      <c r="I43" s="84" t="e">
        <f>IF(D43="S",(#REF!/100)*H43,(#REF!/100)*H43)+H43</f>
        <v>#REF!</v>
      </c>
      <c r="J43" s="23">
        <f t="shared" si="8"/>
        <v>0</v>
      </c>
      <c r="K43" s="84" t="e">
        <f t="shared" si="9"/>
        <v>#REF!</v>
      </c>
    </row>
    <row r="44" spans="1:11" ht="165" hidden="1" x14ac:dyDescent="0.25">
      <c r="A44" s="1" t="s">
        <v>21</v>
      </c>
      <c r="B44" s="2">
        <v>90106</v>
      </c>
      <c r="C44" s="2" t="s">
        <v>6</v>
      </c>
      <c r="D44" s="2" t="s">
        <v>5</v>
      </c>
      <c r="E44" s="58" t="s">
        <v>155</v>
      </c>
      <c r="F44" s="84" t="s">
        <v>25</v>
      </c>
      <c r="G44" s="84">
        <f>'MEMORIAL QUANT. CBUQ'!K53</f>
        <v>0</v>
      </c>
      <c r="H44" s="84">
        <v>10.220000000000001</v>
      </c>
      <c r="I44" s="84" t="e">
        <f>IF(D44="S",(#REF!/100)*H44,(#REF!/100)*H44)+H44</f>
        <v>#REF!</v>
      </c>
      <c r="J44" s="23">
        <f t="shared" si="8"/>
        <v>0</v>
      </c>
      <c r="K44" s="84" t="e">
        <f t="shared" si="9"/>
        <v>#REF!</v>
      </c>
    </row>
    <row r="45" spans="1:11" ht="60" hidden="1" x14ac:dyDescent="0.25">
      <c r="A45" s="1" t="s">
        <v>18</v>
      </c>
      <c r="B45" s="2">
        <v>94097</v>
      </c>
      <c r="C45" s="2" t="s">
        <v>6</v>
      </c>
      <c r="D45" s="2" t="s">
        <v>5</v>
      </c>
      <c r="E45" s="58" t="s">
        <v>28</v>
      </c>
      <c r="F45" s="84" t="s">
        <v>25</v>
      </c>
      <c r="G45" s="84">
        <f>'MEMORIAL QUANT. CBUQ'!K54</f>
        <v>0</v>
      </c>
      <c r="H45" s="84">
        <v>4.5999999999999996</v>
      </c>
      <c r="I45" s="84" t="e">
        <f>IF(D45="S",(#REF!/100)*H45,(#REF!/100)*H45)+H45</f>
        <v>#REF!</v>
      </c>
      <c r="J45" s="23">
        <f t="shared" si="8"/>
        <v>0</v>
      </c>
      <c r="K45" s="84" t="e">
        <f t="shared" si="9"/>
        <v>#REF!</v>
      </c>
    </row>
    <row r="46" spans="1:11" ht="90" hidden="1" x14ac:dyDescent="0.25">
      <c r="A46" s="1" t="s">
        <v>16</v>
      </c>
      <c r="B46" s="2">
        <v>93378</v>
      </c>
      <c r="C46" s="2" t="s">
        <v>6</v>
      </c>
      <c r="D46" s="2" t="s">
        <v>5</v>
      </c>
      <c r="E46" s="58" t="s">
        <v>147</v>
      </c>
      <c r="F46" s="84" t="s">
        <v>25</v>
      </c>
      <c r="G46" s="84">
        <f>'MEMORIAL QUANT. CBUQ'!K55</f>
        <v>0</v>
      </c>
      <c r="H46" s="84">
        <v>19.600000000000001</v>
      </c>
      <c r="I46" s="84" t="e">
        <f>IF(D46="S",(#REF!/100)*H46,(#REF!/100)*H46)+H46</f>
        <v>#REF!</v>
      </c>
      <c r="J46" s="23">
        <f t="shared" si="8"/>
        <v>0</v>
      </c>
      <c r="K46" s="84" t="e">
        <f t="shared" si="9"/>
        <v>#REF!</v>
      </c>
    </row>
    <row r="47" spans="1:11" ht="90" hidden="1" x14ac:dyDescent="0.25">
      <c r="A47" s="1" t="s">
        <v>13</v>
      </c>
      <c r="B47" s="2">
        <v>92809</v>
      </c>
      <c r="C47" s="2" t="s">
        <v>6</v>
      </c>
      <c r="D47" s="2" t="s">
        <v>5</v>
      </c>
      <c r="E47" s="58" t="s">
        <v>148</v>
      </c>
      <c r="F47" s="84" t="s">
        <v>3</v>
      </c>
      <c r="G47" s="84">
        <f>'MEMORIAL QUANT. CBUQ'!K56</f>
        <v>0</v>
      </c>
      <c r="H47" s="84">
        <v>37.54</v>
      </c>
      <c r="I47" s="84" t="e">
        <f>IF(D47="S",(#REF!/100)*H47,(#REF!/100)*H47)+H47</f>
        <v>#REF!</v>
      </c>
      <c r="J47" s="23">
        <f t="shared" si="8"/>
        <v>0</v>
      </c>
      <c r="K47" s="84" t="e">
        <f t="shared" si="9"/>
        <v>#REF!</v>
      </c>
    </row>
    <row r="48" spans="1:11" ht="45" hidden="1" x14ac:dyDescent="0.25">
      <c r="A48" s="1" t="s">
        <v>11</v>
      </c>
      <c r="B48" s="4">
        <v>95290</v>
      </c>
      <c r="C48" s="2" t="s">
        <v>6</v>
      </c>
      <c r="D48" s="2" t="s">
        <v>5</v>
      </c>
      <c r="E48" s="59" t="s">
        <v>23</v>
      </c>
      <c r="F48" s="23" t="s">
        <v>22</v>
      </c>
      <c r="G48" s="84">
        <f>'MEMORIAL QUANT. CBUQ'!K57</f>
        <v>0</v>
      </c>
      <c r="H48" s="84">
        <v>1.76</v>
      </c>
      <c r="I48" s="84" t="e">
        <f>IF(D48="S",(#REF!/100)*H48,(#REF!/100)*H48)+H48</f>
        <v>#REF!</v>
      </c>
      <c r="J48" s="23">
        <f t="shared" si="8"/>
        <v>0</v>
      </c>
      <c r="K48" s="84" t="e">
        <f t="shared" si="9"/>
        <v>#REF!</v>
      </c>
    </row>
    <row r="49" spans="1:11" ht="30" hidden="1" x14ac:dyDescent="0.25">
      <c r="A49" s="1" t="s">
        <v>32</v>
      </c>
      <c r="B49" s="2">
        <v>7793</v>
      </c>
      <c r="C49" s="2" t="s">
        <v>6</v>
      </c>
      <c r="D49" s="2" t="s">
        <v>10</v>
      </c>
      <c r="E49" s="58" t="s">
        <v>12</v>
      </c>
      <c r="F49" s="84" t="s">
        <v>3</v>
      </c>
      <c r="G49" s="84">
        <v>0</v>
      </c>
      <c r="H49" s="84">
        <v>104.87</v>
      </c>
      <c r="I49" s="84" t="e">
        <f>IF(D49="S",(#REF!/100)*H49,(#REF!/100)*H49)+H49</f>
        <v>#REF!</v>
      </c>
      <c r="J49" s="23">
        <f t="shared" si="8"/>
        <v>0</v>
      </c>
      <c r="K49" s="84" t="e">
        <f t="shared" si="9"/>
        <v>#REF!</v>
      </c>
    </row>
    <row r="50" spans="1:11" ht="165" hidden="1" x14ac:dyDescent="0.25">
      <c r="A50" s="1" t="s">
        <v>30</v>
      </c>
      <c r="B50" s="2">
        <v>90106</v>
      </c>
      <c r="C50" s="2" t="s">
        <v>6</v>
      </c>
      <c r="D50" s="2" t="s">
        <v>5</v>
      </c>
      <c r="E50" s="59" t="s">
        <v>156</v>
      </c>
      <c r="F50" s="23" t="s">
        <v>25</v>
      </c>
      <c r="G50" s="84">
        <v>0</v>
      </c>
      <c r="H50" s="84">
        <v>10.220000000000001</v>
      </c>
      <c r="I50" s="84" t="e">
        <f>IF(D50="S",(#REF!/100)*H50,(#REF!/100)*H50)+H50</f>
        <v>#REF!</v>
      </c>
      <c r="J50" s="23">
        <f t="shared" si="8"/>
        <v>0</v>
      </c>
      <c r="K50" s="84" t="e">
        <f t="shared" si="9"/>
        <v>#REF!</v>
      </c>
    </row>
    <row r="51" spans="1:11" ht="60" hidden="1" x14ac:dyDescent="0.25">
      <c r="A51" s="1" t="s">
        <v>29</v>
      </c>
      <c r="B51" s="2">
        <v>94097</v>
      </c>
      <c r="C51" s="2" t="s">
        <v>6</v>
      </c>
      <c r="D51" s="2" t="s">
        <v>5</v>
      </c>
      <c r="E51" s="58" t="s">
        <v>28</v>
      </c>
      <c r="F51" s="84" t="s">
        <v>25</v>
      </c>
      <c r="G51" s="84">
        <v>0</v>
      </c>
      <c r="H51" s="84">
        <v>4.5999999999999996</v>
      </c>
      <c r="I51" s="84" t="e">
        <f>IF(D51="S",(#REF!/100)*H51,(#REF!/100)*H51)+H51</f>
        <v>#REF!</v>
      </c>
      <c r="J51" s="23">
        <f t="shared" si="8"/>
        <v>0</v>
      </c>
      <c r="K51" s="84" t="e">
        <f t="shared" si="9"/>
        <v>#REF!</v>
      </c>
    </row>
    <row r="52" spans="1:11" ht="90" hidden="1" x14ac:dyDescent="0.25">
      <c r="A52" s="1" t="s">
        <v>26</v>
      </c>
      <c r="B52" s="2">
        <v>93378</v>
      </c>
      <c r="C52" s="2" t="s">
        <v>6</v>
      </c>
      <c r="D52" s="2" t="s">
        <v>5</v>
      </c>
      <c r="E52" s="58" t="s">
        <v>147</v>
      </c>
      <c r="F52" s="84" t="s">
        <v>25</v>
      </c>
      <c r="G52" s="84">
        <v>0</v>
      </c>
      <c r="H52" s="84">
        <v>19.600000000000001</v>
      </c>
      <c r="I52" s="84" t="e">
        <f>IF(D52="S",(#REF!/100)*H52,(#REF!/100)*H52)+H52</f>
        <v>#REF!</v>
      </c>
      <c r="J52" s="23">
        <f t="shared" si="8"/>
        <v>0</v>
      </c>
      <c r="K52" s="84" t="e">
        <f t="shared" si="9"/>
        <v>#REF!</v>
      </c>
    </row>
    <row r="53" spans="1:11" ht="90" hidden="1" x14ac:dyDescent="0.25">
      <c r="A53" s="1" t="s">
        <v>139</v>
      </c>
      <c r="B53" s="2">
        <v>92811</v>
      </c>
      <c r="C53" s="2" t="s">
        <v>6</v>
      </c>
      <c r="D53" s="2" t="s">
        <v>5</v>
      </c>
      <c r="E53" s="58" t="s">
        <v>4</v>
      </c>
      <c r="F53" s="84" t="s">
        <v>3</v>
      </c>
      <c r="G53" s="84">
        <f>'MEMORIAL QUANT. CBUQ'!K62</f>
        <v>0</v>
      </c>
      <c r="H53" s="84">
        <v>54.41</v>
      </c>
      <c r="I53" s="84" t="e">
        <f>IF(D53="S",(#REF!/100)*H53,(#REF!/100)*H53)+H53</f>
        <v>#REF!</v>
      </c>
      <c r="J53" s="23">
        <f t="shared" si="8"/>
        <v>0</v>
      </c>
      <c r="K53" s="84" t="e">
        <f t="shared" si="9"/>
        <v>#REF!</v>
      </c>
    </row>
    <row r="54" spans="1:11" ht="45" hidden="1" x14ac:dyDescent="0.25">
      <c r="A54" s="1" t="s">
        <v>140</v>
      </c>
      <c r="B54" s="4">
        <v>95290</v>
      </c>
      <c r="C54" s="2" t="s">
        <v>6</v>
      </c>
      <c r="D54" s="2" t="s">
        <v>5</v>
      </c>
      <c r="E54" s="59" t="s">
        <v>23</v>
      </c>
      <c r="F54" s="23" t="s">
        <v>22</v>
      </c>
      <c r="G54" s="84">
        <f>'MEMORIAL QUANT. CBUQ'!K63</f>
        <v>0</v>
      </c>
      <c r="H54" s="84">
        <v>1.76</v>
      </c>
      <c r="I54" s="84" t="e">
        <f>IF(D54="S",(#REF!/100)*H54,(#REF!/100)*H54)+H54</f>
        <v>#REF!</v>
      </c>
      <c r="J54" s="23">
        <f t="shared" si="8"/>
        <v>0</v>
      </c>
      <c r="K54" s="84" t="e">
        <f t="shared" si="9"/>
        <v>#REF!</v>
      </c>
    </row>
    <row r="55" spans="1:11" ht="75" hidden="1" x14ac:dyDescent="0.25">
      <c r="A55" s="1" t="s">
        <v>141</v>
      </c>
      <c r="B55" s="2">
        <v>83659</v>
      </c>
      <c r="C55" s="2" t="s">
        <v>20</v>
      </c>
      <c r="D55" s="2" t="s">
        <v>5</v>
      </c>
      <c r="E55" s="58" t="s">
        <v>19</v>
      </c>
      <c r="F55" s="84" t="s">
        <v>14</v>
      </c>
      <c r="G55" s="84">
        <f>'MEMORIAL QUANT. CBUQ'!K64</f>
        <v>0</v>
      </c>
      <c r="H55" s="84">
        <v>694.56</v>
      </c>
      <c r="I55" s="84" t="e">
        <f>IF(D55="S",(#REF!/100)*H55,(#REF!/100)*H55)+H55</f>
        <v>#REF!</v>
      </c>
      <c r="J55" s="23">
        <f t="shared" si="6"/>
        <v>0</v>
      </c>
      <c r="K55" s="84" t="e">
        <f t="shared" si="7"/>
        <v>#REF!</v>
      </c>
    </row>
    <row r="56" spans="1:11" ht="75" hidden="1" x14ac:dyDescent="0.25">
      <c r="A56" s="1" t="s">
        <v>142</v>
      </c>
      <c r="B56" s="2" t="s">
        <v>149</v>
      </c>
      <c r="C56" s="2" t="s">
        <v>6</v>
      </c>
      <c r="D56" s="2" t="s">
        <v>5</v>
      </c>
      <c r="E56" s="58" t="s">
        <v>17</v>
      </c>
      <c r="F56" s="84" t="s">
        <v>14</v>
      </c>
      <c r="G56" s="84">
        <f>'MEMORIAL QUANT. CBUQ'!K65</f>
        <v>0</v>
      </c>
      <c r="H56" s="84">
        <v>332.61</v>
      </c>
      <c r="I56" s="84" t="e">
        <f>IF(D56="S",(#REF!/100)*H56,(#REF!/100)*H56)+H56</f>
        <v>#REF!</v>
      </c>
      <c r="J56" s="23">
        <f t="shared" si="6"/>
        <v>0</v>
      </c>
      <c r="K56" s="84" t="e">
        <f t="shared" si="7"/>
        <v>#REF!</v>
      </c>
    </row>
    <row r="57" spans="1:11" ht="45" x14ac:dyDescent="0.25">
      <c r="A57" s="106" t="s">
        <v>39</v>
      </c>
      <c r="B57" s="83">
        <v>83772</v>
      </c>
      <c r="C57" s="4" t="s">
        <v>6</v>
      </c>
      <c r="D57" s="2" t="s">
        <v>10</v>
      </c>
      <c r="E57" s="58" t="s">
        <v>177</v>
      </c>
      <c r="F57" s="84" t="s">
        <v>25</v>
      </c>
      <c r="G57" s="108">
        <v>15890</v>
      </c>
      <c r="H57" s="102">
        <v>10.18</v>
      </c>
      <c r="I57" s="84">
        <v>12.01</v>
      </c>
      <c r="J57" s="113">
        <f>ROUND(H57*G57,2)</f>
        <v>161760.20000000001</v>
      </c>
      <c r="K57" s="113">
        <f>ROUND(I57*G57,2)</f>
        <v>190838.9</v>
      </c>
    </row>
    <row r="58" spans="1:11" ht="45" x14ac:dyDescent="0.25">
      <c r="A58" s="106" t="s">
        <v>38</v>
      </c>
      <c r="B58" s="2">
        <f>B35</f>
        <v>79472</v>
      </c>
      <c r="C58" s="4" t="str">
        <f>C35</f>
        <v>SINAPI</v>
      </c>
      <c r="D58" s="2" t="s">
        <v>10</v>
      </c>
      <c r="E58" s="58" t="s">
        <v>191</v>
      </c>
      <c r="F58" s="84" t="s">
        <v>182</v>
      </c>
      <c r="G58" s="108">
        <v>1301391</v>
      </c>
      <c r="H58" s="102">
        <f>H35</f>
        <v>0.92</v>
      </c>
      <c r="I58" s="84">
        <f>I35</f>
        <v>1.07</v>
      </c>
      <c r="J58" s="113">
        <f>ROUND(H58*G58,2)</f>
        <v>1197279.72</v>
      </c>
      <c r="K58" s="113">
        <f>ROUND(I58*G58,2)</f>
        <v>1392488.37</v>
      </c>
    </row>
    <row r="59" spans="1:11" ht="22.5" customHeight="1" x14ac:dyDescent="0.25">
      <c r="A59" s="250" t="s">
        <v>2</v>
      </c>
      <c r="B59" s="251"/>
      <c r="C59" s="251"/>
      <c r="D59" s="251"/>
      <c r="E59" s="251"/>
      <c r="F59" s="251"/>
      <c r="G59" s="251"/>
      <c r="H59" s="251"/>
      <c r="I59" s="252"/>
      <c r="J59" s="104">
        <f>SUM(J38:J58)</f>
        <v>1360712.6240000001</v>
      </c>
      <c r="K59" s="104">
        <f>SUM(K57:K58)</f>
        <v>1583327.27</v>
      </c>
    </row>
    <row r="60" spans="1:11" ht="30" x14ac:dyDescent="0.25">
      <c r="A60" s="98">
        <v>5</v>
      </c>
      <c r="B60" s="8"/>
      <c r="C60" s="8"/>
      <c r="D60" s="8"/>
      <c r="E60" s="99" t="s">
        <v>176</v>
      </c>
      <c r="F60" s="6"/>
      <c r="G60" s="6"/>
      <c r="H60" s="22"/>
      <c r="I60" s="22"/>
      <c r="J60" s="50"/>
      <c r="K60" s="50"/>
    </row>
    <row r="61" spans="1:11" ht="30" x14ac:dyDescent="0.25">
      <c r="A61" s="106" t="s">
        <v>34</v>
      </c>
      <c r="B61" s="2" t="s">
        <v>96</v>
      </c>
      <c r="C61" s="4" t="s">
        <v>6</v>
      </c>
      <c r="D61" s="2" t="s">
        <v>5</v>
      </c>
      <c r="E61" s="58" t="s">
        <v>178</v>
      </c>
      <c r="F61" s="100" t="s">
        <v>25</v>
      </c>
      <c r="G61" s="84">
        <v>72.3</v>
      </c>
      <c r="H61" s="114">
        <v>5.8</v>
      </c>
      <c r="I61" s="113">
        <v>6.86</v>
      </c>
      <c r="J61" s="113">
        <f>ROUND(H61*G61,2)</f>
        <v>419.34</v>
      </c>
      <c r="K61" s="113">
        <f>ROUND(I61*G61,2)</f>
        <v>495.98</v>
      </c>
    </row>
    <row r="62" spans="1:11" x14ac:dyDescent="0.25">
      <c r="A62" s="106" t="s">
        <v>32</v>
      </c>
      <c r="B62" s="2">
        <v>180723</v>
      </c>
      <c r="C62" s="4" t="s">
        <v>183</v>
      </c>
      <c r="D62" s="2" t="s">
        <v>10</v>
      </c>
      <c r="E62" s="58" t="s">
        <v>179</v>
      </c>
      <c r="F62" s="84" t="s">
        <v>3</v>
      </c>
      <c r="G62" s="84">
        <v>24</v>
      </c>
      <c r="H62" s="113">
        <v>502.88</v>
      </c>
      <c r="I62" s="113">
        <v>584.41999999999996</v>
      </c>
      <c r="J62" s="113">
        <f t="shared" ref="J62:J64" si="10">ROUND(H62*G62,2)</f>
        <v>12069.12</v>
      </c>
      <c r="K62" s="113">
        <f t="shared" ref="K62:K64" si="11">ROUND(I62*G62,2)</f>
        <v>14026.08</v>
      </c>
    </row>
    <row r="63" spans="1:11" x14ac:dyDescent="0.25">
      <c r="A63" s="106" t="s">
        <v>30</v>
      </c>
      <c r="B63" s="2">
        <v>93370</v>
      </c>
      <c r="C63" s="2" t="s">
        <v>6</v>
      </c>
      <c r="D63" s="2" t="s">
        <v>10</v>
      </c>
      <c r="E63" s="58" t="s">
        <v>180</v>
      </c>
      <c r="F63" s="84" t="s">
        <v>25</v>
      </c>
      <c r="G63" s="84">
        <v>54.58</v>
      </c>
      <c r="H63" s="113">
        <v>8.2200000000000006</v>
      </c>
      <c r="I63" s="113">
        <v>9.77</v>
      </c>
      <c r="J63" s="113">
        <f t="shared" si="10"/>
        <v>448.65</v>
      </c>
      <c r="K63" s="113">
        <f t="shared" si="11"/>
        <v>533.25</v>
      </c>
    </row>
    <row r="64" spans="1:11" x14ac:dyDescent="0.25">
      <c r="A64" s="106" t="s">
        <v>29</v>
      </c>
      <c r="B64" s="2" t="s">
        <v>200</v>
      </c>
      <c r="C64" s="2" t="s">
        <v>6</v>
      </c>
      <c r="D64" s="2" t="s">
        <v>10</v>
      </c>
      <c r="E64" s="58" t="s">
        <v>181</v>
      </c>
      <c r="F64" s="84" t="s">
        <v>14</v>
      </c>
      <c r="G64" s="84">
        <v>4</v>
      </c>
      <c r="H64" s="113">
        <v>1715.44</v>
      </c>
      <c r="I64" s="113">
        <v>2032.08</v>
      </c>
      <c r="J64" s="113">
        <f t="shared" si="10"/>
        <v>6861.76</v>
      </c>
      <c r="K64" s="113">
        <f t="shared" si="11"/>
        <v>8128.32</v>
      </c>
    </row>
    <row r="65" spans="1:14" ht="20.25" customHeight="1" x14ac:dyDescent="0.25">
      <c r="A65" s="250" t="s">
        <v>2</v>
      </c>
      <c r="B65" s="251"/>
      <c r="C65" s="251"/>
      <c r="D65" s="251"/>
      <c r="E65" s="251"/>
      <c r="F65" s="251"/>
      <c r="G65" s="251"/>
      <c r="H65" s="251"/>
      <c r="I65" s="252"/>
      <c r="J65" s="227">
        <f>SUM(J61:J64)</f>
        <v>19798.870000000003</v>
      </c>
      <c r="K65" s="113">
        <f>SUM(K61:K64)</f>
        <v>23183.629999999997</v>
      </c>
    </row>
    <row r="66" spans="1:14" ht="17.25" x14ac:dyDescent="0.25">
      <c r="A66" s="253" t="s">
        <v>1</v>
      </c>
      <c r="B66" s="253"/>
      <c r="C66" s="253"/>
      <c r="D66" s="253"/>
      <c r="E66" s="253"/>
      <c r="F66" s="253"/>
      <c r="G66" s="253"/>
      <c r="H66" s="253"/>
      <c r="I66" s="55"/>
      <c r="J66" s="258">
        <f>SUM(J65,J59,J36,J27,J21)</f>
        <v>2470331.3940000003</v>
      </c>
      <c r="K66" s="259"/>
    </row>
    <row r="67" spans="1:14" ht="18" thickBot="1" x14ac:dyDescent="0.3">
      <c r="A67" s="254" t="s">
        <v>0</v>
      </c>
      <c r="B67" s="254"/>
      <c r="C67" s="254"/>
      <c r="D67" s="254"/>
      <c r="E67" s="254"/>
      <c r="F67" s="254"/>
      <c r="G67" s="254"/>
      <c r="H67" s="254"/>
      <c r="I67" s="225"/>
      <c r="J67" s="260">
        <f>SUM(K65,K59,K36,K27,K21)</f>
        <v>2880699.19</v>
      </c>
      <c r="K67" s="261"/>
      <c r="M67" s="242">
        <f>2924464.07-J67</f>
        <v>43764.879999999888</v>
      </c>
      <c r="N67" s="242"/>
    </row>
    <row r="68" spans="1:14" ht="15.75" customHeight="1" thickBot="1" x14ac:dyDescent="0.3">
      <c r="A68" s="267" t="s">
        <v>219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9"/>
    </row>
    <row r="69" spans="1:14" ht="15" customHeight="1" x14ac:dyDescent="0.25">
      <c r="A69" s="270" t="s">
        <v>201</v>
      </c>
      <c r="B69" s="270"/>
      <c r="C69" s="270"/>
      <c r="D69" s="270"/>
      <c r="E69" s="270"/>
      <c r="F69" s="270"/>
      <c r="G69" s="270"/>
    </row>
    <row r="71" spans="1:14" ht="63" customHeight="1" x14ac:dyDescent="0.25">
      <c r="E71" s="265" t="s">
        <v>220</v>
      </c>
      <c r="F71" s="265"/>
      <c r="G71" s="265"/>
    </row>
    <row r="72" spans="1:14" x14ac:dyDescent="0.25">
      <c r="E72" s="226"/>
      <c r="F72" s="226"/>
      <c r="G72" s="226"/>
    </row>
    <row r="73" spans="1:14" x14ac:dyDescent="0.25">
      <c r="E73" s="226"/>
      <c r="F73" s="226"/>
      <c r="G73" s="226"/>
    </row>
    <row r="74" spans="1:14" ht="69" customHeight="1" x14ac:dyDescent="0.25">
      <c r="A74" s="266" t="s">
        <v>218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</row>
  </sheetData>
  <autoFilter ref="A16:K67"/>
  <mergeCells count="24">
    <mergeCell ref="E71:G71"/>
    <mergeCell ref="A74:K74"/>
    <mergeCell ref="A68:K68"/>
    <mergeCell ref="A69:G69"/>
    <mergeCell ref="A12:K12"/>
    <mergeCell ref="I13:J13"/>
    <mergeCell ref="I14:J14"/>
    <mergeCell ref="A36:I36"/>
    <mergeCell ref="M67:N67"/>
    <mergeCell ref="A3:K3"/>
    <mergeCell ref="A7:G7"/>
    <mergeCell ref="A8:F8"/>
    <mergeCell ref="A9:F9"/>
    <mergeCell ref="A11:K11"/>
    <mergeCell ref="A59:I59"/>
    <mergeCell ref="A65:I65"/>
    <mergeCell ref="A66:H66"/>
    <mergeCell ref="A67:H67"/>
    <mergeCell ref="A15:K15"/>
    <mergeCell ref="J66:K66"/>
    <mergeCell ref="J67:K67"/>
    <mergeCell ref="A21:I21"/>
    <mergeCell ref="A27:I27"/>
    <mergeCell ref="A30:I30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H114"/>
  <sheetViews>
    <sheetView showZeros="0" zoomScale="75" zoomScaleNormal="75" workbookViewId="0">
      <selection activeCell="C44" sqref="C44"/>
    </sheetView>
  </sheetViews>
  <sheetFormatPr defaultColWidth="10.28515625" defaultRowHeight="15" x14ac:dyDescent="0.2"/>
  <cols>
    <col min="1" max="1" width="3.28515625" style="119" customWidth="1"/>
    <col min="2" max="2" width="8.28515625" style="224" customWidth="1"/>
    <col min="3" max="3" width="72.28515625" style="128" customWidth="1"/>
    <col min="4" max="7" width="47.140625" style="128" hidden="1" customWidth="1"/>
    <col min="8" max="8" width="21.7109375" style="118" bestFit="1" customWidth="1"/>
    <col min="9" max="9" width="19.42578125" style="119" customWidth="1"/>
    <col min="10" max="10" width="19.42578125" style="119" hidden="1" customWidth="1"/>
    <col min="11" max="11" width="19.42578125" style="119" customWidth="1"/>
    <col min="12" max="12" width="19.42578125" style="119" hidden="1" customWidth="1"/>
    <col min="13" max="13" width="19.42578125" style="119" customWidth="1"/>
    <col min="14" max="18" width="19.42578125" style="119" hidden="1" customWidth="1"/>
    <col min="19" max="16384" width="10.28515625" style="119"/>
  </cols>
  <sheetData>
    <row r="1" spans="1:19" ht="15.75" x14ac:dyDescent="0.25">
      <c r="A1" s="115"/>
      <c r="B1" s="116"/>
      <c r="C1" s="117"/>
      <c r="D1" s="117"/>
      <c r="E1" s="117"/>
      <c r="F1" s="117"/>
      <c r="G1" s="117"/>
      <c r="J1" s="120"/>
      <c r="O1" s="121"/>
      <c r="P1" s="120"/>
      <c r="Q1" s="121"/>
    </row>
    <row r="2" spans="1:19" ht="51.75" customHeight="1" x14ac:dyDescent="0.2">
      <c r="A2" s="115"/>
      <c r="B2" s="276" t="s">
        <v>203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20"/>
      <c r="Q2" s="121"/>
    </row>
    <row r="3" spans="1:19" ht="15.75" x14ac:dyDescent="0.25">
      <c r="A3" s="115"/>
      <c r="B3" s="116"/>
      <c r="C3" s="117"/>
      <c r="D3" s="117"/>
      <c r="E3" s="117"/>
      <c r="F3" s="117"/>
      <c r="G3" s="117"/>
      <c r="J3" s="120"/>
      <c r="O3" s="121"/>
      <c r="P3" s="120"/>
      <c r="Q3" s="121"/>
    </row>
    <row r="4" spans="1:19" ht="15.75" x14ac:dyDescent="0.25">
      <c r="A4" s="115"/>
      <c r="B4" s="116"/>
      <c r="C4" s="117"/>
      <c r="D4" s="117"/>
      <c r="E4" s="117"/>
      <c r="F4" s="117"/>
      <c r="G4" s="117"/>
      <c r="J4" s="120"/>
      <c r="O4" s="121"/>
      <c r="P4" s="120"/>
      <c r="Q4" s="121"/>
    </row>
    <row r="5" spans="1:19" ht="15.75" x14ac:dyDescent="0.25">
      <c r="A5" s="115"/>
      <c r="B5" s="116"/>
      <c r="C5" s="117"/>
      <c r="D5" s="117"/>
      <c r="E5" s="117"/>
      <c r="F5" s="117"/>
      <c r="G5" s="117"/>
      <c r="J5" s="120"/>
      <c r="O5" s="121"/>
      <c r="P5" s="120"/>
      <c r="Q5" s="121"/>
    </row>
    <row r="6" spans="1:19" ht="32.25" customHeight="1" x14ac:dyDescent="0.35">
      <c r="A6" s="115"/>
      <c r="B6" s="277" t="s">
        <v>204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120"/>
      <c r="Q6" s="121"/>
    </row>
    <row r="7" spans="1:19" ht="15.75" x14ac:dyDescent="0.25">
      <c r="A7" s="115"/>
      <c r="B7" s="116"/>
      <c r="C7" s="122"/>
      <c r="D7" s="122"/>
      <c r="E7" s="122"/>
      <c r="F7" s="122"/>
      <c r="G7" s="122"/>
      <c r="H7" s="123"/>
      <c r="I7" s="117"/>
      <c r="J7" s="120"/>
      <c r="K7" s="120"/>
      <c r="O7" s="121"/>
      <c r="P7" s="121"/>
      <c r="Q7" s="121"/>
    </row>
    <row r="8" spans="1:19" ht="15.75" x14ac:dyDescent="0.25">
      <c r="A8" s="115"/>
      <c r="B8" s="244" t="s">
        <v>202</v>
      </c>
      <c r="C8" s="244"/>
      <c r="D8" s="244"/>
      <c r="E8" s="244"/>
      <c r="F8" s="244"/>
      <c r="G8" s="244"/>
      <c r="H8" s="244"/>
      <c r="I8"/>
      <c r="J8"/>
      <c r="O8" s="121"/>
      <c r="P8" s="121"/>
      <c r="Q8" s="121"/>
    </row>
    <row r="9" spans="1:19" ht="15.75" x14ac:dyDescent="0.25">
      <c r="A9" s="115"/>
      <c r="B9" s="245" t="s">
        <v>195</v>
      </c>
      <c r="C9" s="246"/>
      <c r="D9" s="246"/>
      <c r="E9" s="246"/>
      <c r="F9" s="246"/>
      <c r="G9" s="246"/>
      <c r="H9"/>
      <c r="J9" s="112">
        <v>43341</v>
      </c>
      <c r="K9" s="124" t="s">
        <v>196</v>
      </c>
      <c r="M9" s="125">
        <v>43341</v>
      </c>
      <c r="O9" s="121"/>
      <c r="P9" s="121"/>
      <c r="Q9" s="121"/>
    </row>
    <row r="10" spans="1:19" ht="15.75" customHeight="1" x14ac:dyDescent="0.25">
      <c r="A10" s="115"/>
      <c r="B10" s="245" t="s">
        <v>198</v>
      </c>
      <c r="C10" s="246"/>
      <c r="D10" s="246"/>
      <c r="E10" s="246"/>
      <c r="F10" s="246"/>
      <c r="G10" s="246"/>
      <c r="H10" s="246"/>
      <c r="I10" s="246"/>
      <c r="J10"/>
      <c r="L10" s="126"/>
      <c r="M10" s="127"/>
      <c r="N10" s="121"/>
      <c r="O10" s="121"/>
      <c r="P10" s="121"/>
      <c r="Q10" s="121"/>
    </row>
    <row r="11" spans="1:19" ht="15.75" x14ac:dyDescent="0.25">
      <c r="A11" s="115"/>
      <c r="B11" s="111" t="s">
        <v>197</v>
      </c>
      <c r="C11" s="127"/>
      <c r="F11" s="129"/>
      <c r="G11" s="126"/>
      <c r="H11" s="119"/>
      <c r="L11" s="126"/>
      <c r="M11" s="127"/>
      <c r="N11" s="121"/>
      <c r="O11" s="121"/>
      <c r="P11" s="121"/>
      <c r="Q11" s="121"/>
    </row>
    <row r="12" spans="1:19" ht="15.75" x14ac:dyDescent="0.2">
      <c r="A12" s="115"/>
      <c r="B12" s="116"/>
    </row>
    <row r="13" spans="1:19" ht="4.5" customHeight="1" thickBot="1" x14ac:dyDescent="0.25">
      <c r="A13" s="115"/>
      <c r="B13" s="116"/>
    </row>
    <row r="14" spans="1:19" ht="20.100000000000001" customHeight="1" thickBot="1" x14ac:dyDescent="0.25">
      <c r="A14" s="130"/>
      <c r="B14" s="131"/>
      <c r="C14" s="132"/>
      <c r="D14" s="132"/>
      <c r="E14" s="132"/>
      <c r="F14" s="132"/>
      <c r="G14" s="132"/>
      <c r="H14" s="133"/>
      <c r="I14" s="134" t="s">
        <v>206</v>
      </c>
      <c r="J14" s="134"/>
      <c r="K14" s="134" t="s">
        <v>207</v>
      </c>
      <c r="L14" s="134"/>
      <c r="M14" s="134" t="s">
        <v>208</v>
      </c>
      <c r="N14" s="134"/>
      <c r="O14" s="135"/>
      <c r="R14" s="136"/>
      <c r="S14" s="137"/>
    </row>
    <row r="15" spans="1:19" ht="16.5" hidden="1" thickBot="1" x14ac:dyDescent="0.25">
      <c r="A15" s="130"/>
      <c r="B15" s="131"/>
      <c r="C15" s="138"/>
      <c r="D15" s="139"/>
      <c r="E15" s="139"/>
      <c r="F15" s="139"/>
      <c r="G15" s="139"/>
      <c r="H15" s="140"/>
      <c r="I15" s="141" t="e">
        <f>WEEKDAY(#REF!)</f>
        <v>#REF!</v>
      </c>
      <c r="J15" s="142"/>
      <c r="K15" s="143" t="e">
        <f>WEEKDAY(#REF!)</f>
        <v>#REF!</v>
      </c>
      <c r="L15" s="144"/>
      <c r="M15" s="143" t="e">
        <f>WEEKDAY(#REF!)</f>
        <v>#REF!</v>
      </c>
      <c r="N15" s="142"/>
      <c r="O15" s="142"/>
      <c r="P15" s="142"/>
      <c r="Q15" s="144"/>
    </row>
    <row r="16" spans="1:19" ht="24" customHeight="1" thickBot="1" x14ac:dyDescent="0.25">
      <c r="A16" s="145"/>
      <c r="B16" s="146" t="s">
        <v>209</v>
      </c>
      <c r="C16" s="147" t="s">
        <v>210</v>
      </c>
      <c r="D16" s="148"/>
      <c r="E16" s="148"/>
      <c r="F16" s="148"/>
      <c r="G16" s="148"/>
      <c r="H16" s="149" t="s">
        <v>211</v>
      </c>
      <c r="I16" s="150">
        <v>30</v>
      </c>
      <c r="J16" s="151">
        <f>$I$16</f>
        <v>30</v>
      </c>
      <c r="K16" s="152">
        <f>I16+J16</f>
        <v>60</v>
      </c>
      <c r="L16" s="151">
        <f>$I$16</f>
        <v>30</v>
      </c>
      <c r="M16" s="152">
        <f>K16+L16</f>
        <v>90</v>
      </c>
      <c r="N16" s="151">
        <f>$I$16</f>
        <v>30</v>
      </c>
      <c r="O16" s="151">
        <f>$I$16</f>
        <v>30</v>
      </c>
      <c r="P16" s="153">
        <f>$I$16</f>
        <v>30</v>
      </c>
      <c r="Q16" s="151">
        <f>$I$16</f>
        <v>30</v>
      </c>
      <c r="R16" s="154">
        <f>$I$16</f>
        <v>30</v>
      </c>
    </row>
    <row r="17" spans="1:18" ht="24" customHeight="1" thickBot="1" x14ac:dyDescent="0.25">
      <c r="A17" s="145"/>
      <c r="B17" s="278" t="s">
        <v>205</v>
      </c>
      <c r="C17" s="279"/>
      <c r="D17" s="279"/>
      <c r="E17" s="279"/>
      <c r="F17" s="279"/>
      <c r="G17" s="279"/>
      <c r="H17" s="279"/>
      <c r="I17" s="155"/>
      <c r="J17" s="156"/>
      <c r="K17" s="157"/>
      <c r="L17" s="156"/>
      <c r="M17" s="157"/>
      <c r="N17" s="156"/>
      <c r="O17" s="156"/>
      <c r="P17" s="158"/>
      <c r="Q17" s="156"/>
      <c r="R17" s="159"/>
    </row>
    <row r="18" spans="1:18" ht="18" customHeight="1" x14ac:dyDescent="0.2">
      <c r="A18" s="145"/>
      <c r="B18" s="160"/>
      <c r="C18" s="161"/>
      <c r="D18" s="162"/>
      <c r="E18" s="162"/>
      <c r="F18" s="162"/>
      <c r="G18" s="162"/>
      <c r="H18" s="163"/>
      <c r="I18" s="164">
        <v>1</v>
      </c>
      <c r="J18" s="165"/>
      <c r="K18" s="165">
        <f>1-SUM(I18:J18)</f>
        <v>0</v>
      </c>
      <c r="L18" s="165"/>
      <c r="M18" s="165">
        <f>1-SUM(I18:L18)</f>
        <v>0</v>
      </c>
      <c r="N18" s="165"/>
      <c r="O18" s="165"/>
      <c r="P18" s="166"/>
      <c r="Q18" s="165"/>
      <c r="R18" s="167"/>
    </row>
    <row r="19" spans="1:18" ht="18" customHeight="1" x14ac:dyDescent="0.2">
      <c r="A19" s="145"/>
      <c r="B19" s="168">
        <v>1</v>
      </c>
      <c r="C19" s="169" t="str">
        <f>'ORÇ SANTA LUZIA'!E17</f>
        <v>SERVIÇOS PRELIMINARES</v>
      </c>
      <c r="D19" s="170"/>
      <c r="E19" s="170"/>
      <c r="F19" s="170"/>
      <c r="G19" s="170"/>
      <c r="H19" s="169">
        <f>'ORÇ SANTA LUZIA'!K21</f>
        <v>134355.57</v>
      </c>
      <c r="I19" s="171"/>
      <c r="J19" s="172"/>
      <c r="K19" s="172"/>
      <c r="L19" s="172"/>
      <c r="M19" s="172"/>
      <c r="N19" s="172"/>
      <c r="O19" s="172"/>
      <c r="P19" s="172"/>
      <c r="Q19" s="172"/>
      <c r="R19" s="173"/>
    </row>
    <row r="20" spans="1:18" ht="18" customHeight="1" thickBot="1" x14ac:dyDescent="0.25">
      <c r="A20" s="145"/>
      <c r="B20" s="174"/>
      <c r="C20" s="175"/>
      <c r="D20" s="176"/>
      <c r="E20" s="176"/>
      <c r="F20" s="176"/>
      <c r="G20" s="176"/>
      <c r="H20" s="177"/>
      <c r="I20" s="178">
        <f>(I18*H19)</f>
        <v>134355.57</v>
      </c>
      <c r="J20" s="179">
        <f>(I20)</f>
        <v>134355.57</v>
      </c>
      <c r="K20" s="179">
        <f>(K18*H19)</f>
        <v>0</v>
      </c>
      <c r="L20" s="179">
        <f>(K20)</f>
        <v>0</v>
      </c>
      <c r="M20" s="179">
        <f>(M18*H19)</f>
        <v>0</v>
      </c>
      <c r="N20" s="179">
        <f>(M20)</f>
        <v>0</v>
      </c>
      <c r="O20" s="179" t="e">
        <f>(#REF!)</f>
        <v>#REF!</v>
      </c>
      <c r="P20" s="180" t="e">
        <f>(#REF!)</f>
        <v>#REF!</v>
      </c>
      <c r="Q20" s="179" t="e">
        <f>(#REF!)</f>
        <v>#REF!</v>
      </c>
      <c r="R20" s="181" t="e">
        <f>(#REF!)</f>
        <v>#REF!</v>
      </c>
    </row>
    <row r="21" spans="1:18" ht="18" customHeight="1" x14ac:dyDescent="0.2">
      <c r="A21" s="145"/>
      <c r="B21" s="160"/>
      <c r="C21" s="161"/>
      <c r="D21" s="162"/>
      <c r="E21" s="162"/>
      <c r="F21" s="162"/>
      <c r="G21" s="162"/>
      <c r="H21" s="163"/>
      <c r="I21" s="164">
        <v>1</v>
      </c>
      <c r="J21" s="165"/>
      <c r="K21" s="165"/>
      <c r="L21" s="165"/>
      <c r="M21" s="165"/>
      <c r="N21" s="165"/>
      <c r="O21" s="165"/>
      <c r="P21" s="166"/>
      <c r="Q21" s="165"/>
      <c r="R21" s="167"/>
    </row>
    <row r="22" spans="1:18" ht="18" customHeight="1" x14ac:dyDescent="0.2">
      <c r="A22" s="145"/>
      <c r="B22" s="168">
        <v>2</v>
      </c>
      <c r="C22" s="169" t="str">
        <f>'ORÇ SANTA LUZIA'!E22</f>
        <v>SERVIÇOS DE CONSERVAÇÃO</v>
      </c>
      <c r="D22" s="182"/>
      <c r="E22" s="182"/>
      <c r="F22" s="182"/>
      <c r="G22" s="182"/>
      <c r="H22" s="169">
        <f>'ORÇ SANTA LUZIA'!K27</f>
        <v>195616.7</v>
      </c>
      <c r="I22" s="171"/>
      <c r="J22" s="172"/>
      <c r="K22" s="172"/>
      <c r="L22" s="172"/>
      <c r="M22" s="172"/>
      <c r="N22" s="172"/>
      <c r="O22" s="172"/>
      <c r="P22" s="172"/>
      <c r="Q22" s="172"/>
      <c r="R22" s="173"/>
    </row>
    <row r="23" spans="1:18" ht="18" customHeight="1" thickBot="1" x14ac:dyDescent="0.25">
      <c r="A23" s="145"/>
      <c r="B23" s="174"/>
      <c r="C23" s="175"/>
      <c r="D23" s="176"/>
      <c r="E23" s="176"/>
      <c r="F23" s="176"/>
      <c r="G23" s="176"/>
      <c r="H23" s="177"/>
      <c r="I23" s="178">
        <f>(I21*H22)</f>
        <v>195616.7</v>
      </c>
      <c r="J23" s="179">
        <f>(I23)</f>
        <v>195616.7</v>
      </c>
      <c r="K23" s="179">
        <f>(K21*H22)</f>
        <v>0</v>
      </c>
      <c r="L23" s="179">
        <f>(K23)</f>
        <v>0</v>
      </c>
      <c r="M23" s="179">
        <f>(M21*H22)</f>
        <v>0</v>
      </c>
      <c r="N23" s="179">
        <f>(M23)</f>
        <v>0</v>
      </c>
      <c r="O23" s="179" t="e">
        <f>(#REF!)</f>
        <v>#REF!</v>
      </c>
      <c r="P23" s="180" t="e">
        <f>(#REF!)</f>
        <v>#REF!</v>
      </c>
      <c r="Q23" s="179" t="e">
        <f>(#REF!)</f>
        <v>#REF!</v>
      </c>
      <c r="R23" s="181" t="e">
        <f>(#REF!)</f>
        <v>#REF!</v>
      </c>
    </row>
    <row r="24" spans="1:18" ht="18" customHeight="1" x14ac:dyDescent="0.2">
      <c r="A24" s="145"/>
      <c r="B24" s="160"/>
      <c r="C24" s="183"/>
      <c r="D24" s="184"/>
      <c r="E24" s="184"/>
      <c r="F24" s="184"/>
      <c r="G24" s="184"/>
      <c r="H24" s="185"/>
      <c r="I24" s="164">
        <v>0.5</v>
      </c>
      <c r="J24" s="165"/>
      <c r="K24" s="165">
        <v>0.5</v>
      </c>
      <c r="L24" s="165"/>
      <c r="M24" s="165"/>
      <c r="N24" s="165"/>
      <c r="O24" s="165"/>
      <c r="P24" s="166"/>
      <c r="Q24" s="165"/>
      <c r="R24" s="167"/>
    </row>
    <row r="25" spans="1:18" ht="18" customHeight="1" x14ac:dyDescent="0.2">
      <c r="A25" s="145"/>
      <c r="B25" s="186">
        <v>3</v>
      </c>
      <c r="C25" s="187" t="str">
        <f>'ORÇ SANTA LUZIA'!E31</f>
        <v>SERVIÇOS DE TERRAPLENAGEM</v>
      </c>
      <c r="D25" s="170"/>
      <c r="E25" s="170"/>
      <c r="F25" s="170"/>
      <c r="G25" s="170"/>
      <c r="H25" s="187">
        <f>'ORÇ SANTA LUZIA'!K36</f>
        <v>944216.02</v>
      </c>
      <c r="I25" s="171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1:18" ht="18" customHeight="1" thickBot="1" x14ac:dyDescent="0.25">
      <c r="A26" s="145"/>
      <c r="B26" s="174"/>
      <c r="C26" s="188"/>
      <c r="D26" s="189"/>
      <c r="E26" s="189"/>
      <c r="F26" s="189"/>
      <c r="G26" s="189"/>
      <c r="H26" s="190"/>
      <c r="I26" s="178">
        <f>(I24*H25)</f>
        <v>472108.01</v>
      </c>
      <c r="J26" s="179">
        <f>(I26)</f>
        <v>472108.01</v>
      </c>
      <c r="K26" s="179">
        <f>(K24*H25)</f>
        <v>472108.01</v>
      </c>
      <c r="L26" s="179">
        <f>(K26)</f>
        <v>472108.01</v>
      </c>
      <c r="M26" s="179">
        <f>(M24*H25)</f>
        <v>0</v>
      </c>
      <c r="N26" s="179">
        <f>(M26)</f>
        <v>0</v>
      </c>
      <c r="O26" s="179" t="e">
        <f>(#REF!)</f>
        <v>#REF!</v>
      </c>
      <c r="P26" s="180" t="e">
        <f>(#REF!)</f>
        <v>#REF!</v>
      </c>
      <c r="Q26" s="179" t="e">
        <f>(#REF!)</f>
        <v>#REF!</v>
      </c>
      <c r="R26" s="181" t="e">
        <f>(#REF!)</f>
        <v>#REF!</v>
      </c>
    </row>
    <row r="27" spans="1:18" ht="18" customHeight="1" x14ac:dyDescent="0.2">
      <c r="A27" s="145"/>
      <c r="B27" s="160"/>
      <c r="C27" s="161"/>
      <c r="D27" s="162"/>
      <c r="E27" s="162"/>
      <c r="F27" s="162"/>
      <c r="G27" s="162"/>
      <c r="H27" s="163"/>
      <c r="I27" s="164"/>
      <c r="J27" s="165"/>
      <c r="K27" s="165">
        <v>0.5</v>
      </c>
      <c r="L27" s="165"/>
      <c r="M27" s="165">
        <v>0.5</v>
      </c>
      <c r="N27" s="165"/>
      <c r="O27" s="165"/>
      <c r="P27" s="191"/>
      <c r="Q27" s="191"/>
      <c r="R27" s="192"/>
    </row>
    <row r="28" spans="1:18" ht="18" customHeight="1" x14ac:dyDescent="0.2">
      <c r="A28" s="145"/>
      <c r="B28" s="168">
        <v>4</v>
      </c>
      <c r="C28" s="169" t="str">
        <f>'ORÇ SANTA LUZIA'!E37</f>
        <v>SERVIÇOS DE PAVIMENTAÇÃO</v>
      </c>
      <c r="D28" s="170"/>
      <c r="E28" s="170"/>
      <c r="F28" s="170"/>
      <c r="G28" s="170"/>
      <c r="H28" s="169">
        <f>'ORÇ SANTA LUZIA'!K59</f>
        <v>1583327.27</v>
      </c>
      <c r="I28" s="171"/>
      <c r="J28" s="172"/>
      <c r="K28" s="172"/>
      <c r="L28" s="172"/>
      <c r="M28" s="172"/>
      <c r="N28" s="172"/>
      <c r="O28" s="172"/>
      <c r="P28" s="191"/>
      <c r="Q28" s="191"/>
      <c r="R28" s="192"/>
    </row>
    <row r="29" spans="1:18" ht="18" customHeight="1" thickBot="1" x14ac:dyDescent="0.25">
      <c r="A29" s="145"/>
      <c r="B29" s="174"/>
      <c r="C29" s="175"/>
      <c r="D29" s="176"/>
      <c r="E29" s="176"/>
      <c r="F29" s="176"/>
      <c r="G29" s="176"/>
      <c r="H29" s="177"/>
      <c r="I29" s="178">
        <f>(I27*H28)</f>
        <v>0</v>
      </c>
      <c r="J29" s="179">
        <f>(I29)</f>
        <v>0</v>
      </c>
      <c r="K29" s="179">
        <f>(K27*H28)</f>
        <v>791663.63500000001</v>
      </c>
      <c r="L29" s="179">
        <f>(K29)</f>
        <v>791663.63500000001</v>
      </c>
      <c r="M29" s="179">
        <f>(M27*H28)</f>
        <v>791663.63500000001</v>
      </c>
      <c r="N29" s="179">
        <f>(M29)</f>
        <v>791663.63500000001</v>
      </c>
      <c r="O29" s="179" t="e">
        <f>(#REF!)</f>
        <v>#REF!</v>
      </c>
      <c r="P29" s="191"/>
      <c r="Q29" s="191"/>
      <c r="R29" s="192"/>
    </row>
    <row r="30" spans="1:18" ht="18" customHeight="1" x14ac:dyDescent="0.2">
      <c r="A30" s="145"/>
      <c r="B30" s="160"/>
      <c r="C30" s="161"/>
      <c r="D30" s="162"/>
      <c r="E30" s="162"/>
      <c r="F30" s="162"/>
      <c r="G30" s="162"/>
      <c r="H30" s="163"/>
      <c r="I30" s="164"/>
      <c r="J30" s="165"/>
      <c r="K30" s="165">
        <v>1</v>
      </c>
      <c r="L30" s="165"/>
      <c r="M30" s="165"/>
      <c r="N30" s="165"/>
      <c r="O30" s="165"/>
      <c r="P30" s="191"/>
      <c r="Q30" s="191"/>
      <c r="R30" s="192"/>
    </row>
    <row r="31" spans="1:18" ht="18" customHeight="1" x14ac:dyDescent="0.2">
      <c r="A31" s="145"/>
      <c r="B31" s="168">
        <v>5</v>
      </c>
      <c r="C31" s="169" t="str">
        <f>'ORÇ SANTA LUZIA'!E60</f>
        <v>SERVIÇOS DE OBRA DE ARTE CORRENTE (OAC)</v>
      </c>
      <c r="D31" s="170"/>
      <c r="E31" s="170"/>
      <c r="F31" s="170"/>
      <c r="G31" s="170"/>
      <c r="H31" s="169">
        <f>'ORÇ SANTA LUZIA'!K65</f>
        <v>23183.629999999997</v>
      </c>
      <c r="I31" s="171"/>
      <c r="J31" s="172"/>
      <c r="K31" s="172"/>
      <c r="L31" s="172"/>
      <c r="M31" s="172"/>
      <c r="N31" s="172"/>
      <c r="O31" s="172"/>
      <c r="P31" s="191"/>
      <c r="Q31" s="191"/>
      <c r="R31" s="192"/>
    </row>
    <row r="32" spans="1:18" ht="18" customHeight="1" thickBot="1" x14ac:dyDescent="0.25">
      <c r="A32" s="145"/>
      <c r="B32" s="174"/>
      <c r="C32" s="175"/>
      <c r="D32" s="176"/>
      <c r="E32" s="176"/>
      <c r="F32" s="176"/>
      <c r="G32" s="176"/>
      <c r="H32" s="177"/>
      <c r="I32" s="178">
        <f>(I30*H31)</f>
        <v>0</v>
      </c>
      <c r="J32" s="179">
        <f>(I32)</f>
        <v>0</v>
      </c>
      <c r="K32" s="179">
        <f>(K30*H31)</f>
        <v>23183.629999999997</v>
      </c>
      <c r="L32" s="179">
        <f>(K32)</f>
        <v>23183.629999999997</v>
      </c>
      <c r="M32" s="179">
        <f>(M30*H31)</f>
        <v>0</v>
      </c>
      <c r="N32" s="179">
        <f>(M32)</f>
        <v>0</v>
      </c>
      <c r="O32" s="179" t="e">
        <f>(#REF!)</f>
        <v>#REF!</v>
      </c>
      <c r="P32" s="191"/>
      <c r="Q32" s="191"/>
      <c r="R32" s="192"/>
    </row>
    <row r="33" spans="1:18" ht="18" customHeight="1" x14ac:dyDescent="0.2">
      <c r="A33" s="193"/>
      <c r="B33" s="194"/>
      <c r="C33" s="195"/>
      <c r="D33" s="195"/>
      <c r="E33" s="195"/>
      <c r="F33" s="195"/>
      <c r="G33" s="195"/>
      <c r="H33" s="196" t="s">
        <v>212</v>
      </c>
      <c r="I33" s="197">
        <f>(I34/$C$35)</f>
        <v>0.62948332385004102</v>
      </c>
      <c r="J33" s="198"/>
      <c r="K33" s="197">
        <f>(K34/$C$35)</f>
        <v>1.0100197004635789</v>
      </c>
      <c r="L33" s="198"/>
      <c r="M33" s="197">
        <f>(M34/$C$35)</f>
        <v>0.62130820163164424</v>
      </c>
      <c r="N33" s="198"/>
      <c r="O33" s="198"/>
      <c r="P33" s="198"/>
      <c r="Q33" s="198"/>
      <c r="R33" s="199"/>
    </row>
    <row r="34" spans="1:18" ht="18" customHeight="1" thickBot="1" x14ac:dyDescent="0.25">
      <c r="A34" s="193"/>
      <c r="B34" s="200"/>
      <c r="C34" s="201" t="s">
        <v>213</v>
      </c>
      <c r="D34" s="201"/>
      <c r="E34" s="201"/>
      <c r="F34" s="201"/>
      <c r="G34" s="201"/>
      <c r="H34" s="202" t="s">
        <v>214</v>
      </c>
      <c r="I34" s="203">
        <f>I26+I23+I20</f>
        <v>802080.28</v>
      </c>
      <c r="J34" s="203">
        <f>SUM(J18:J26)</f>
        <v>802080.28</v>
      </c>
      <c r="K34" s="203">
        <f>K32+K26+K23+K29</f>
        <v>1286955.2749999999</v>
      </c>
      <c r="L34" s="203">
        <f>SUM(L18:L26)</f>
        <v>472108.01</v>
      </c>
      <c r="M34" s="203">
        <f>M32+M29+M23</f>
        <v>791663.63500000001</v>
      </c>
      <c r="N34" s="203">
        <f>SUM(N18:N26)</f>
        <v>0</v>
      </c>
      <c r="O34" s="203" t="e">
        <f>SUM(O18:O26)</f>
        <v>#REF!</v>
      </c>
      <c r="P34" s="203" t="e">
        <f>SUM(P18:P26)</f>
        <v>#REF!</v>
      </c>
      <c r="Q34" s="203" t="e">
        <f>SUM(Q18:Q26)</f>
        <v>#REF!</v>
      </c>
      <c r="R34" s="181" t="e">
        <f>SUM(R18:R26)</f>
        <v>#REF!</v>
      </c>
    </row>
    <row r="35" spans="1:18" ht="18" hidden="1" customHeight="1" x14ac:dyDescent="0.2">
      <c r="A35" s="193"/>
      <c r="B35" s="200"/>
      <c r="C35" s="204">
        <f>IF((SUM(H18:H26))&gt;0,(SUM(H18:H26)),0.001)</f>
        <v>1274188.29</v>
      </c>
      <c r="D35" s="204"/>
      <c r="E35" s="204"/>
      <c r="F35" s="204"/>
      <c r="G35" s="204"/>
      <c r="H35" s="205"/>
      <c r="I35" s="206"/>
      <c r="J35" s="207"/>
      <c r="K35" s="206"/>
      <c r="L35" s="207"/>
      <c r="M35" s="206"/>
      <c r="N35" s="207"/>
      <c r="O35" s="207"/>
      <c r="P35" s="207"/>
      <c r="Q35" s="207"/>
      <c r="R35" s="208"/>
    </row>
    <row r="36" spans="1:18" ht="18" customHeight="1" x14ac:dyDescent="0.2">
      <c r="A36" s="193"/>
      <c r="B36" s="200"/>
      <c r="C36" s="201" t="s">
        <v>215</v>
      </c>
      <c r="D36" s="201"/>
      <c r="E36" s="201"/>
      <c r="F36" s="201"/>
      <c r="G36" s="201"/>
      <c r="H36" s="209" t="s">
        <v>212</v>
      </c>
      <c r="I36" s="210">
        <f>(I33)</f>
        <v>0.62948332385004102</v>
      </c>
      <c r="J36" s="211"/>
      <c r="K36" s="210">
        <f>(I36+K33)</f>
        <v>1.6395030243136199</v>
      </c>
      <c r="L36" s="211"/>
      <c r="M36" s="210">
        <f>(K36+M33)</f>
        <v>2.2608112259452642</v>
      </c>
      <c r="N36" s="211"/>
      <c r="O36" s="211"/>
      <c r="P36" s="211"/>
      <c r="Q36" s="211"/>
      <c r="R36" s="167"/>
    </row>
    <row r="37" spans="1:18" ht="18" customHeight="1" thickBot="1" x14ac:dyDescent="0.25">
      <c r="A37" s="193"/>
      <c r="B37" s="212"/>
      <c r="C37" s="213"/>
      <c r="D37" s="213"/>
      <c r="E37" s="213"/>
      <c r="F37" s="213"/>
      <c r="G37" s="213"/>
      <c r="H37" s="202" t="s">
        <v>216</v>
      </c>
      <c r="I37" s="203">
        <f>(I34)</f>
        <v>802080.28</v>
      </c>
      <c r="J37" s="214"/>
      <c r="K37" s="203">
        <f>(I37+K34)</f>
        <v>2089035.5549999999</v>
      </c>
      <c r="L37" s="214"/>
      <c r="M37" s="203">
        <f>(K37+M34)</f>
        <v>2880699.19</v>
      </c>
      <c r="N37" s="214"/>
      <c r="O37" s="214"/>
      <c r="P37" s="214"/>
      <c r="Q37" s="214"/>
      <c r="R37" s="215"/>
    </row>
    <row r="38" spans="1:18" ht="5.25" customHeight="1" x14ac:dyDescent="0.2">
      <c r="A38" s="130" t="s">
        <v>217</v>
      </c>
      <c r="B38" s="216"/>
      <c r="C38" s="217"/>
      <c r="D38" s="217"/>
      <c r="E38" s="217"/>
      <c r="F38" s="217"/>
      <c r="G38" s="217"/>
      <c r="H38" s="218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8" ht="15.75" x14ac:dyDescent="0.2">
      <c r="A39" s="130"/>
      <c r="B39" s="216"/>
      <c r="C39" s="220"/>
      <c r="D39" s="220"/>
      <c r="E39" s="220"/>
      <c r="F39" s="220"/>
      <c r="G39" s="220"/>
      <c r="H39" s="221"/>
      <c r="I39" s="222"/>
      <c r="J39" s="222"/>
      <c r="K39" s="222"/>
      <c r="L39" s="222"/>
      <c r="M39" s="222"/>
      <c r="N39" s="222"/>
      <c r="O39" s="222"/>
      <c r="P39" s="219"/>
      <c r="Q39" s="219"/>
    </row>
    <row r="40" spans="1:18" ht="15.75" x14ac:dyDescent="0.2">
      <c r="A40" s="130"/>
      <c r="B40" s="216"/>
      <c r="C40" s="220"/>
      <c r="D40" s="220"/>
      <c r="E40" s="220"/>
      <c r="F40" s="220"/>
      <c r="G40" s="220"/>
      <c r="H40" s="221"/>
      <c r="I40" s="222"/>
      <c r="J40" s="222"/>
      <c r="K40" s="222"/>
      <c r="L40" s="222"/>
      <c r="M40" s="222"/>
      <c r="N40" s="222"/>
      <c r="O40" s="222"/>
      <c r="P40" s="219"/>
      <c r="Q40" s="219"/>
    </row>
    <row r="41" spans="1:18" ht="86.25" customHeight="1" x14ac:dyDescent="0.2">
      <c r="A41" s="130"/>
      <c r="B41" s="216"/>
      <c r="C41" s="265" t="s">
        <v>220</v>
      </c>
      <c r="D41" s="265"/>
      <c r="E41" s="265"/>
      <c r="F41" s="220"/>
      <c r="G41" s="220"/>
      <c r="H41" s="221"/>
      <c r="I41" s="222"/>
      <c r="J41" s="222"/>
      <c r="K41" s="222"/>
      <c r="L41" s="222"/>
      <c r="M41" s="222"/>
      <c r="N41" s="222"/>
      <c r="O41" s="222"/>
      <c r="P41" s="219"/>
      <c r="Q41" s="219"/>
    </row>
    <row r="42" spans="1:18" ht="15.75" x14ac:dyDescent="0.2">
      <c r="A42" s="130"/>
      <c r="B42" s="216"/>
      <c r="C42" s="220"/>
      <c r="D42" s="220"/>
      <c r="E42" s="220"/>
      <c r="F42" s="220"/>
      <c r="G42" s="220"/>
      <c r="H42" s="221"/>
      <c r="I42" s="222"/>
      <c r="J42" s="222"/>
      <c r="K42" s="222"/>
      <c r="L42" s="222"/>
      <c r="M42" s="222"/>
      <c r="N42" s="222"/>
      <c r="O42" s="222"/>
      <c r="P42" s="219"/>
      <c r="Q42" s="219"/>
    </row>
    <row r="43" spans="1:18" ht="15.75" x14ac:dyDescent="0.2">
      <c r="A43" s="130"/>
      <c r="B43" s="216"/>
      <c r="C43" s="220"/>
      <c r="D43" s="220"/>
      <c r="E43" s="220"/>
      <c r="F43" s="220"/>
      <c r="G43" s="220"/>
      <c r="H43" s="221"/>
      <c r="I43" s="222"/>
      <c r="J43" s="222"/>
      <c r="K43" s="222"/>
      <c r="L43" s="222"/>
      <c r="M43" s="222"/>
      <c r="N43" s="222"/>
      <c r="O43" s="222"/>
      <c r="P43" s="219"/>
      <c r="Q43" s="219"/>
    </row>
    <row r="44" spans="1:18" ht="15.75" x14ac:dyDescent="0.2">
      <c r="A44" s="130"/>
      <c r="B44" s="216"/>
      <c r="C44" s="220"/>
      <c r="D44" s="220"/>
      <c r="E44" s="220"/>
      <c r="F44" s="220"/>
      <c r="G44" s="220"/>
      <c r="H44" s="221"/>
      <c r="I44" s="222"/>
      <c r="J44" s="222"/>
      <c r="K44" s="222"/>
      <c r="L44" s="222"/>
      <c r="M44" s="222"/>
      <c r="N44" s="222"/>
      <c r="O44" s="222"/>
      <c r="P44" s="219"/>
      <c r="Q44" s="219"/>
    </row>
    <row r="45" spans="1:18" ht="78.75" customHeight="1" x14ac:dyDescent="0.25">
      <c r="B45" s="216"/>
      <c r="C45" s="275" t="s">
        <v>218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</row>
    <row r="46" spans="1:18" ht="15.75" x14ac:dyDescent="0.2">
      <c r="B46" s="216"/>
    </row>
    <row r="47" spans="1:18" ht="15.75" x14ac:dyDescent="0.2">
      <c r="B47" s="216"/>
    </row>
    <row r="48" spans="1:18" ht="15.75" x14ac:dyDescent="0.2">
      <c r="B48" s="216"/>
    </row>
    <row r="49" spans="1:242" ht="15.75" x14ac:dyDescent="0.2">
      <c r="B49" s="216"/>
    </row>
    <row r="50" spans="1:242" ht="15.75" x14ac:dyDescent="0.2">
      <c r="B50" s="216"/>
    </row>
    <row r="51" spans="1:242" ht="15.75" x14ac:dyDescent="0.2">
      <c r="B51" s="216"/>
    </row>
    <row r="52" spans="1:242" s="128" customFormat="1" ht="15.75" x14ac:dyDescent="0.2">
      <c r="A52" s="119"/>
      <c r="B52" s="216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</row>
    <row r="53" spans="1:242" s="128" customFormat="1" ht="15.75" x14ac:dyDescent="0.2">
      <c r="A53" s="119"/>
      <c r="B53" s="216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</row>
    <row r="54" spans="1:242" s="128" customFormat="1" ht="15.75" x14ac:dyDescent="0.2">
      <c r="A54" s="119"/>
      <c r="B54" s="216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</row>
    <row r="55" spans="1:242" s="128" customFormat="1" ht="15.75" x14ac:dyDescent="0.2">
      <c r="A55" s="119"/>
      <c r="B55" s="216"/>
      <c r="H55" s="118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</row>
    <row r="56" spans="1:242" s="128" customFormat="1" ht="15.75" x14ac:dyDescent="0.2">
      <c r="A56" s="119"/>
      <c r="B56" s="216"/>
      <c r="H56" s="118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</row>
    <row r="57" spans="1:242" s="128" customFormat="1" ht="15.75" x14ac:dyDescent="0.2">
      <c r="A57" s="119"/>
      <c r="B57" s="216"/>
      <c r="H57" s="118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</row>
    <row r="58" spans="1:242" s="128" customFormat="1" ht="15.75" x14ac:dyDescent="0.2">
      <c r="A58" s="119"/>
      <c r="B58" s="216"/>
      <c r="H58" s="118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</row>
    <row r="59" spans="1:242" s="128" customFormat="1" ht="15.75" x14ac:dyDescent="0.2">
      <c r="A59" s="119"/>
      <c r="B59" s="216"/>
      <c r="H59" s="118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</row>
    <row r="60" spans="1:242" s="128" customFormat="1" ht="15.75" x14ac:dyDescent="0.2">
      <c r="A60" s="119"/>
      <c r="B60" s="216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</row>
    <row r="61" spans="1:242" s="128" customFormat="1" ht="15.75" x14ac:dyDescent="0.2">
      <c r="A61" s="119"/>
      <c r="B61" s="216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</row>
    <row r="62" spans="1:242" s="128" customFormat="1" ht="15.75" x14ac:dyDescent="0.2">
      <c r="A62" s="119"/>
      <c r="B62" s="216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</row>
    <row r="63" spans="1:242" s="128" customFormat="1" ht="15.75" x14ac:dyDescent="0.2">
      <c r="A63" s="119"/>
      <c r="B63" s="216"/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</row>
    <row r="64" spans="1:242" s="128" customFormat="1" ht="15.75" x14ac:dyDescent="0.2">
      <c r="A64" s="119"/>
      <c r="B64" s="216"/>
      <c r="H64" s="118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</row>
    <row r="65" spans="1:242" s="128" customFormat="1" ht="15.75" x14ac:dyDescent="0.2">
      <c r="A65" s="119"/>
      <c r="B65" s="216"/>
      <c r="H65" s="118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</row>
    <row r="66" spans="1:242" s="128" customFormat="1" ht="15.75" x14ac:dyDescent="0.2">
      <c r="A66" s="119"/>
      <c r="B66" s="216"/>
      <c r="H66" s="118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</row>
    <row r="67" spans="1:242" s="128" customFormat="1" ht="15.75" x14ac:dyDescent="0.2">
      <c r="A67" s="119"/>
      <c r="B67" s="216"/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</row>
    <row r="68" spans="1:242" s="128" customFormat="1" ht="15.75" x14ac:dyDescent="0.2">
      <c r="A68" s="119"/>
      <c r="B68" s="216"/>
      <c r="H68" s="118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</row>
    <row r="69" spans="1:242" s="128" customFormat="1" ht="15.75" x14ac:dyDescent="0.2">
      <c r="A69" s="119"/>
      <c r="B69" s="216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</row>
    <row r="70" spans="1:242" s="128" customFormat="1" ht="15.75" x14ac:dyDescent="0.2">
      <c r="A70" s="119"/>
      <c r="B70" s="216"/>
      <c r="H70" s="118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</row>
    <row r="71" spans="1:242" s="128" customFormat="1" ht="15.75" x14ac:dyDescent="0.2">
      <c r="A71" s="119"/>
      <c r="B71" s="216"/>
      <c r="H71" s="118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</row>
    <row r="72" spans="1:242" s="128" customFormat="1" ht="15.75" x14ac:dyDescent="0.2">
      <c r="A72" s="119"/>
      <c r="B72" s="216"/>
      <c r="H72" s="118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</row>
    <row r="73" spans="1:242" s="128" customFormat="1" ht="15.75" x14ac:dyDescent="0.2">
      <c r="A73" s="119"/>
      <c r="B73" s="216"/>
      <c r="H73" s="118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</row>
    <row r="74" spans="1:242" s="128" customFormat="1" ht="15.75" x14ac:dyDescent="0.2">
      <c r="A74" s="119"/>
      <c r="B74" s="216"/>
      <c r="H74" s="118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</row>
    <row r="75" spans="1:242" s="128" customFormat="1" ht="15.75" x14ac:dyDescent="0.2">
      <c r="A75" s="119"/>
      <c r="B75" s="216"/>
      <c r="H75" s="118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</row>
    <row r="76" spans="1:242" s="128" customFormat="1" ht="15.75" x14ac:dyDescent="0.2">
      <c r="A76" s="119"/>
      <c r="B76" s="216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</row>
    <row r="77" spans="1:242" s="128" customFormat="1" ht="15.75" x14ac:dyDescent="0.2">
      <c r="A77" s="119"/>
      <c r="B77" s="216"/>
      <c r="H77" s="118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</row>
    <row r="78" spans="1:242" s="128" customFormat="1" ht="15.75" x14ac:dyDescent="0.2">
      <c r="A78" s="119"/>
      <c r="B78" s="216"/>
      <c r="H78" s="118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</row>
    <row r="79" spans="1:242" s="128" customFormat="1" ht="15.75" x14ac:dyDescent="0.2">
      <c r="A79" s="119"/>
      <c r="B79" s="216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</row>
    <row r="80" spans="1:242" s="128" customFormat="1" ht="15.75" x14ac:dyDescent="0.2">
      <c r="A80" s="119"/>
      <c r="B80" s="216"/>
      <c r="H80" s="118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</row>
    <row r="81" spans="1:242" s="128" customFormat="1" ht="15.75" x14ac:dyDescent="0.2">
      <c r="A81" s="119"/>
      <c r="B81" s="216"/>
      <c r="H81" s="118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</row>
    <row r="82" spans="1:242" s="128" customFormat="1" ht="15.75" x14ac:dyDescent="0.2">
      <c r="A82" s="119"/>
      <c r="B82" s="216"/>
      <c r="H82" s="118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</row>
    <row r="83" spans="1:242" s="128" customFormat="1" ht="15.75" x14ac:dyDescent="0.2">
      <c r="A83" s="119"/>
      <c r="B83" s="216"/>
      <c r="H83" s="118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</row>
    <row r="84" spans="1:242" s="128" customFormat="1" ht="15.75" x14ac:dyDescent="0.2">
      <c r="A84" s="119"/>
      <c r="B84" s="216"/>
      <c r="H84" s="118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</row>
    <row r="85" spans="1:242" s="128" customFormat="1" ht="15.75" x14ac:dyDescent="0.2">
      <c r="A85" s="119"/>
      <c r="B85" s="216"/>
      <c r="H85" s="118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</row>
    <row r="86" spans="1:242" s="128" customFormat="1" ht="15.75" x14ac:dyDescent="0.2">
      <c r="A86" s="119"/>
      <c r="B86" s="216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</row>
    <row r="87" spans="1:242" s="128" customFormat="1" ht="15.75" x14ac:dyDescent="0.2">
      <c r="A87" s="119"/>
      <c r="B87" s="216"/>
      <c r="H87" s="118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</row>
    <row r="88" spans="1:242" s="128" customFormat="1" ht="15.75" x14ac:dyDescent="0.2">
      <c r="A88" s="119"/>
      <c r="B88" s="216"/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</row>
    <row r="89" spans="1:242" s="128" customFormat="1" ht="15.75" x14ac:dyDescent="0.2">
      <c r="A89" s="119"/>
      <c r="B89" s="216"/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</row>
    <row r="90" spans="1:242" s="128" customFormat="1" ht="15.75" x14ac:dyDescent="0.2">
      <c r="A90" s="119"/>
      <c r="B90" s="216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</row>
    <row r="91" spans="1:242" s="128" customFormat="1" ht="15.75" x14ac:dyDescent="0.2">
      <c r="A91" s="119"/>
      <c r="B91" s="216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</row>
    <row r="92" spans="1:242" s="128" customFormat="1" ht="15.75" x14ac:dyDescent="0.2">
      <c r="A92" s="119"/>
      <c r="B92" s="216"/>
      <c r="H92" s="118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</row>
    <row r="93" spans="1:242" s="128" customFormat="1" ht="15.75" x14ac:dyDescent="0.2">
      <c r="A93" s="119"/>
      <c r="B93" s="216"/>
      <c r="H93" s="118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</row>
    <row r="94" spans="1:242" s="128" customFormat="1" ht="15.75" x14ac:dyDescent="0.2">
      <c r="A94" s="119"/>
      <c r="B94" s="216"/>
      <c r="H94" s="118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</row>
    <row r="95" spans="1:242" s="128" customFormat="1" ht="15.75" x14ac:dyDescent="0.2">
      <c r="A95" s="119"/>
      <c r="B95" s="216"/>
      <c r="H95" s="118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</row>
    <row r="96" spans="1:242" s="128" customFormat="1" x14ac:dyDescent="0.2">
      <c r="A96" s="119"/>
      <c r="B96" s="223"/>
      <c r="H96" s="118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</row>
    <row r="97" spans="1:242" s="128" customFormat="1" x14ac:dyDescent="0.2">
      <c r="A97" s="119"/>
      <c r="B97" s="223"/>
      <c r="H97" s="118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</row>
    <row r="98" spans="1:242" s="128" customFormat="1" x14ac:dyDescent="0.2">
      <c r="A98" s="119"/>
      <c r="B98" s="223"/>
      <c r="H98" s="118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</row>
    <row r="99" spans="1:242" s="128" customFormat="1" x14ac:dyDescent="0.2">
      <c r="A99" s="119"/>
      <c r="B99" s="223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</row>
    <row r="100" spans="1:242" s="128" customFormat="1" x14ac:dyDescent="0.2">
      <c r="A100" s="119"/>
      <c r="B100" s="223"/>
      <c r="H100" s="118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</row>
    <row r="101" spans="1:242" s="128" customFormat="1" x14ac:dyDescent="0.2">
      <c r="A101" s="119"/>
      <c r="B101" s="223"/>
      <c r="H101" s="118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</row>
    <row r="102" spans="1:242" s="128" customFormat="1" x14ac:dyDescent="0.2">
      <c r="A102" s="119"/>
      <c r="B102" s="223"/>
      <c r="H102" s="118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</row>
    <row r="103" spans="1:242" s="128" customFormat="1" x14ac:dyDescent="0.2">
      <c r="A103" s="119"/>
      <c r="B103" s="223"/>
      <c r="H103" s="118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</row>
    <row r="104" spans="1:242" s="128" customFormat="1" x14ac:dyDescent="0.2">
      <c r="A104" s="119"/>
      <c r="B104" s="223"/>
      <c r="H104" s="118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</row>
    <row r="105" spans="1:242" s="128" customFormat="1" x14ac:dyDescent="0.2">
      <c r="A105" s="119"/>
      <c r="B105" s="223"/>
      <c r="H105" s="118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</row>
    <row r="106" spans="1:242" s="128" customFormat="1" x14ac:dyDescent="0.2">
      <c r="A106" s="119"/>
      <c r="B106" s="223"/>
      <c r="H106" s="118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</row>
    <row r="107" spans="1:242" s="128" customFormat="1" x14ac:dyDescent="0.2">
      <c r="A107" s="119"/>
      <c r="B107" s="223"/>
      <c r="H107" s="118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</row>
    <row r="108" spans="1:242" s="128" customFormat="1" x14ac:dyDescent="0.2">
      <c r="A108" s="119"/>
      <c r="B108" s="223"/>
      <c r="H108" s="118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</row>
    <row r="109" spans="1:242" s="128" customFormat="1" x14ac:dyDescent="0.2">
      <c r="A109" s="119"/>
      <c r="B109" s="223"/>
      <c r="H109" s="118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</row>
    <row r="110" spans="1:242" s="128" customFormat="1" x14ac:dyDescent="0.2">
      <c r="A110" s="119"/>
      <c r="B110" s="223"/>
      <c r="H110" s="118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</row>
    <row r="111" spans="1:242" s="128" customFormat="1" x14ac:dyDescent="0.2">
      <c r="A111" s="119"/>
      <c r="B111" s="223"/>
      <c r="H111" s="118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</row>
    <row r="112" spans="1:242" s="128" customFormat="1" x14ac:dyDescent="0.2">
      <c r="A112" s="119"/>
      <c r="B112" s="223"/>
      <c r="H112" s="118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</row>
    <row r="113" spans="1:242" s="128" customFormat="1" x14ac:dyDescent="0.2">
      <c r="A113" s="119"/>
      <c r="B113" s="223"/>
      <c r="H113" s="118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</row>
    <row r="114" spans="1:242" s="128" customFormat="1" x14ac:dyDescent="0.2">
      <c r="A114" s="119"/>
      <c r="B114" s="223"/>
      <c r="H114" s="118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</row>
  </sheetData>
  <mergeCells count="8">
    <mergeCell ref="C45:O45"/>
    <mergeCell ref="B2:O2"/>
    <mergeCell ref="B6:O6"/>
    <mergeCell ref="B8:H8"/>
    <mergeCell ref="B9:G9"/>
    <mergeCell ref="B10:I10"/>
    <mergeCell ref="B17:H17"/>
    <mergeCell ref="C41:E41"/>
  </mergeCells>
  <conditionalFormatting sqref="I19:Q19 I22:Q22 J25:Q25 I28:O28 I31:O31">
    <cfRule type="cellIs" dxfId="3" priority="2" stopIfTrue="1" operator="notEqual">
      <formula>I18</formula>
    </cfRule>
  </conditionalFormatting>
  <conditionalFormatting sqref="I25">
    <cfRule type="cellIs" dxfId="2" priority="1" stopIfTrue="1" operator="notEqual">
      <formula>I24</formula>
    </cfRule>
  </conditionalFormatting>
  <printOptions horizontalCentered="1"/>
  <pageMargins left="0.19685039370078741" right="0.19685039370078741" top="0" bottom="0" header="0.51181102362204722" footer="0"/>
  <pageSetup paperSize="9" scale="65" fitToWidth="30" orientation="landscape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3"/>
  <sheetViews>
    <sheetView view="pageBreakPreview" zoomScaleNormal="100" zoomScaleSheetLayoutView="100" workbookViewId="0">
      <selection activeCell="E69" sqref="E69:G69"/>
    </sheetView>
  </sheetViews>
  <sheetFormatPr defaultRowHeight="15" x14ac:dyDescent="0.25"/>
  <cols>
    <col min="1" max="1" width="6.42578125" customWidth="1"/>
    <col min="2" max="2" width="11.5703125" customWidth="1"/>
    <col min="3" max="3" width="10.7109375" customWidth="1"/>
    <col min="4" max="4" width="12.140625" hidden="1" customWidth="1"/>
    <col min="5" max="5" width="30.5703125" customWidth="1"/>
    <col min="6" max="6" width="6.7109375" customWidth="1"/>
    <col min="7" max="7" width="17.42578125" customWidth="1"/>
    <col min="8" max="8" width="14.42578125" customWidth="1"/>
    <col min="9" max="9" width="11.85546875" customWidth="1"/>
    <col min="10" max="10" width="14.42578125" customWidth="1"/>
    <col min="11" max="11" width="18.140625" bestFit="1" customWidth="1"/>
  </cols>
  <sheetData>
    <row r="3" spans="1:13" ht="27" x14ac:dyDescent="0.25">
      <c r="A3" s="243" t="s">
        <v>194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6" spans="1:13" ht="3" customHeight="1" x14ac:dyDescent="0.25"/>
    <row r="7" spans="1:13" x14ac:dyDescent="0.25">
      <c r="A7" s="244" t="s">
        <v>202</v>
      </c>
      <c r="B7" s="244"/>
      <c r="C7" s="244"/>
      <c r="D7" s="244"/>
      <c r="E7" s="244"/>
      <c r="F7" s="244"/>
      <c r="G7" s="244"/>
    </row>
    <row r="8" spans="1:13" x14ac:dyDescent="0.25">
      <c r="A8" s="245" t="s">
        <v>195</v>
      </c>
      <c r="B8" s="246"/>
      <c r="C8" s="246"/>
      <c r="D8" s="246"/>
      <c r="E8" s="246"/>
      <c r="F8" s="246"/>
      <c r="H8" s="111" t="s">
        <v>196</v>
      </c>
      <c r="I8" s="112">
        <v>43340</v>
      </c>
    </row>
    <row r="9" spans="1:13" ht="15" customHeight="1" x14ac:dyDescent="0.25">
      <c r="A9" s="245" t="s">
        <v>205</v>
      </c>
      <c r="B9" s="246"/>
      <c r="C9" s="246"/>
      <c r="D9" s="246"/>
      <c r="E9" s="246"/>
      <c r="F9" s="246"/>
      <c r="G9" s="246"/>
      <c r="H9" s="111" t="s">
        <v>197</v>
      </c>
    </row>
    <row r="11" spans="1:13" ht="18.75" x14ac:dyDescent="0.25">
      <c r="A11" s="247" t="s">
        <v>69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9"/>
    </row>
    <row r="12" spans="1:13" ht="18.75" x14ac:dyDescent="0.25">
      <c r="A12" s="271" t="s">
        <v>68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3"/>
    </row>
    <row r="13" spans="1:13" ht="12" customHeight="1" x14ac:dyDescent="0.25">
      <c r="A13" s="15"/>
      <c r="B13" s="231"/>
      <c r="C13" s="231"/>
      <c r="D13" s="231"/>
      <c r="E13" s="231"/>
      <c r="F13" s="231"/>
      <c r="G13" s="231"/>
      <c r="H13" s="231"/>
      <c r="I13" s="274" t="s">
        <v>67</v>
      </c>
      <c r="J13" s="274"/>
      <c r="K13" s="75">
        <v>14.02</v>
      </c>
    </row>
    <row r="14" spans="1:13" x14ac:dyDescent="0.25">
      <c r="A14" s="14"/>
      <c r="B14" s="13"/>
      <c r="C14" s="13"/>
      <c r="D14" s="13"/>
      <c r="E14" s="13"/>
      <c r="F14" s="13"/>
      <c r="G14" s="13"/>
      <c r="H14" s="12"/>
      <c r="I14" s="274" t="s">
        <v>66</v>
      </c>
      <c r="J14" s="274"/>
      <c r="K14" s="75">
        <v>20.97</v>
      </c>
    </row>
    <row r="15" spans="1:13" ht="18.75" x14ac:dyDescent="0.25">
      <c r="A15" s="255" t="s">
        <v>221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M15" s="11"/>
    </row>
    <row r="16" spans="1:13" ht="51.75" x14ac:dyDescent="0.25">
      <c r="A16" s="228" t="s">
        <v>65</v>
      </c>
      <c r="B16" s="228" t="s">
        <v>64</v>
      </c>
      <c r="C16" s="228" t="s">
        <v>63</v>
      </c>
      <c r="D16" s="10" t="s">
        <v>62</v>
      </c>
      <c r="E16" s="228" t="s">
        <v>61</v>
      </c>
      <c r="F16" s="228" t="s">
        <v>60</v>
      </c>
      <c r="G16" s="10" t="s">
        <v>59</v>
      </c>
      <c r="H16" s="10" t="s">
        <v>105</v>
      </c>
      <c r="I16" s="10" t="s">
        <v>58</v>
      </c>
      <c r="J16" s="49" t="s">
        <v>57</v>
      </c>
      <c r="K16" s="49" t="s">
        <v>56</v>
      </c>
    </row>
    <row r="17" spans="1:13" ht="21" customHeight="1" x14ac:dyDescent="0.25">
      <c r="A17" s="230">
        <v>1</v>
      </c>
      <c r="B17" s="8"/>
      <c r="C17" s="8"/>
      <c r="D17" s="8"/>
      <c r="E17" s="232" t="s">
        <v>167</v>
      </c>
      <c r="F17" s="6"/>
      <c r="G17" s="6"/>
      <c r="H17" s="22"/>
      <c r="I17" s="22"/>
      <c r="J17" s="50"/>
      <c r="K17" s="50"/>
    </row>
    <row r="18" spans="1:13" x14ac:dyDescent="0.25">
      <c r="A18" s="233" t="s">
        <v>54</v>
      </c>
      <c r="B18" s="2">
        <v>11340</v>
      </c>
      <c r="C18" s="2" t="s">
        <v>183</v>
      </c>
      <c r="D18" s="2" t="s">
        <v>5</v>
      </c>
      <c r="E18" s="58" t="s">
        <v>168</v>
      </c>
      <c r="F18" s="233" t="s">
        <v>27</v>
      </c>
      <c r="G18" s="84">
        <v>64</v>
      </c>
      <c r="H18" s="102">
        <v>166.72</v>
      </c>
      <c r="I18" s="102">
        <v>190.78</v>
      </c>
      <c r="J18" s="102">
        <f>ROUND(G18*H18,2)</f>
        <v>10670.08</v>
      </c>
      <c r="K18" s="102">
        <f>ROUND(I18*G18,2)</f>
        <v>12209.92</v>
      </c>
      <c r="M18" s="74"/>
    </row>
    <row r="19" spans="1:13" x14ac:dyDescent="0.25">
      <c r="A19" s="233" t="s">
        <v>52</v>
      </c>
      <c r="B19" s="83">
        <v>10767</v>
      </c>
      <c r="C19" s="2" t="s">
        <v>183</v>
      </c>
      <c r="D19" s="2" t="s">
        <v>5</v>
      </c>
      <c r="E19" s="58" t="s">
        <v>169</v>
      </c>
      <c r="F19" s="233" t="s">
        <v>27</v>
      </c>
      <c r="G19" s="84">
        <v>164</v>
      </c>
      <c r="H19" s="102">
        <v>397.36</v>
      </c>
      <c r="I19" s="102">
        <v>466.8</v>
      </c>
      <c r="J19" s="102">
        <f t="shared" ref="J19:J20" si="0">ROUND(G19*H19,2)</f>
        <v>65167.040000000001</v>
      </c>
      <c r="K19" s="102">
        <f t="shared" ref="K19:K20" si="1">ROUND(I19*G19,2)</f>
        <v>76555.199999999997</v>
      </c>
    </row>
    <row r="20" spans="1:13" ht="64.5" customHeight="1" x14ac:dyDescent="0.25">
      <c r="A20" s="233" t="s">
        <v>94</v>
      </c>
      <c r="B20" s="83" t="s">
        <v>119</v>
      </c>
      <c r="C20" s="2" t="s">
        <v>188</v>
      </c>
      <c r="D20" s="2" t="s">
        <v>5</v>
      </c>
      <c r="E20" s="58" t="s">
        <v>170</v>
      </c>
      <c r="F20" s="233" t="s">
        <v>14</v>
      </c>
      <c r="G20" s="84">
        <v>1</v>
      </c>
      <c r="H20" s="102">
        <v>37687.4</v>
      </c>
      <c r="I20" s="102">
        <v>45590.45</v>
      </c>
      <c r="J20" s="102">
        <f t="shared" si="0"/>
        <v>37687.4</v>
      </c>
      <c r="K20" s="102">
        <f t="shared" si="1"/>
        <v>45590.45</v>
      </c>
    </row>
    <row r="21" spans="1:13" x14ac:dyDescent="0.25">
      <c r="A21" s="250" t="s">
        <v>2</v>
      </c>
      <c r="B21" s="251"/>
      <c r="C21" s="251"/>
      <c r="D21" s="251"/>
      <c r="E21" s="251"/>
      <c r="F21" s="251"/>
      <c r="G21" s="251"/>
      <c r="H21" s="251"/>
      <c r="I21" s="252"/>
      <c r="J21" s="51">
        <f>SUM(J18:J20)</f>
        <v>113524.51999999999</v>
      </c>
      <c r="K21" s="51">
        <f>SUM(K18:K20)</f>
        <v>134355.57</v>
      </c>
    </row>
    <row r="22" spans="1:13" ht="33" customHeight="1" x14ac:dyDescent="0.25">
      <c r="A22" s="230">
        <v>2</v>
      </c>
      <c r="B22" s="8"/>
      <c r="C22" s="8"/>
      <c r="D22" s="8"/>
      <c r="E22" s="232" t="s">
        <v>171</v>
      </c>
      <c r="F22" s="6"/>
      <c r="G22" s="6"/>
      <c r="H22" s="22"/>
      <c r="I22" s="22"/>
      <c r="J22" s="50"/>
      <c r="K22" s="50"/>
    </row>
    <row r="23" spans="1:13" x14ac:dyDescent="0.25">
      <c r="A23" s="5" t="s">
        <v>49</v>
      </c>
      <c r="B23" s="4" t="s">
        <v>199</v>
      </c>
      <c r="C23" s="4" t="s">
        <v>6</v>
      </c>
      <c r="D23" s="4" t="s">
        <v>5</v>
      </c>
      <c r="E23" s="59" t="s">
        <v>172</v>
      </c>
      <c r="F23" s="3" t="s">
        <v>27</v>
      </c>
      <c r="G23" s="107">
        <v>290400</v>
      </c>
      <c r="H23" s="103">
        <v>0.52</v>
      </c>
      <c r="I23" s="102">
        <v>0.62</v>
      </c>
      <c r="J23" s="102">
        <f t="shared" ref="J23:J24" si="2">ROUND(G23*H23,2)</f>
        <v>151008</v>
      </c>
      <c r="K23" s="102">
        <f>ROUND(I23*G23,2)</f>
        <v>180048</v>
      </c>
    </row>
    <row r="24" spans="1:13" x14ac:dyDescent="0.25">
      <c r="A24" s="5" t="s">
        <v>48</v>
      </c>
      <c r="B24" s="4" t="s">
        <v>119</v>
      </c>
      <c r="C24" s="4" t="s">
        <v>188</v>
      </c>
      <c r="D24" s="4" t="s">
        <v>5</v>
      </c>
      <c r="E24" s="101" t="s">
        <v>173</v>
      </c>
      <c r="F24" s="3" t="s">
        <v>3</v>
      </c>
      <c r="G24" s="107">
        <v>96800</v>
      </c>
      <c r="H24" s="103">
        <v>0.12</v>
      </c>
      <c r="I24" s="102">
        <v>0.14000000000000001</v>
      </c>
      <c r="J24" s="102">
        <f t="shared" si="2"/>
        <v>11616</v>
      </c>
      <c r="K24" s="102">
        <f>ROUND(I24*G24,2)</f>
        <v>13552</v>
      </c>
    </row>
    <row r="25" spans="1:13" x14ac:dyDescent="0.25">
      <c r="A25" s="262" t="s">
        <v>2</v>
      </c>
      <c r="B25" s="263"/>
      <c r="C25" s="263"/>
      <c r="D25" s="263"/>
      <c r="E25" s="263"/>
      <c r="F25" s="263"/>
      <c r="G25" s="263"/>
      <c r="H25" s="263"/>
      <c r="I25" s="264"/>
      <c r="J25" s="51">
        <f>SUM(J23:J24)</f>
        <v>162624</v>
      </c>
      <c r="K25" s="51">
        <f>SUM(K23:K24)</f>
        <v>193600</v>
      </c>
    </row>
    <row r="26" spans="1:13" ht="15" hidden="1" customHeight="1" x14ac:dyDescent="0.25">
      <c r="A26" s="230">
        <v>3</v>
      </c>
      <c r="B26" s="8"/>
      <c r="C26" s="8"/>
      <c r="D26" s="8"/>
      <c r="E26" s="232" t="s">
        <v>42</v>
      </c>
      <c r="F26" s="6"/>
      <c r="G26" s="6"/>
      <c r="H26" s="22"/>
      <c r="I26" s="22"/>
      <c r="J26" s="50"/>
      <c r="K26" s="50"/>
    </row>
    <row r="27" spans="1:13" ht="105" hidden="1" x14ac:dyDescent="0.25">
      <c r="A27" s="233" t="s">
        <v>41</v>
      </c>
      <c r="B27" s="2">
        <v>94996</v>
      </c>
      <c r="C27" s="2" t="s">
        <v>6</v>
      </c>
      <c r="D27" s="2" t="s">
        <v>5</v>
      </c>
      <c r="E27" s="58" t="s">
        <v>112</v>
      </c>
      <c r="F27" s="233" t="s">
        <v>27</v>
      </c>
      <c r="G27" s="84">
        <v>0</v>
      </c>
      <c r="H27" s="84">
        <v>83.62</v>
      </c>
      <c r="I27" s="84" t="e">
        <f>IF(D27="S",(#REF!/100)*H27,(#REF!/100)*H27)+H27</f>
        <v>#REF!</v>
      </c>
      <c r="J27" s="84">
        <f>G27*H27</f>
        <v>0</v>
      </c>
      <c r="K27" s="84" t="e">
        <f>G27*I27</f>
        <v>#REF!</v>
      </c>
    </row>
    <row r="28" spans="1:13" hidden="1" x14ac:dyDescent="0.25">
      <c r="A28" s="250" t="s">
        <v>2</v>
      </c>
      <c r="B28" s="251"/>
      <c r="C28" s="251"/>
      <c r="D28" s="251"/>
      <c r="E28" s="251"/>
      <c r="F28" s="251"/>
      <c r="G28" s="251"/>
      <c r="H28" s="251"/>
      <c r="I28" s="252"/>
      <c r="J28" s="51">
        <f>J27</f>
        <v>0</v>
      </c>
      <c r="K28" s="51" t="e">
        <f>K27</f>
        <v>#REF!</v>
      </c>
    </row>
    <row r="29" spans="1:13" ht="21" customHeight="1" x14ac:dyDescent="0.25">
      <c r="A29" s="230">
        <v>3</v>
      </c>
      <c r="B29" s="232"/>
      <c r="C29" s="232"/>
      <c r="D29" s="232"/>
      <c r="E29" s="232" t="s">
        <v>174</v>
      </c>
      <c r="F29" s="6"/>
      <c r="G29" s="6"/>
      <c r="H29" s="22"/>
      <c r="I29" s="22"/>
      <c r="J29" s="50"/>
      <c r="K29" s="50"/>
    </row>
    <row r="30" spans="1:13" x14ac:dyDescent="0.25">
      <c r="A30" s="233" t="s">
        <v>41</v>
      </c>
      <c r="B30" s="2">
        <v>72961</v>
      </c>
      <c r="C30" s="4" t="s">
        <v>6</v>
      </c>
      <c r="D30" s="2" t="s">
        <v>5</v>
      </c>
      <c r="E30" s="58" t="s">
        <v>184</v>
      </c>
      <c r="F30" s="233" t="s">
        <v>25</v>
      </c>
      <c r="G30" s="108">
        <v>338800</v>
      </c>
      <c r="H30" s="102">
        <v>0.76</v>
      </c>
      <c r="I30" s="102">
        <v>0.9</v>
      </c>
      <c r="J30" s="102">
        <f t="shared" ref="J30:J33" si="3">ROUND(G30*H30,2)</f>
        <v>257488</v>
      </c>
      <c r="K30" s="102">
        <f>ROUND(I30*G30,2)</f>
        <v>304920</v>
      </c>
    </row>
    <row r="31" spans="1:13" ht="75" hidden="1" x14ac:dyDescent="0.25">
      <c r="A31" s="233" t="s">
        <v>38</v>
      </c>
      <c r="B31" s="2">
        <v>72947</v>
      </c>
      <c r="C31" s="4" t="s">
        <v>183</v>
      </c>
      <c r="D31" s="2" t="s">
        <v>5</v>
      </c>
      <c r="E31" s="58" t="s">
        <v>146</v>
      </c>
      <c r="F31" s="233" t="s">
        <v>166</v>
      </c>
      <c r="G31" s="108">
        <v>108</v>
      </c>
      <c r="H31" s="102">
        <v>24.63</v>
      </c>
      <c r="I31" s="102" t="e">
        <f>IF(D31="S",(#REF!/100)*H31,(#REF!/100)*H31)+H31</f>
        <v>#REF!</v>
      </c>
      <c r="J31" s="102">
        <f t="shared" si="3"/>
        <v>2660.04</v>
      </c>
      <c r="K31" s="102" t="e">
        <f t="shared" ref="K31:K33" si="4">ROUND(I31*G31,2)</f>
        <v>#REF!</v>
      </c>
    </row>
    <row r="32" spans="1:13" ht="30" x14ac:dyDescent="0.25">
      <c r="A32" s="233" t="s">
        <v>192</v>
      </c>
      <c r="B32" s="4">
        <v>94316</v>
      </c>
      <c r="C32" s="2" t="s">
        <v>6</v>
      </c>
      <c r="D32" s="2" t="s">
        <v>5</v>
      </c>
      <c r="E32" s="58" t="s">
        <v>186</v>
      </c>
      <c r="F32" s="233" t="s">
        <v>25</v>
      </c>
      <c r="G32" s="108">
        <v>12558</v>
      </c>
      <c r="H32" s="102">
        <v>26.15</v>
      </c>
      <c r="I32" s="102">
        <v>30.58</v>
      </c>
      <c r="J32" s="102">
        <f t="shared" si="3"/>
        <v>328391.7</v>
      </c>
      <c r="K32" s="102">
        <f t="shared" si="4"/>
        <v>384023.64</v>
      </c>
    </row>
    <row r="33" spans="1:11" ht="45" x14ac:dyDescent="0.25">
      <c r="A33" s="233" t="s">
        <v>193</v>
      </c>
      <c r="B33" s="2">
        <v>79472</v>
      </c>
      <c r="C33" s="4" t="s">
        <v>6</v>
      </c>
      <c r="D33" s="2" t="s">
        <v>5</v>
      </c>
      <c r="E33" s="58" t="s">
        <v>190</v>
      </c>
      <c r="F33" s="233" t="s">
        <v>182</v>
      </c>
      <c r="G33" s="108">
        <v>615342</v>
      </c>
      <c r="H33" s="102">
        <v>0.92</v>
      </c>
      <c r="I33" s="102">
        <v>1.07</v>
      </c>
      <c r="J33" s="102">
        <f t="shared" si="3"/>
        <v>566114.64</v>
      </c>
      <c r="K33" s="102">
        <f t="shared" si="4"/>
        <v>658415.93999999994</v>
      </c>
    </row>
    <row r="34" spans="1:11" x14ac:dyDescent="0.25">
      <c r="A34" s="250" t="s">
        <v>2</v>
      </c>
      <c r="B34" s="251"/>
      <c r="C34" s="251"/>
      <c r="D34" s="251"/>
      <c r="E34" s="251"/>
      <c r="F34" s="251"/>
      <c r="G34" s="251"/>
      <c r="H34" s="251"/>
      <c r="I34" s="252"/>
      <c r="J34" s="104">
        <f>SUM(J30:J33)</f>
        <v>1154654.3799999999</v>
      </c>
      <c r="K34" s="104">
        <f>+K32+K30+K33</f>
        <v>1347359.58</v>
      </c>
    </row>
    <row r="35" spans="1:11" ht="15.75" customHeight="1" x14ac:dyDescent="0.25">
      <c r="A35" s="230">
        <v>4</v>
      </c>
      <c r="B35" s="8"/>
      <c r="C35" s="8"/>
      <c r="D35" s="8"/>
      <c r="E35" s="232" t="s">
        <v>175</v>
      </c>
      <c r="F35" s="6"/>
      <c r="G35" s="6"/>
      <c r="H35" s="22"/>
      <c r="I35" s="22"/>
      <c r="J35" s="50"/>
      <c r="K35" s="50"/>
    </row>
    <row r="36" spans="1:11" ht="60" hidden="1" x14ac:dyDescent="0.25">
      <c r="A36" s="5" t="s">
        <v>32</v>
      </c>
      <c r="B36" s="2">
        <v>94265</v>
      </c>
      <c r="C36" s="2" t="s">
        <v>6</v>
      </c>
      <c r="D36" s="4" t="s">
        <v>5</v>
      </c>
      <c r="E36" s="58" t="s">
        <v>33</v>
      </c>
      <c r="F36" s="23" t="s">
        <v>3</v>
      </c>
      <c r="G36" s="23">
        <v>0</v>
      </c>
      <c r="H36" s="23">
        <v>31.39</v>
      </c>
      <c r="I36" s="84" t="e">
        <f>IF(D36="S",(#REF!/100)*H36,(#REF!/100)*H36)+H36</f>
        <v>#REF!</v>
      </c>
      <c r="J36" s="23">
        <f t="shared" ref="J36:J54" si="5">G36*H36</f>
        <v>0</v>
      </c>
      <c r="K36" s="84" t="e">
        <f t="shared" ref="K36:K54" si="6">I36*G36</f>
        <v>#REF!</v>
      </c>
    </row>
    <row r="37" spans="1:11" ht="60" hidden="1" x14ac:dyDescent="0.25">
      <c r="A37" s="233" t="s">
        <v>30</v>
      </c>
      <c r="B37" s="2">
        <v>94281</v>
      </c>
      <c r="C37" s="2" t="s">
        <v>6</v>
      </c>
      <c r="D37" s="2" t="s">
        <v>5</v>
      </c>
      <c r="E37" s="58" t="s">
        <v>31</v>
      </c>
      <c r="F37" s="84" t="s">
        <v>3</v>
      </c>
      <c r="G37" s="84">
        <v>0</v>
      </c>
      <c r="H37" s="84">
        <v>37.49</v>
      </c>
      <c r="I37" s="84" t="e">
        <f>IF(D37="S",(#REF!/100)*H37,(#REF!/100)*H37)+H37</f>
        <v>#REF!</v>
      </c>
      <c r="J37" s="23">
        <f t="shared" si="5"/>
        <v>0</v>
      </c>
      <c r="K37" s="84" t="e">
        <f t="shared" si="6"/>
        <v>#REF!</v>
      </c>
    </row>
    <row r="38" spans="1:11" ht="165" hidden="1" x14ac:dyDescent="0.25">
      <c r="A38" s="5" t="s">
        <v>29</v>
      </c>
      <c r="B38" s="2">
        <v>90105</v>
      </c>
      <c r="C38" s="2" t="s">
        <v>6</v>
      </c>
      <c r="D38" s="2" t="s">
        <v>5</v>
      </c>
      <c r="E38" s="58" t="s">
        <v>150</v>
      </c>
      <c r="F38" s="84" t="s">
        <v>25</v>
      </c>
      <c r="G38" s="84">
        <v>0</v>
      </c>
      <c r="H38" s="84">
        <v>11.93</v>
      </c>
      <c r="I38" s="84" t="e">
        <f>IF(D38="S",(#REF!/100)*H38,(#REF!/100)*H38)+H38</f>
        <v>#REF!</v>
      </c>
      <c r="J38" s="23">
        <f t="shared" si="5"/>
        <v>0</v>
      </c>
      <c r="K38" s="84" t="e">
        <f t="shared" si="6"/>
        <v>#REF!</v>
      </c>
    </row>
    <row r="39" spans="1:11" ht="60" hidden="1" x14ac:dyDescent="0.25">
      <c r="A39" s="233" t="s">
        <v>26</v>
      </c>
      <c r="B39" s="2">
        <v>94097</v>
      </c>
      <c r="C39" s="2" t="s">
        <v>6</v>
      </c>
      <c r="D39" s="2" t="s">
        <v>5</v>
      </c>
      <c r="E39" s="58" t="s">
        <v>28</v>
      </c>
      <c r="F39" s="84" t="s">
        <v>27</v>
      </c>
      <c r="G39" s="84">
        <v>0</v>
      </c>
      <c r="H39" s="84">
        <v>4.5999999999999996</v>
      </c>
      <c r="I39" s="84" t="e">
        <f>IF(D39="S",(#REF!/100)*H39,(#REF!/100)*H39)+H39</f>
        <v>#REF!</v>
      </c>
      <c r="J39" s="23">
        <f t="shared" si="5"/>
        <v>0</v>
      </c>
      <c r="K39" s="84" t="e">
        <f t="shared" si="6"/>
        <v>#REF!</v>
      </c>
    </row>
    <row r="40" spans="1:11" ht="45" hidden="1" x14ac:dyDescent="0.25">
      <c r="A40" s="233" t="s">
        <v>26</v>
      </c>
      <c r="B40" s="2">
        <v>95290</v>
      </c>
      <c r="C40" s="2" t="s">
        <v>6</v>
      </c>
      <c r="D40" s="2" t="s">
        <v>5</v>
      </c>
      <c r="E40" s="87" t="s">
        <v>23</v>
      </c>
      <c r="F40" s="84" t="s">
        <v>135</v>
      </c>
      <c r="G40" s="84">
        <f>'[1]MEMORIAL QUANT. CBUQ'!K50</f>
        <v>950.40000000000009</v>
      </c>
      <c r="H40" s="84">
        <v>1.76</v>
      </c>
      <c r="I40" s="84" t="e">
        <f>IF(D40="S",(#REF!/100)*H40,(#REF!/100)*H40)+H40</f>
        <v>#REF!</v>
      </c>
      <c r="J40" s="23">
        <f t="shared" si="5"/>
        <v>1672.7040000000002</v>
      </c>
      <c r="K40" s="84" t="e">
        <f t="shared" ref="K40:K52" si="7">G40*I40</f>
        <v>#REF!</v>
      </c>
    </row>
    <row r="41" spans="1:11" ht="30" hidden="1" x14ac:dyDescent="0.25">
      <c r="A41" s="233" t="s">
        <v>24</v>
      </c>
      <c r="B41" s="2">
        <v>7781</v>
      </c>
      <c r="C41" s="2" t="s">
        <v>6</v>
      </c>
      <c r="D41" s="2" t="s">
        <v>10</v>
      </c>
      <c r="E41" s="58" t="s">
        <v>9</v>
      </c>
      <c r="F41" s="84" t="s">
        <v>3</v>
      </c>
      <c r="G41" s="84">
        <f>'[1]MEMORIAL QUANT. CBUQ'!K52</f>
        <v>0</v>
      </c>
      <c r="H41" s="84">
        <v>51.95</v>
      </c>
      <c r="I41" s="84" t="e">
        <f>IF(D41="S",(#REF!/100)*H41,(#REF!/100)*H41)+H41</f>
        <v>#REF!</v>
      </c>
      <c r="J41" s="23">
        <f t="shared" si="5"/>
        <v>0</v>
      </c>
      <c r="K41" s="84" t="e">
        <f t="shared" si="7"/>
        <v>#REF!</v>
      </c>
    </row>
    <row r="42" spans="1:11" ht="165" hidden="1" x14ac:dyDescent="0.25">
      <c r="A42" s="233" t="s">
        <v>21</v>
      </c>
      <c r="B42" s="2">
        <v>90106</v>
      </c>
      <c r="C42" s="2" t="s">
        <v>6</v>
      </c>
      <c r="D42" s="2" t="s">
        <v>5</v>
      </c>
      <c r="E42" s="58" t="s">
        <v>155</v>
      </c>
      <c r="F42" s="84" t="s">
        <v>25</v>
      </c>
      <c r="G42" s="84">
        <f>'[1]MEMORIAL QUANT. CBUQ'!K53</f>
        <v>0</v>
      </c>
      <c r="H42" s="84">
        <v>10.220000000000001</v>
      </c>
      <c r="I42" s="84" t="e">
        <f>IF(D42="S",(#REF!/100)*H42,(#REF!/100)*H42)+H42</f>
        <v>#REF!</v>
      </c>
      <c r="J42" s="23">
        <f t="shared" si="5"/>
        <v>0</v>
      </c>
      <c r="K42" s="84" t="e">
        <f t="shared" si="7"/>
        <v>#REF!</v>
      </c>
    </row>
    <row r="43" spans="1:11" ht="60" hidden="1" x14ac:dyDescent="0.25">
      <c r="A43" s="233" t="s">
        <v>18</v>
      </c>
      <c r="B43" s="2">
        <v>94097</v>
      </c>
      <c r="C43" s="2" t="s">
        <v>6</v>
      </c>
      <c r="D43" s="2" t="s">
        <v>5</v>
      </c>
      <c r="E43" s="58" t="s">
        <v>28</v>
      </c>
      <c r="F43" s="84" t="s">
        <v>25</v>
      </c>
      <c r="G43" s="84">
        <f>'[1]MEMORIAL QUANT. CBUQ'!K54</f>
        <v>0</v>
      </c>
      <c r="H43" s="84">
        <v>4.5999999999999996</v>
      </c>
      <c r="I43" s="84" t="e">
        <f>IF(D43="S",(#REF!/100)*H43,(#REF!/100)*H43)+H43</f>
        <v>#REF!</v>
      </c>
      <c r="J43" s="23">
        <f t="shared" si="5"/>
        <v>0</v>
      </c>
      <c r="K43" s="84" t="e">
        <f t="shared" si="7"/>
        <v>#REF!</v>
      </c>
    </row>
    <row r="44" spans="1:11" ht="90" hidden="1" x14ac:dyDescent="0.25">
      <c r="A44" s="233" t="s">
        <v>16</v>
      </c>
      <c r="B44" s="2">
        <v>93378</v>
      </c>
      <c r="C44" s="2" t="s">
        <v>6</v>
      </c>
      <c r="D44" s="2" t="s">
        <v>5</v>
      </c>
      <c r="E44" s="58" t="s">
        <v>147</v>
      </c>
      <c r="F44" s="84" t="s">
        <v>25</v>
      </c>
      <c r="G44" s="84">
        <f>'[1]MEMORIAL QUANT. CBUQ'!K55</f>
        <v>0</v>
      </c>
      <c r="H44" s="84">
        <v>19.600000000000001</v>
      </c>
      <c r="I44" s="84" t="e">
        <f>IF(D44="S",(#REF!/100)*H44,(#REF!/100)*H44)+H44</f>
        <v>#REF!</v>
      </c>
      <c r="J44" s="23">
        <f t="shared" si="5"/>
        <v>0</v>
      </c>
      <c r="K44" s="84" t="e">
        <f t="shared" si="7"/>
        <v>#REF!</v>
      </c>
    </row>
    <row r="45" spans="1:11" ht="90" hidden="1" x14ac:dyDescent="0.25">
      <c r="A45" s="233" t="s">
        <v>13</v>
      </c>
      <c r="B45" s="2">
        <v>92809</v>
      </c>
      <c r="C45" s="2" t="s">
        <v>6</v>
      </c>
      <c r="D45" s="2" t="s">
        <v>5</v>
      </c>
      <c r="E45" s="58" t="s">
        <v>148</v>
      </c>
      <c r="F45" s="84" t="s">
        <v>3</v>
      </c>
      <c r="G45" s="84">
        <f>'[1]MEMORIAL QUANT. CBUQ'!K56</f>
        <v>0</v>
      </c>
      <c r="H45" s="84">
        <v>37.54</v>
      </c>
      <c r="I45" s="84" t="e">
        <f>IF(D45="S",(#REF!/100)*H45,(#REF!/100)*H45)+H45</f>
        <v>#REF!</v>
      </c>
      <c r="J45" s="23">
        <f t="shared" si="5"/>
        <v>0</v>
      </c>
      <c r="K45" s="84" t="e">
        <f t="shared" si="7"/>
        <v>#REF!</v>
      </c>
    </row>
    <row r="46" spans="1:11" ht="45" hidden="1" x14ac:dyDescent="0.25">
      <c r="A46" s="233" t="s">
        <v>11</v>
      </c>
      <c r="B46" s="4">
        <v>95290</v>
      </c>
      <c r="C46" s="2" t="s">
        <v>6</v>
      </c>
      <c r="D46" s="2" t="s">
        <v>5</v>
      </c>
      <c r="E46" s="59" t="s">
        <v>23</v>
      </c>
      <c r="F46" s="23" t="s">
        <v>22</v>
      </c>
      <c r="G46" s="84">
        <f>'[1]MEMORIAL QUANT. CBUQ'!K57</f>
        <v>0</v>
      </c>
      <c r="H46" s="84">
        <v>1.76</v>
      </c>
      <c r="I46" s="84" t="e">
        <f>IF(D46="S",(#REF!/100)*H46,(#REF!/100)*H46)+H46</f>
        <v>#REF!</v>
      </c>
      <c r="J46" s="23">
        <f t="shared" si="5"/>
        <v>0</v>
      </c>
      <c r="K46" s="84" t="e">
        <f t="shared" si="7"/>
        <v>#REF!</v>
      </c>
    </row>
    <row r="47" spans="1:11" ht="30" hidden="1" x14ac:dyDescent="0.25">
      <c r="A47" s="233" t="s">
        <v>32</v>
      </c>
      <c r="B47" s="2">
        <v>7793</v>
      </c>
      <c r="C47" s="2" t="s">
        <v>6</v>
      </c>
      <c r="D47" s="2" t="s">
        <v>10</v>
      </c>
      <c r="E47" s="58" t="s">
        <v>12</v>
      </c>
      <c r="F47" s="84" t="s">
        <v>3</v>
      </c>
      <c r="G47" s="84">
        <v>0</v>
      </c>
      <c r="H47" s="84">
        <v>104.87</v>
      </c>
      <c r="I47" s="84" t="e">
        <f>IF(D47="S",(#REF!/100)*H47,(#REF!/100)*H47)+H47</f>
        <v>#REF!</v>
      </c>
      <c r="J47" s="23">
        <f t="shared" si="5"/>
        <v>0</v>
      </c>
      <c r="K47" s="84" t="e">
        <f t="shared" si="7"/>
        <v>#REF!</v>
      </c>
    </row>
    <row r="48" spans="1:11" ht="165" hidden="1" x14ac:dyDescent="0.25">
      <c r="A48" s="233" t="s">
        <v>30</v>
      </c>
      <c r="B48" s="2">
        <v>90106</v>
      </c>
      <c r="C48" s="2" t="s">
        <v>6</v>
      </c>
      <c r="D48" s="2" t="s">
        <v>5</v>
      </c>
      <c r="E48" s="59" t="s">
        <v>156</v>
      </c>
      <c r="F48" s="23" t="s">
        <v>25</v>
      </c>
      <c r="G48" s="84">
        <v>0</v>
      </c>
      <c r="H48" s="84">
        <v>10.220000000000001</v>
      </c>
      <c r="I48" s="84" t="e">
        <f>IF(D48="S",(#REF!/100)*H48,(#REF!/100)*H48)+H48</f>
        <v>#REF!</v>
      </c>
      <c r="J48" s="23">
        <f t="shared" si="5"/>
        <v>0</v>
      </c>
      <c r="K48" s="84" t="e">
        <f t="shared" si="7"/>
        <v>#REF!</v>
      </c>
    </row>
    <row r="49" spans="1:11" ht="60" hidden="1" x14ac:dyDescent="0.25">
      <c r="A49" s="233" t="s">
        <v>29</v>
      </c>
      <c r="B49" s="2">
        <v>94097</v>
      </c>
      <c r="C49" s="2" t="s">
        <v>6</v>
      </c>
      <c r="D49" s="2" t="s">
        <v>5</v>
      </c>
      <c r="E49" s="58" t="s">
        <v>28</v>
      </c>
      <c r="F49" s="84" t="s">
        <v>25</v>
      </c>
      <c r="G49" s="84">
        <v>0</v>
      </c>
      <c r="H49" s="84">
        <v>4.5999999999999996</v>
      </c>
      <c r="I49" s="84" t="e">
        <f>IF(D49="S",(#REF!/100)*H49,(#REF!/100)*H49)+H49</f>
        <v>#REF!</v>
      </c>
      <c r="J49" s="23">
        <f t="shared" si="5"/>
        <v>0</v>
      </c>
      <c r="K49" s="84" t="e">
        <f t="shared" si="7"/>
        <v>#REF!</v>
      </c>
    </row>
    <row r="50" spans="1:11" ht="90" hidden="1" x14ac:dyDescent="0.25">
      <c r="A50" s="233" t="s">
        <v>26</v>
      </c>
      <c r="B50" s="2">
        <v>93378</v>
      </c>
      <c r="C50" s="2" t="s">
        <v>6</v>
      </c>
      <c r="D50" s="2" t="s">
        <v>5</v>
      </c>
      <c r="E50" s="58" t="s">
        <v>147</v>
      </c>
      <c r="F50" s="84" t="s">
        <v>25</v>
      </c>
      <c r="G50" s="84">
        <v>0</v>
      </c>
      <c r="H50" s="84">
        <v>19.600000000000001</v>
      </c>
      <c r="I50" s="84" t="e">
        <f>IF(D50="S",(#REF!/100)*H50,(#REF!/100)*H50)+H50</f>
        <v>#REF!</v>
      </c>
      <c r="J50" s="23">
        <f t="shared" si="5"/>
        <v>0</v>
      </c>
      <c r="K50" s="84" t="e">
        <f t="shared" si="7"/>
        <v>#REF!</v>
      </c>
    </row>
    <row r="51" spans="1:11" ht="90" hidden="1" x14ac:dyDescent="0.25">
      <c r="A51" s="233" t="s">
        <v>139</v>
      </c>
      <c r="B51" s="2">
        <v>92811</v>
      </c>
      <c r="C51" s="2" t="s">
        <v>6</v>
      </c>
      <c r="D51" s="2" t="s">
        <v>5</v>
      </c>
      <c r="E51" s="58" t="s">
        <v>4</v>
      </c>
      <c r="F51" s="84" t="s">
        <v>3</v>
      </c>
      <c r="G51" s="84">
        <f>'[1]MEMORIAL QUANT. CBUQ'!K62</f>
        <v>0</v>
      </c>
      <c r="H51" s="84">
        <v>54.41</v>
      </c>
      <c r="I51" s="84" t="e">
        <f>IF(D51="S",(#REF!/100)*H51,(#REF!/100)*H51)+H51</f>
        <v>#REF!</v>
      </c>
      <c r="J51" s="23">
        <f t="shared" si="5"/>
        <v>0</v>
      </c>
      <c r="K51" s="84" t="e">
        <f t="shared" si="7"/>
        <v>#REF!</v>
      </c>
    </row>
    <row r="52" spans="1:11" ht="45" hidden="1" x14ac:dyDescent="0.25">
      <c r="A52" s="233" t="s">
        <v>140</v>
      </c>
      <c r="B52" s="4">
        <v>95290</v>
      </c>
      <c r="C52" s="2" t="s">
        <v>6</v>
      </c>
      <c r="D52" s="2" t="s">
        <v>5</v>
      </c>
      <c r="E52" s="59" t="s">
        <v>23</v>
      </c>
      <c r="F52" s="23" t="s">
        <v>22</v>
      </c>
      <c r="G52" s="84">
        <f>'[1]MEMORIAL QUANT. CBUQ'!K63</f>
        <v>0</v>
      </c>
      <c r="H52" s="84">
        <v>1.76</v>
      </c>
      <c r="I52" s="84" t="e">
        <f>IF(D52="S",(#REF!/100)*H52,(#REF!/100)*H52)+H52</f>
        <v>#REF!</v>
      </c>
      <c r="J52" s="23">
        <f t="shared" si="5"/>
        <v>0</v>
      </c>
      <c r="K52" s="84" t="e">
        <f t="shared" si="7"/>
        <v>#REF!</v>
      </c>
    </row>
    <row r="53" spans="1:11" ht="75" hidden="1" x14ac:dyDescent="0.25">
      <c r="A53" s="233" t="s">
        <v>141</v>
      </c>
      <c r="B53" s="2">
        <v>83659</v>
      </c>
      <c r="C53" s="2" t="s">
        <v>20</v>
      </c>
      <c r="D53" s="2" t="s">
        <v>5</v>
      </c>
      <c r="E53" s="58" t="s">
        <v>19</v>
      </c>
      <c r="F53" s="84" t="s">
        <v>14</v>
      </c>
      <c r="G53" s="84">
        <f>'[1]MEMORIAL QUANT. CBUQ'!K64</f>
        <v>0</v>
      </c>
      <c r="H53" s="84">
        <v>694.56</v>
      </c>
      <c r="I53" s="84" t="e">
        <f>IF(D53="S",(#REF!/100)*H53,(#REF!/100)*H53)+H53</f>
        <v>#REF!</v>
      </c>
      <c r="J53" s="23">
        <f t="shared" si="5"/>
        <v>0</v>
      </c>
      <c r="K53" s="84" t="e">
        <f t="shared" si="6"/>
        <v>#REF!</v>
      </c>
    </row>
    <row r="54" spans="1:11" ht="75" hidden="1" x14ac:dyDescent="0.25">
      <c r="A54" s="233" t="s">
        <v>142</v>
      </c>
      <c r="B54" s="2" t="s">
        <v>149</v>
      </c>
      <c r="C54" s="2" t="s">
        <v>6</v>
      </c>
      <c r="D54" s="2" t="s">
        <v>5</v>
      </c>
      <c r="E54" s="58" t="s">
        <v>17</v>
      </c>
      <c r="F54" s="84" t="s">
        <v>14</v>
      </c>
      <c r="G54" s="84">
        <f>'[1]MEMORIAL QUANT. CBUQ'!K65</f>
        <v>0</v>
      </c>
      <c r="H54" s="84">
        <v>332.61</v>
      </c>
      <c r="I54" s="84" t="e">
        <f>IF(D54="S",(#REF!/100)*H54,(#REF!/100)*H54)+H54</f>
        <v>#REF!</v>
      </c>
      <c r="J54" s="23">
        <f t="shared" si="5"/>
        <v>0</v>
      </c>
      <c r="K54" s="84" t="e">
        <f t="shared" si="6"/>
        <v>#REF!</v>
      </c>
    </row>
    <row r="55" spans="1:11" ht="45" x14ac:dyDescent="0.25">
      <c r="A55" s="233" t="s">
        <v>39</v>
      </c>
      <c r="B55" s="83">
        <v>83772</v>
      </c>
      <c r="C55" s="4" t="s">
        <v>6</v>
      </c>
      <c r="D55" s="2" t="s">
        <v>10</v>
      </c>
      <c r="E55" s="58" t="s">
        <v>177</v>
      </c>
      <c r="F55" s="84" t="s">
        <v>25</v>
      </c>
      <c r="G55" s="108">
        <v>39930</v>
      </c>
      <c r="H55" s="102">
        <v>10.18</v>
      </c>
      <c r="I55" s="84">
        <v>12.01</v>
      </c>
      <c r="J55" s="102">
        <f t="shared" ref="J55:J56" si="8">ROUND(G55*H55,2)</f>
        <v>406487.4</v>
      </c>
      <c r="K55" s="102">
        <f>ROUND(I55*G55,2)</f>
        <v>479559.3</v>
      </c>
    </row>
    <row r="56" spans="1:11" ht="45" x14ac:dyDescent="0.25">
      <c r="A56" s="233" t="s">
        <v>38</v>
      </c>
      <c r="B56" s="2">
        <f>B33</f>
        <v>79472</v>
      </c>
      <c r="C56" s="4" t="str">
        <f>C33</f>
        <v>SINAPI</v>
      </c>
      <c r="D56" s="2" t="s">
        <v>10</v>
      </c>
      <c r="E56" s="58" t="s">
        <v>191</v>
      </c>
      <c r="F56" s="84" t="s">
        <v>182</v>
      </c>
      <c r="G56" s="108">
        <v>2543541</v>
      </c>
      <c r="H56" s="102">
        <f>H33</f>
        <v>0.92</v>
      </c>
      <c r="I56" s="84">
        <f>I33</f>
        <v>1.07</v>
      </c>
      <c r="J56" s="102">
        <f t="shared" si="8"/>
        <v>2340057.7200000002</v>
      </c>
      <c r="K56" s="102">
        <f>ROUND(I56*G56,2)</f>
        <v>2721588.87</v>
      </c>
    </row>
    <row r="57" spans="1:11" ht="22.5" customHeight="1" x14ac:dyDescent="0.25">
      <c r="A57" s="250" t="s">
        <v>2</v>
      </c>
      <c r="B57" s="251"/>
      <c r="C57" s="251"/>
      <c r="D57" s="251"/>
      <c r="E57" s="251"/>
      <c r="F57" s="251"/>
      <c r="G57" s="251"/>
      <c r="H57" s="251"/>
      <c r="I57" s="252"/>
      <c r="J57" s="104">
        <f>SUM(J36:J56)</f>
        <v>2748217.824</v>
      </c>
      <c r="K57" s="104">
        <f>SUM(K55:K56)</f>
        <v>3201148.17</v>
      </c>
    </row>
    <row r="58" spans="1:11" ht="30" x14ac:dyDescent="0.25">
      <c r="A58" s="230">
        <v>5</v>
      </c>
      <c r="B58" s="8"/>
      <c r="C58" s="8"/>
      <c r="D58" s="8"/>
      <c r="E58" s="232" t="s">
        <v>176</v>
      </c>
      <c r="F58" s="6"/>
      <c r="G58" s="6"/>
      <c r="H58" s="22"/>
      <c r="I58" s="22"/>
      <c r="J58" s="50"/>
      <c r="K58" s="50"/>
    </row>
    <row r="59" spans="1:11" ht="30" x14ac:dyDescent="0.25">
      <c r="A59" s="233" t="s">
        <v>34</v>
      </c>
      <c r="B59" s="2" t="s">
        <v>96</v>
      </c>
      <c r="C59" s="4" t="s">
        <v>6</v>
      </c>
      <c r="D59" s="2" t="s">
        <v>5</v>
      </c>
      <c r="E59" s="58" t="s">
        <v>178</v>
      </c>
      <c r="F59" s="233" t="s">
        <v>25</v>
      </c>
      <c r="G59" s="84">
        <v>253.05</v>
      </c>
      <c r="H59" s="114">
        <v>5.8</v>
      </c>
      <c r="I59" s="113">
        <v>6.86</v>
      </c>
      <c r="J59" s="102">
        <f t="shared" ref="J59:J62" si="9">ROUND(G59*H59,2)</f>
        <v>1467.69</v>
      </c>
      <c r="K59" s="102">
        <f>ROUND(I59*G59,2)</f>
        <v>1735.92</v>
      </c>
    </row>
    <row r="60" spans="1:11" x14ac:dyDescent="0.25">
      <c r="A60" s="233" t="s">
        <v>32</v>
      </c>
      <c r="B60" s="2">
        <v>180723</v>
      </c>
      <c r="C60" s="4" t="s">
        <v>183</v>
      </c>
      <c r="D60" s="2" t="s">
        <v>10</v>
      </c>
      <c r="E60" s="58" t="s">
        <v>179</v>
      </c>
      <c r="F60" s="84" t="s">
        <v>3</v>
      </c>
      <c r="G60" s="84">
        <v>84</v>
      </c>
      <c r="H60" s="113">
        <v>502.88</v>
      </c>
      <c r="I60" s="113">
        <v>584.41999999999996</v>
      </c>
      <c r="J60" s="102">
        <f t="shared" si="9"/>
        <v>42241.919999999998</v>
      </c>
      <c r="K60" s="102">
        <f t="shared" ref="K60:K62" si="10">ROUND(I60*G60,2)</f>
        <v>49091.28</v>
      </c>
    </row>
    <row r="61" spans="1:11" x14ac:dyDescent="0.25">
      <c r="A61" s="233" t="s">
        <v>30</v>
      </c>
      <c r="B61" s="2">
        <v>93370</v>
      </c>
      <c r="C61" s="2" t="s">
        <v>6</v>
      </c>
      <c r="D61" s="2" t="s">
        <v>10</v>
      </c>
      <c r="E61" s="58" t="s">
        <v>180</v>
      </c>
      <c r="F61" s="84" t="s">
        <v>25</v>
      </c>
      <c r="G61" s="84">
        <v>191.09</v>
      </c>
      <c r="H61" s="113">
        <v>8.2200000000000006</v>
      </c>
      <c r="I61" s="113">
        <v>9.77</v>
      </c>
      <c r="J61" s="102">
        <f t="shared" si="9"/>
        <v>1570.76</v>
      </c>
      <c r="K61" s="102">
        <f t="shared" si="10"/>
        <v>1866.95</v>
      </c>
    </row>
    <row r="62" spans="1:11" x14ac:dyDescent="0.25">
      <c r="A62" s="233" t="s">
        <v>29</v>
      </c>
      <c r="B62" s="2" t="s">
        <v>200</v>
      </c>
      <c r="C62" s="2" t="s">
        <v>6</v>
      </c>
      <c r="D62" s="2" t="s">
        <v>10</v>
      </c>
      <c r="E62" s="58" t="s">
        <v>181</v>
      </c>
      <c r="F62" s="84" t="s">
        <v>14</v>
      </c>
      <c r="G62" s="84">
        <v>14</v>
      </c>
      <c r="H62" s="113">
        <v>1715.44</v>
      </c>
      <c r="I62" s="113">
        <v>2032.08</v>
      </c>
      <c r="J62" s="102">
        <f t="shared" si="9"/>
        <v>24016.16</v>
      </c>
      <c r="K62" s="102">
        <f t="shared" si="10"/>
        <v>28449.119999999999</v>
      </c>
    </row>
    <row r="63" spans="1:11" ht="20.25" customHeight="1" x14ac:dyDescent="0.25">
      <c r="A63" s="250" t="s">
        <v>2</v>
      </c>
      <c r="B63" s="251"/>
      <c r="C63" s="251"/>
      <c r="D63" s="251"/>
      <c r="E63" s="251"/>
      <c r="F63" s="251"/>
      <c r="G63" s="251"/>
      <c r="H63" s="251"/>
      <c r="I63" s="252"/>
      <c r="J63" s="104">
        <f>SUM(J59:J62)</f>
        <v>69296.53</v>
      </c>
      <c r="K63" s="102">
        <f>SUM(K59:K62)</f>
        <v>81143.26999999999</v>
      </c>
    </row>
    <row r="64" spans="1:11" ht="17.25" x14ac:dyDescent="0.25">
      <c r="A64" s="253" t="s">
        <v>1</v>
      </c>
      <c r="B64" s="253"/>
      <c r="C64" s="253"/>
      <c r="D64" s="253"/>
      <c r="E64" s="253"/>
      <c r="F64" s="253"/>
      <c r="G64" s="253"/>
      <c r="H64" s="253"/>
      <c r="I64" s="228"/>
      <c r="J64" s="258">
        <f>SUM(J63,J57,J34,J25,J21)</f>
        <v>4248317.2539999997</v>
      </c>
      <c r="K64" s="259"/>
    </row>
    <row r="65" spans="1:14" ht="17.25" x14ac:dyDescent="0.25">
      <c r="A65" s="253" t="s">
        <v>0</v>
      </c>
      <c r="B65" s="253"/>
      <c r="C65" s="253"/>
      <c r="D65" s="253"/>
      <c r="E65" s="253"/>
      <c r="F65" s="253"/>
      <c r="G65" s="253"/>
      <c r="H65" s="253"/>
      <c r="I65" s="228"/>
      <c r="J65" s="258">
        <f>SUM(K63,K57,K34,K25,K21)</f>
        <v>4957606.59</v>
      </c>
      <c r="K65" s="259"/>
      <c r="M65" s="242">
        <f>5010680.83-J65</f>
        <v>53074.240000000224</v>
      </c>
      <c r="N65" s="242"/>
    </row>
    <row r="66" spans="1:14" ht="15.75" customHeight="1" x14ac:dyDescent="0.25">
      <c r="A66" s="280" t="s">
        <v>222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</row>
    <row r="67" spans="1:14" ht="15" customHeight="1" x14ac:dyDescent="0.25">
      <c r="A67" s="270" t="s">
        <v>201</v>
      </c>
      <c r="B67" s="270"/>
      <c r="C67" s="270"/>
      <c r="D67" s="270"/>
      <c r="E67" s="270"/>
      <c r="F67" s="270"/>
      <c r="G67" s="270"/>
    </row>
    <row r="69" spans="1:14" ht="103.5" customHeight="1" x14ac:dyDescent="0.25">
      <c r="E69" s="265" t="s">
        <v>220</v>
      </c>
      <c r="F69" s="265"/>
      <c r="G69" s="265"/>
    </row>
    <row r="70" spans="1:14" x14ac:dyDescent="0.25">
      <c r="E70" s="229"/>
      <c r="F70" s="229"/>
      <c r="G70" s="229"/>
    </row>
    <row r="71" spans="1:14" x14ac:dyDescent="0.25">
      <c r="E71" s="229"/>
      <c r="F71" s="229"/>
      <c r="G71" s="229"/>
    </row>
    <row r="72" spans="1:14" x14ac:dyDescent="0.25">
      <c r="E72" s="229"/>
      <c r="F72" s="229"/>
      <c r="G72" s="229"/>
    </row>
    <row r="73" spans="1:14" ht="78.75" customHeight="1" x14ac:dyDescent="0.25">
      <c r="A73" s="266" t="s">
        <v>218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34"/>
      <c r="M73" s="234"/>
    </row>
  </sheetData>
  <autoFilter ref="A16:K65"/>
  <mergeCells count="24">
    <mergeCell ref="A28:I28"/>
    <mergeCell ref="A3:K3"/>
    <mergeCell ref="A7:G7"/>
    <mergeCell ref="A8:F8"/>
    <mergeCell ref="A9:G9"/>
    <mergeCell ref="A11:K11"/>
    <mergeCell ref="A12:K12"/>
    <mergeCell ref="I13:J13"/>
    <mergeCell ref="I14:J14"/>
    <mergeCell ref="A15:K15"/>
    <mergeCell ref="A21:I21"/>
    <mergeCell ref="A25:I25"/>
    <mergeCell ref="A34:I34"/>
    <mergeCell ref="A57:I57"/>
    <mergeCell ref="A63:I63"/>
    <mergeCell ref="A64:H64"/>
    <mergeCell ref="J64:K64"/>
    <mergeCell ref="M65:N65"/>
    <mergeCell ref="A66:K66"/>
    <mergeCell ref="A67:G67"/>
    <mergeCell ref="E69:G69"/>
    <mergeCell ref="A73:K73"/>
    <mergeCell ref="A65:H65"/>
    <mergeCell ref="J65:K65"/>
  </mergeCells>
  <pageMargins left="0.11811023622047245" right="0.11811023622047245" top="0.59055118110236227" bottom="0.19685039370078741" header="0.31496062992125984" footer="0.31496062992125984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H114"/>
  <sheetViews>
    <sheetView showZeros="0" zoomScale="75" zoomScaleNormal="75" workbookViewId="0">
      <selection activeCell="U14" sqref="U14"/>
    </sheetView>
  </sheetViews>
  <sheetFormatPr defaultColWidth="10.28515625" defaultRowHeight="15" x14ac:dyDescent="0.2"/>
  <cols>
    <col min="1" max="1" width="3.28515625" style="119" customWidth="1"/>
    <col min="2" max="2" width="8.28515625" style="224" customWidth="1"/>
    <col min="3" max="3" width="63.5703125" style="128" customWidth="1"/>
    <col min="4" max="7" width="47.140625" style="128" hidden="1" customWidth="1"/>
    <col min="8" max="8" width="21.7109375" style="118" bestFit="1" customWidth="1"/>
    <col min="9" max="9" width="19.42578125" style="119" customWidth="1"/>
    <col min="10" max="10" width="19.42578125" style="119" hidden="1" customWidth="1"/>
    <col min="11" max="11" width="19.42578125" style="119" customWidth="1"/>
    <col min="12" max="12" width="19.42578125" style="119" hidden="1" customWidth="1"/>
    <col min="13" max="13" width="19.42578125" style="119" customWidth="1"/>
    <col min="14" max="18" width="19.42578125" style="119" hidden="1" customWidth="1"/>
    <col min="19" max="16384" width="10.28515625" style="119"/>
  </cols>
  <sheetData>
    <row r="1" spans="1:19" ht="15.75" x14ac:dyDescent="0.25">
      <c r="A1" s="115"/>
      <c r="B1" s="116"/>
      <c r="C1" s="117"/>
      <c r="D1" s="117"/>
      <c r="E1" s="117"/>
      <c r="F1" s="117"/>
      <c r="G1" s="117"/>
      <c r="J1" s="120"/>
      <c r="O1" s="121"/>
      <c r="P1" s="120"/>
      <c r="Q1" s="121"/>
    </row>
    <row r="2" spans="1:19" ht="51.75" customHeight="1" x14ac:dyDescent="0.2">
      <c r="A2" s="115"/>
      <c r="B2" s="276" t="s">
        <v>203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20"/>
      <c r="Q2" s="121"/>
    </row>
    <row r="3" spans="1:19" ht="15.75" x14ac:dyDescent="0.25">
      <c r="A3" s="115"/>
      <c r="B3" s="116"/>
      <c r="C3" s="117"/>
      <c r="D3" s="117"/>
      <c r="E3" s="117"/>
      <c r="F3" s="117"/>
      <c r="G3" s="117"/>
      <c r="J3" s="120"/>
      <c r="O3" s="121"/>
      <c r="P3" s="120"/>
      <c r="Q3" s="121"/>
    </row>
    <row r="4" spans="1:19" ht="15.75" x14ac:dyDescent="0.25">
      <c r="A4" s="115"/>
      <c r="B4" s="116"/>
      <c r="C4" s="117"/>
      <c r="D4" s="117"/>
      <c r="E4" s="117"/>
      <c r="F4" s="117"/>
      <c r="G4" s="117"/>
      <c r="J4" s="120"/>
      <c r="O4" s="121"/>
      <c r="P4" s="120"/>
      <c r="Q4" s="121"/>
    </row>
    <row r="5" spans="1:19" ht="15.75" x14ac:dyDescent="0.25">
      <c r="A5" s="115"/>
      <c r="B5" s="116"/>
      <c r="C5" s="117"/>
      <c r="D5" s="117"/>
      <c r="E5" s="117"/>
      <c r="F5" s="117"/>
      <c r="G5" s="117"/>
      <c r="J5" s="120"/>
      <c r="O5" s="121"/>
      <c r="P5" s="120"/>
      <c r="Q5" s="121"/>
    </row>
    <row r="6" spans="1:19" ht="32.25" customHeight="1" x14ac:dyDescent="0.35">
      <c r="A6" s="115"/>
      <c r="B6" s="277" t="s">
        <v>204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120"/>
      <c r="Q6" s="121"/>
    </row>
    <row r="7" spans="1:19" ht="15.75" x14ac:dyDescent="0.25">
      <c r="A7" s="115"/>
      <c r="B7" s="116"/>
      <c r="C7" s="122"/>
      <c r="D7" s="122"/>
      <c r="E7" s="122"/>
      <c r="F7" s="122"/>
      <c r="G7" s="122"/>
      <c r="H7" s="123"/>
      <c r="I7" s="117"/>
      <c r="J7" s="235"/>
      <c r="K7" s="235"/>
      <c r="L7" s="236"/>
      <c r="M7" s="236"/>
      <c r="N7" s="236"/>
      <c r="O7" s="121"/>
      <c r="P7" s="121"/>
      <c r="Q7" s="121"/>
    </row>
    <row r="8" spans="1:19" ht="15.75" x14ac:dyDescent="0.25">
      <c r="A8" s="115"/>
      <c r="B8" s="244" t="s">
        <v>202</v>
      </c>
      <c r="C8" s="244"/>
      <c r="D8" s="244"/>
      <c r="E8" s="244"/>
      <c r="F8" s="244"/>
      <c r="G8" s="244"/>
      <c r="H8" s="244"/>
      <c r="I8" s="237"/>
      <c r="J8" s="237"/>
      <c r="K8" s="236"/>
      <c r="L8" s="236"/>
      <c r="M8" s="236"/>
      <c r="N8" s="236"/>
      <c r="O8" s="121"/>
      <c r="P8" s="121"/>
      <c r="Q8" s="121"/>
    </row>
    <row r="9" spans="1:19" ht="15.75" x14ac:dyDescent="0.25">
      <c r="A9" s="115"/>
      <c r="B9" s="245" t="s">
        <v>195</v>
      </c>
      <c r="C9" s="246"/>
      <c r="D9" s="246"/>
      <c r="E9" s="246"/>
      <c r="F9" s="246"/>
      <c r="G9" s="246"/>
      <c r="H9" s="237"/>
      <c r="I9" s="236"/>
      <c r="J9" s="112">
        <v>43341</v>
      </c>
      <c r="K9" s="124" t="s">
        <v>196</v>
      </c>
      <c r="L9" s="236"/>
      <c r="M9" s="238">
        <v>43341</v>
      </c>
      <c r="N9" s="236"/>
      <c r="O9" s="121"/>
      <c r="P9" s="121"/>
      <c r="Q9" s="121"/>
    </row>
    <row r="10" spans="1:19" ht="15.75" customHeight="1" x14ac:dyDescent="0.25">
      <c r="A10" s="115"/>
      <c r="B10" s="245" t="s">
        <v>205</v>
      </c>
      <c r="C10" s="246"/>
      <c r="D10" s="246"/>
      <c r="E10" s="246"/>
      <c r="F10" s="246"/>
      <c r="G10" s="246"/>
      <c r="H10" s="246"/>
      <c r="I10" s="246"/>
      <c r="J10" s="237"/>
      <c r="K10" s="236"/>
      <c r="L10" s="239"/>
      <c r="M10" s="127"/>
      <c r="N10" s="121"/>
      <c r="O10" s="121"/>
      <c r="P10" s="121"/>
      <c r="Q10" s="121"/>
    </row>
    <row r="11" spans="1:19" ht="15.75" x14ac:dyDescent="0.25">
      <c r="A11" s="115"/>
      <c r="B11" s="111" t="s">
        <v>197</v>
      </c>
      <c r="C11" s="127"/>
      <c r="D11" s="240"/>
      <c r="E11" s="240"/>
      <c r="F11" s="129"/>
      <c r="G11" s="239"/>
      <c r="H11" s="236"/>
      <c r="I11" s="236"/>
      <c r="J11" s="236"/>
      <c r="K11" s="236"/>
      <c r="L11" s="239"/>
      <c r="M11" s="127"/>
      <c r="N11" s="121"/>
      <c r="O11" s="121"/>
      <c r="P11" s="121"/>
      <c r="Q11" s="121"/>
    </row>
    <row r="12" spans="1:19" ht="15.75" x14ac:dyDescent="0.25">
      <c r="A12" s="115"/>
      <c r="B12" s="116"/>
      <c r="C12" s="240"/>
      <c r="D12" s="240"/>
      <c r="E12" s="240"/>
      <c r="F12" s="240"/>
      <c r="G12" s="240"/>
      <c r="H12" s="241"/>
      <c r="I12" s="236"/>
      <c r="J12" s="236"/>
      <c r="K12" s="236"/>
      <c r="L12" s="236"/>
      <c r="M12" s="236"/>
      <c r="N12" s="236"/>
      <c r="O12" s="236"/>
    </row>
    <row r="13" spans="1:19" ht="4.5" customHeight="1" thickBot="1" x14ac:dyDescent="0.25">
      <c r="A13" s="115"/>
      <c r="B13" s="116"/>
    </row>
    <row r="14" spans="1:19" ht="20.100000000000001" customHeight="1" thickBot="1" x14ac:dyDescent="0.25">
      <c r="A14" s="130"/>
      <c r="B14" s="131"/>
      <c r="C14" s="132"/>
      <c r="D14" s="132"/>
      <c r="E14" s="132"/>
      <c r="F14" s="132"/>
      <c r="G14" s="132"/>
      <c r="H14" s="133"/>
      <c r="I14" s="134" t="s">
        <v>206</v>
      </c>
      <c r="J14" s="134"/>
      <c r="K14" s="134" t="s">
        <v>207</v>
      </c>
      <c r="L14" s="134"/>
      <c r="M14" s="134" t="s">
        <v>208</v>
      </c>
      <c r="N14" s="134"/>
      <c r="O14" s="135"/>
      <c r="R14" s="136"/>
      <c r="S14" s="137"/>
    </row>
    <row r="15" spans="1:19" ht="16.5" hidden="1" thickBot="1" x14ac:dyDescent="0.25">
      <c r="A15" s="130"/>
      <c r="B15" s="131"/>
      <c r="C15" s="138"/>
      <c r="D15" s="139"/>
      <c r="E15" s="139"/>
      <c r="F15" s="139"/>
      <c r="G15" s="139"/>
      <c r="H15" s="140"/>
      <c r="I15" s="141" t="e">
        <f>WEEKDAY(#REF!)</f>
        <v>#REF!</v>
      </c>
      <c r="J15" s="142"/>
      <c r="K15" s="143" t="e">
        <f>WEEKDAY(#REF!)</f>
        <v>#REF!</v>
      </c>
      <c r="L15" s="144"/>
      <c r="M15" s="143" t="e">
        <f>WEEKDAY(#REF!)</f>
        <v>#REF!</v>
      </c>
      <c r="N15" s="142"/>
      <c r="O15" s="142"/>
      <c r="P15" s="142"/>
      <c r="Q15" s="144"/>
    </row>
    <row r="16" spans="1:19" ht="24" customHeight="1" thickBot="1" x14ac:dyDescent="0.25">
      <c r="A16" s="145"/>
      <c r="B16" s="146" t="s">
        <v>209</v>
      </c>
      <c r="C16" s="147" t="s">
        <v>210</v>
      </c>
      <c r="D16" s="148"/>
      <c r="E16" s="148"/>
      <c r="F16" s="148"/>
      <c r="G16" s="148"/>
      <c r="H16" s="149" t="s">
        <v>211</v>
      </c>
      <c r="I16" s="150">
        <v>30</v>
      </c>
      <c r="J16" s="151">
        <f>$I$16</f>
        <v>30</v>
      </c>
      <c r="K16" s="152">
        <f>I16+J16</f>
        <v>60</v>
      </c>
      <c r="L16" s="151">
        <f>$I$16</f>
        <v>30</v>
      </c>
      <c r="M16" s="152">
        <f>K16+L16</f>
        <v>90</v>
      </c>
      <c r="N16" s="151">
        <f>$I$16</f>
        <v>30</v>
      </c>
      <c r="O16" s="151">
        <f>$I$16</f>
        <v>30</v>
      </c>
      <c r="P16" s="153">
        <f>$I$16</f>
        <v>30</v>
      </c>
      <c r="Q16" s="151">
        <f>$I$16</f>
        <v>30</v>
      </c>
      <c r="R16" s="154">
        <f>$I$16</f>
        <v>30</v>
      </c>
    </row>
    <row r="17" spans="1:18" ht="24" customHeight="1" thickBot="1" x14ac:dyDescent="0.25">
      <c r="A17" s="145"/>
      <c r="B17" s="278" t="s">
        <v>205</v>
      </c>
      <c r="C17" s="279"/>
      <c r="D17" s="279"/>
      <c r="E17" s="279"/>
      <c r="F17" s="279"/>
      <c r="G17" s="279"/>
      <c r="H17" s="279"/>
      <c r="I17" s="155"/>
      <c r="J17" s="156"/>
      <c r="K17" s="157"/>
      <c r="L17" s="156"/>
      <c r="M17" s="157"/>
      <c r="N17" s="156"/>
      <c r="O17" s="156"/>
      <c r="P17" s="158"/>
      <c r="Q17" s="156"/>
      <c r="R17" s="159"/>
    </row>
    <row r="18" spans="1:18" ht="18" customHeight="1" x14ac:dyDescent="0.2">
      <c r="A18" s="145"/>
      <c r="B18" s="160"/>
      <c r="C18" s="161"/>
      <c r="D18" s="162"/>
      <c r="E18" s="162"/>
      <c r="F18" s="162"/>
      <c r="G18" s="162"/>
      <c r="H18" s="163"/>
      <c r="I18" s="164">
        <v>1</v>
      </c>
      <c r="J18" s="165"/>
      <c r="K18" s="165">
        <f>1-SUM(I18:J18)</f>
        <v>0</v>
      </c>
      <c r="L18" s="165"/>
      <c r="M18" s="165">
        <f>1-SUM(I18:L18)</f>
        <v>0</v>
      </c>
      <c r="N18" s="165"/>
      <c r="O18" s="165"/>
      <c r="P18" s="166"/>
      <c r="Q18" s="165"/>
      <c r="R18" s="167"/>
    </row>
    <row r="19" spans="1:18" ht="18" customHeight="1" x14ac:dyDescent="0.2">
      <c r="A19" s="145"/>
      <c r="B19" s="168">
        <v>1</v>
      </c>
      <c r="C19" s="169" t="str">
        <f>[1]PLANILHA!E17</f>
        <v>SERVIÇOS PRELIMINARES</v>
      </c>
      <c r="D19" s="170"/>
      <c r="E19" s="170"/>
      <c r="F19" s="170"/>
      <c r="G19" s="170"/>
      <c r="H19" s="169">
        <f>[1]PLANILHA!K21</f>
        <v>134355.57</v>
      </c>
      <c r="I19" s="171"/>
      <c r="J19" s="172"/>
      <c r="K19" s="172"/>
      <c r="L19" s="172"/>
      <c r="M19" s="172"/>
      <c r="N19" s="172"/>
      <c r="O19" s="172"/>
      <c r="P19" s="172"/>
      <c r="Q19" s="172"/>
      <c r="R19" s="173"/>
    </row>
    <row r="20" spans="1:18" ht="18" customHeight="1" thickBot="1" x14ac:dyDescent="0.25">
      <c r="A20" s="145"/>
      <c r="B20" s="174"/>
      <c r="C20" s="175"/>
      <c r="D20" s="176"/>
      <c r="E20" s="176"/>
      <c r="F20" s="176"/>
      <c r="G20" s="176"/>
      <c r="H20" s="177"/>
      <c r="I20" s="178">
        <f>(I18*H19)</f>
        <v>134355.57</v>
      </c>
      <c r="J20" s="179">
        <f>(I20)</f>
        <v>134355.57</v>
      </c>
      <c r="K20" s="179">
        <f>(K18*H19)</f>
        <v>0</v>
      </c>
      <c r="L20" s="179">
        <f>(K20)</f>
        <v>0</v>
      </c>
      <c r="M20" s="179">
        <f>(M18*H19)</f>
        <v>0</v>
      </c>
      <c r="N20" s="179">
        <f>(M20)</f>
        <v>0</v>
      </c>
      <c r="O20" s="179" t="e">
        <f>(#REF!)</f>
        <v>#REF!</v>
      </c>
      <c r="P20" s="180" t="e">
        <f>(#REF!)</f>
        <v>#REF!</v>
      </c>
      <c r="Q20" s="179" t="e">
        <f>(#REF!)</f>
        <v>#REF!</v>
      </c>
      <c r="R20" s="181" t="e">
        <f>(#REF!)</f>
        <v>#REF!</v>
      </c>
    </row>
    <row r="21" spans="1:18" ht="18" customHeight="1" x14ac:dyDescent="0.2">
      <c r="A21" s="145"/>
      <c r="B21" s="160"/>
      <c r="C21" s="161"/>
      <c r="D21" s="162"/>
      <c r="E21" s="162"/>
      <c r="F21" s="162"/>
      <c r="G21" s="162"/>
      <c r="H21" s="163"/>
      <c r="I21" s="164">
        <v>1</v>
      </c>
      <c r="J21" s="165"/>
      <c r="K21" s="165"/>
      <c r="L21" s="165"/>
      <c r="M21" s="165"/>
      <c r="N21" s="165"/>
      <c r="O21" s="165"/>
      <c r="P21" s="166"/>
      <c r="Q21" s="165"/>
      <c r="R21" s="167"/>
    </row>
    <row r="22" spans="1:18" ht="18" customHeight="1" x14ac:dyDescent="0.2">
      <c r="A22" s="145"/>
      <c r="B22" s="168">
        <v>2</v>
      </c>
      <c r="C22" s="169" t="str">
        <f>[1]PLANILHA!E22</f>
        <v>SERVIÇOS DE CONSERVAÇÃO</v>
      </c>
      <c r="D22" s="182"/>
      <c r="E22" s="182"/>
      <c r="F22" s="182"/>
      <c r="G22" s="182"/>
      <c r="H22" s="169">
        <f>[1]PLANILHA!K25</f>
        <v>193600</v>
      </c>
      <c r="I22" s="171"/>
      <c r="J22" s="172"/>
      <c r="K22" s="172"/>
      <c r="L22" s="172"/>
      <c r="M22" s="172"/>
      <c r="N22" s="172"/>
      <c r="O22" s="172"/>
      <c r="P22" s="172"/>
      <c r="Q22" s="172"/>
      <c r="R22" s="173"/>
    </row>
    <row r="23" spans="1:18" ht="18" customHeight="1" thickBot="1" x14ac:dyDescent="0.25">
      <c r="A23" s="145"/>
      <c r="B23" s="174"/>
      <c r="C23" s="175"/>
      <c r="D23" s="176"/>
      <c r="E23" s="176"/>
      <c r="F23" s="176"/>
      <c r="G23" s="176"/>
      <c r="H23" s="177"/>
      <c r="I23" s="178">
        <f>(I21*H22)</f>
        <v>193600</v>
      </c>
      <c r="J23" s="179">
        <f>(I23)</f>
        <v>193600</v>
      </c>
      <c r="K23" s="179">
        <f>(K21*H22)</f>
        <v>0</v>
      </c>
      <c r="L23" s="179">
        <f>(K23)</f>
        <v>0</v>
      </c>
      <c r="M23" s="179">
        <f>(M21*H22)</f>
        <v>0</v>
      </c>
      <c r="N23" s="179">
        <f>(M23)</f>
        <v>0</v>
      </c>
      <c r="O23" s="179" t="e">
        <f>(#REF!)</f>
        <v>#REF!</v>
      </c>
      <c r="P23" s="180" t="e">
        <f>(#REF!)</f>
        <v>#REF!</v>
      </c>
      <c r="Q23" s="179" t="e">
        <f>(#REF!)</f>
        <v>#REF!</v>
      </c>
      <c r="R23" s="181" t="e">
        <f>(#REF!)</f>
        <v>#REF!</v>
      </c>
    </row>
    <row r="24" spans="1:18" ht="18" customHeight="1" x14ac:dyDescent="0.2">
      <c r="A24" s="145"/>
      <c r="B24" s="160"/>
      <c r="C24" s="183"/>
      <c r="D24" s="184"/>
      <c r="E24" s="184"/>
      <c r="F24" s="184"/>
      <c r="G24" s="184"/>
      <c r="H24" s="185"/>
      <c r="I24" s="164">
        <v>0.5</v>
      </c>
      <c r="J24" s="165"/>
      <c r="K24" s="165">
        <v>0.5</v>
      </c>
      <c r="L24" s="165"/>
      <c r="M24" s="165"/>
      <c r="N24" s="165"/>
      <c r="O24" s="165"/>
      <c r="P24" s="166"/>
      <c r="Q24" s="165"/>
      <c r="R24" s="167"/>
    </row>
    <row r="25" spans="1:18" ht="18" customHeight="1" x14ac:dyDescent="0.2">
      <c r="A25" s="145"/>
      <c r="B25" s="186">
        <v>3</v>
      </c>
      <c r="C25" s="187" t="str">
        <f>[1]PLANILHA!E29</f>
        <v>SERVIÇOS DE TERRAPLENAGEM</v>
      </c>
      <c r="D25" s="170"/>
      <c r="E25" s="170"/>
      <c r="F25" s="170"/>
      <c r="G25" s="170"/>
      <c r="H25" s="187">
        <f>[1]PLANILHA!K34</f>
        <v>1347359.58</v>
      </c>
      <c r="I25" s="171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1:18" ht="18" customHeight="1" thickBot="1" x14ac:dyDescent="0.25">
      <c r="A26" s="145"/>
      <c r="B26" s="174"/>
      <c r="C26" s="188"/>
      <c r="D26" s="189"/>
      <c r="E26" s="189"/>
      <c r="F26" s="189"/>
      <c r="G26" s="189"/>
      <c r="H26" s="190"/>
      <c r="I26" s="178">
        <f>(I24*H25)</f>
        <v>673679.79</v>
      </c>
      <c r="J26" s="179">
        <f>(I26)</f>
        <v>673679.79</v>
      </c>
      <c r="K26" s="179">
        <f>(K24*H25)</f>
        <v>673679.79</v>
      </c>
      <c r="L26" s="179">
        <f>(K26)</f>
        <v>673679.79</v>
      </c>
      <c r="M26" s="179">
        <f>(M24*H25)</f>
        <v>0</v>
      </c>
      <c r="N26" s="179">
        <f>(M26)</f>
        <v>0</v>
      </c>
      <c r="O26" s="179" t="e">
        <f>(#REF!)</f>
        <v>#REF!</v>
      </c>
      <c r="P26" s="180" t="e">
        <f>(#REF!)</f>
        <v>#REF!</v>
      </c>
      <c r="Q26" s="179" t="e">
        <f>(#REF!)</f>
        <v>#REF!</v>
      </c>
      <c r="R26" s="181" t="e">
        <f>(#REF!)</f>
        <v>#REF!</v>
      </c>
    </row>
    <row r="27" spans="1:18" ht="18" customHeight="1" x14ac:dyDescent="0.2">
      <c r="A27" s="145"/>
      <c r="B27" s="160"/>
      <c r="C27" s="161"/>
      <c r="D27" s="162"/>
      <c r="E27" s="162"/>
      <c r="F27" s="162"/>
      <c r="G27" s="162"/>
      <c r="H27" s="163"/>
      <c r="I27" s="164"/>
      <c r="J27" s="165"/>
      <c r="K27" s="165">
        <v>0.5</v>
      </c>
      <c r="L27" s="165"/>
      <c r="M27" s="165">
        <v>0.5</v>
      </c>
      <c r="N27" s="165"/>
      <c r="O27" s="165"/>
      <c r="P27" s="191"/>
      <c r="Q27" s="191"/>
      <c r="R27" s="192"/>
    </row>
    <row r="28" spans="1:18" ht="18" customHeight="1" x14ac:dyDescent="0.2">
      <c r="A28" s="145"/>
      <c r="B28" s="168">
        <v>4</v>
      </c>
      <c r="C28" s="169" t="str">
        <f>[1]PLANILHA!E35</f>
        <v>SERVIÇOS DE PAVIMENTAÇÃO</v>
      </c>
      <c r="D28" s="170"/>
      <c r="E28" s="170"/>
      <c r="F28" s="170"/>
      <c r="G28" s="170"/>
      <c r="H28" s="169">
        <f>[1]PLANILHA!K57</f>
        <v>3201148.17</v>
      </c>
      <c r="I28" s="171"/>
      <c r="J28" s="172"/>
      <c r="K28" s="172"/>
      <c r="L28" s="172"/>
      <c r="M28" s="172"/>
      <c r="N28" s="172"/>
      <c r="O28" s="172"/>
      <c r="P28" s="191"/>
      <c r="Q28" s="191"/>
      <c r="R28" s="192"/>
    </row>
    <row r="29" spans="1:18" ht="18" customHeight="1" thickBot="1" x14ac:dyDescent="0.25">
      <c r="A29" s="145"/>
      <c r="B29" s="174"/>
      <c r="C29" s="175"/>
      <c r="D29" s="176"/>
      <c r="E29" s="176"/>
      <c r="F29" s="176"/>
      <c r="G29" s="176"/>
      <c r="H29" s="177"/>
      <c r="I29" s="178">
        <f>(I27*H28)</f>
        <v>0</v>
      </c>
      <c r="J29" s="179">
        <f>(I29)</f>
        <v>0</v>
      </c>
      <c r="K29" s="179">
        <f>(K27*H28)</f>
        <v>1600574.085</v>
      </c>
      <c r="L29" s="179">
        <f>(K29)</f>
        <v>1600574.085</v>
      </c>
      <c r="M29" s="179">
        <f>(M27*H28)</f>
        <v>1600574.085</v>
      </c>
      <c r="N29" s="179">
        <f>(M29)</f>
        <v>1600574.085</v>
      </c>
      <c r="O29" s="179" t="e">
        <f>(#REF!)</f>
        <v>#REF!</v>
      </c>
      <c r="P29" s="191"/>
      <c r="Q29" s="191"/>
      <c r="R29" s="192"/>
    </row>
    <row r="30" spans="1:18" ht="18" customHeight="1" x14ac:dyDescent="0.2">
      <c r="A30" s="145"/>
      <c r="B30" s="160"/>
      <c r="C30" s="161"/>
      <c r="D30" s="162"/>
      <c r="E30" s="162"/>
      <c r="F30" s="162"/>
      <c r="G30" s="162"/>
      <c r="H30" s="163"/>
      <c r="I30" s="164"/>
      <c r="J30" s="165"/>
      <c r="K30" s="165">
        <v>1</v>
      </c>
      <c r="L30" s="165"/>
      <c r="M30" s="165"/>
      <c r="N30" s="165"/>
      <c r="O30" s="165"/>
      <c r="P30" s="191"/>
      <c r="Q30" s="191"/>
      <c r="R30" s="192"/>
    </row>
    <row r="31" spans="1:18" ht="18" customHeight="1" x14ac:dyDescent="0.2">
      <c r="A31" s="145"/>
      <c r="B31" s="168">
        <v>5</v>
      </c>
      <c r="C31" s="169" t="str">
        <f>[1]PLANILHA!E58</f>
        <v>SERVIÇOS DE OBRA DE ARTE CORRENTE (OAC)</v>
      </c>
      <c r="D31" s="170"/>
      <c r="E31" s="170"/>
      <c r="F31" s="170"/>
      <c r="G31" s="170"/>
      <c r="H31" s="169">
        <f>[1]PLANILHA!K63</f>
        <v>81143.26999999999</v>
      </c>
      <c r="I31" s="171"/>
      <c r="J31" s="172"/>
      <c r="K31" s="172"/>
      <c r="L31" s="172"/>
      <c r="M31" s="172"/>
      <c r="N31" s="172"/>
      <c r="O31" s="172"/>
      <c r="P31" s="191"/>
      <c r="Q31" s="191"/>
      <c r="R31" s="192"/>
    </row>
    <row r="32" spans="1:18" ht="18" customHeight="1" thickBot="1" x14ac:dyDescent="0.25">
      <c r="A32" s="145"/>
      <c r="B32" s="174"/>
      <c r="C32" s="175"/>
      <c r="D32" s="176"/>
      <c r="E32" s="176"/>
      <c r="F32" s="176"/>
      <c r="G32" s="176"/>
      <c r="H32" s="177"/>
      <c r="I32" s="178">
        <f>(I30*H31)</f>
        <v>0</v>
      </c>
      <c r="J32" s="179">
        <f>(I32)</f>
        <v>0</v>
      </c>
      <c r="K32" s="179">
        <f>(K30*H31)</f>
        <v>81143.26999999999</v>
      </c>
      <c r="L32" s="179">
        <f>(K32)</f>
        <v>81143.26999999999</v>
      </c>
      <c r="M32" s="179">
        <f>(M30*H31)</f>
        <v>0</v>
      </c>
      <c r="N32" s="179">
        <f>(M32)</f>
        <v>0</v>
      </c>
      <c r="O32" s="179" t="e">
        <f>(#REF!)</f>
        <v>#REF!</v>
      </c>
      <c r="P32" s="191"/>
      <c r="Q32" s="191"/>
      <c r="R32" s="192"/>
    </row>
    <row r="33" spans="1:18" ht="18" customHeight="1" x14ac:dyDescent="0.2">
      <c r="A33" s="193"/>
      <c r="B33" s="194"/>
      <c r="C33" s="195"/>
      <c r="D33" s="195"/>
      <c r="E33" s="195"/>
      <c r="F33" s="195"/>
      <c r="G33" s="195"/>
      <c r="H33" s="196" t="s">
        <v>212</v>
      </c>
      <c r="I33" s="197">
        <f>(I34/$C$35)</f>
        <v>0.59787876925723493</v>
      </c>
      <c r="J33" s="198"/>
      <c r="K33" s="197">
        <f>(K34/$C$35)</f>
        <v>1.4059427236720206</v>
      </c>
      <c r="L33" s="198"/>
      <c r="M33" s="197">
        <f>(M34/$C$35)</f>
        <v>0.95538686258522754</v>
      </c>
      <c r="N33" s="198"/>
      <c r="O33" s="198"/>
      <c r="P33" s="198"/>
      <c r="Q33" s="198"/>
      <c r="R33" s="199"/>
    </row>
    <row r="34" spans="1:18" ht="18" customHeight="1" thickBot="1" x14ac:dyDescent="0.25">
      <c r="A34" s="193"/>
      <c r="B34" s="200"/>
      <c r="C34" s="201" t="s">
        <v>213</v>
      </c>
      <c r="D34" s="201"/>
      <c r="E34" s="201"/>
      <c r="F34" s="201"/>
      <c r="G34" s="201"/>
      <c r="H34" s="202" t="s">
        <v>214</v>
      </c>
      <c r="I34" s="203">
        <f>I26+I23+I20</f>
        <v>1001635.3600000001</v>
      </c>
      <c r="J34" s="203">
        <f>SUM(J18:J26)</f>
        <v>1001635.3600000001</v>
      </c>
      <c r="K34" s="203">
        <f>K32+K26+K23+K29</f>
        <v>2355397.145</v>
      </c>
      <c r="L34" s="203">
        <f>SUM(L18:L26)</f>
        <v>673679.79</v>
      </c>
      <c r="M34" s="203">
        <f>M32+M29+M23</f>
        <v>1600574.085</v>
      </c>
      <c r="N34" s="203">
        <f>SUM(N18:N26)</f>
        <v>0</v>
      </c>
      <c r="O34" s="203" t="e">
        <f>SUM(O18:O26)</f>
        <v>#REF!</v>
      </c>
      <c r="P34" s="203" t="e">
        <f>SUM(P18:P26)</f>
        <v>#REF!</v>
      </c>
      <c r="Q34" s="203" t="e">
        <f>SUM(Q18:Q26)</f>
        <v>#REF!</v>
      </c>
      <c r="R34" s="181" t="e">
        <f>SUM(R18:R26)</f>
        <v>#REF!</v>
      </c>
    </row>
    <row r="35" spans="1:18" ht="18" hidden="1" customHeight="1" x14ac:dyDescent="0.2">
      <c r="A35" s="193"/>
      <c r="B35" s="200"/>
      <c r="C35" s="204">
        <f>IF((SUM(H18:H26))&gt;0,(SUM(H18:H26)),0.001)</f>
        <v>1675315.1500000001</v>
      </c>
      <c r="D35" s="204"/>
      <c r="E35" s="204"/>
      <c r="F35" s="204"/>
      <c r="G35" s="204"/>
      <c r="H35" s="205"/>
      <c r="I35" s="206"/>
      <c r="J35" s="207"/>
      <c r="K35" s="206"/>
      <c r="L35" s="207"/>
      <c r="M35" s="206"/>
      <c r="N35" s="207"/>
      <c r="O35" s="207"/>
      <c r="P35" s="207"/>
      <c r="Q35" s="207"/>
      <c r="R35" s="208"/>
    </row>
    <row r="36" spans="1:18" ht="18" customHeight="1" x14ac:dyDescent="0.2">
      <c r="A36" s="193"/>
      <c r="B36" s="200"/>
      <c r="C36" s="201" t="s">
        <v>215</v>
      </c>
      <c r="D36" s="201"/>
      <c r="E36" s="201"/>
      <c r="F36" s="201"/>
      <c r="G36" s="201"/>
      <c r="H36" s="209" t="s">
        <v>212</v>
      </c>
      <c r="I36" s="210">
        <f>(I33)</f>
        <v>0.59787876925723493</v>
      </c>
      <c r="J36" s="211"/>
      <c r="K36" s="210">
        <f>(I36+K33)</f>
        <v>2.0038214929292555</v>
      </c>
      <c r="L36" s="211"/>
      <c r="M36" s="210">
        <f>(K36+M33)</f>
        <v>2.959208355514483</v>
      </c>
      <c r="N36" s="211"/>
      <c r="O36" s="211"/>
      <c r="P36" s="211"/>
      <c r="Q36" s="211"/>
      <c r="R36" s="167"/>
    </row>
    <row r="37" spans="1:18" ht="18" customHeight="1" thickBot="1" x14ac:dyDescent="0.25">
      <c r="A37" s="193"/>
      <c r="B37" s="212"/>
      <c r="C37" s="213"/>
      <c r="D37" s="213"/>
      <c r="E37" s="213"/>
      <c r="F37" s="213"/>
      <c r="G37" s="213"/>
      <c r="H37" s="202" t="s">
        <v>216</v>
      </c>
      <c r="I37" s="203">
        <f>(I34)</f>
        <v>1001635.3600000001</v>
      </c>
      <c r="J37" s="214"/>
      <c r="K37" s="203">
        <f>(I37+K34)</f>
        <v>3357032.5049999999</v>
      </c>
      <c r="L37" s="214"/>
      <c r="M37" s="203">
        <f>(K37+M34)</f>
        <v>4957606.59</v>
      </c>
      <c r="N37" s="214"/>
      <c r="O37" s="214"/>
      <c r="P37" s="214"/>
      <c r="Q37" s="214"/>
      <c r="R37" s="215"/>
    </row>
    <row r="38" spans="1:18" ht="5.25" customHeight="1" x14ac:dyDescent="0.2">
      <c r="A38" s="130" t="s">
        <v>217</v>
      </c>
      <c r="B38" s="216"/>
      <c r="C38" s="217"/>
      <c r="D38" s="217"/>
      <c r="E38" s="217"/>
      <c r="F38" s="217"/>
      <c r="G38" s="217"/>
      <c r="H38" s="218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8" ht="15.75" x14ac:dyDescent="0.2">
      <c r="A39" s="130"/>
      <c r="B39" s="216"/>
      <c r="C39" s="220"/>
      <c r="D39" s="220"/>
      <c r="E39" s="220"/>
      <c r="F39" s="220"/>
      <c r="G39" s="220"/>
      <c r="H39" s="221"/>
      <c r="I39" s="222"/>
      <c r="J39" s="222"/>
      <c r="K39" s="222"/>
      <c r="L39" s="222"/>
      <c r="M39" s="222"/>
      <c r="N39" s="222"/>
      <c r="O39" s="222"/>
      <c r="P39" s="219"/>
      <c r="Q39" s="219"/>
    </row>
    <row r="40" spans="1:18" ht="15.75" x14ac:dyDescent="0.2">
      <c r="A40" s="130"/>
      <c r="B40" s="216"/>
      <c r="C40" s="220"/>
      <c r="D40" s="220"/>
      <c r="E40" s="220"/>
      <c r="F40" s="220"/>
      <c r="G40" s="220"/>
      <c r="H40" s="221"/>
      <c r="I40" s="222"/>
      <c r="J40" s="222"/>
      <c r="K40" s="222"/>
      <c r="L40" s="222"/>
      <c r="M40" s="222"/>
      <c r="N40" s="222"/>
      <c r="O40" s="222"/>
      <c r="P40" s="219"/>
      <c r="Q40" s="219"/>
    </row>
    <row r="41" spans="1:18" ht="81.75" customHeight="1" x14ac:dyDescent="0.2">
      <c r="A41" s="130"/>
      <c r="B41" s="216"/>
      <c r="C41" s="265" t="s">
        <v>220</v>
      </c>
      <c r="D41" s="265"/>
      <c r="E41" s="265"/>
      <c r="F41" s="220"/>
      <c r="G41" s="220"/>
      <c r="H41" s="221"/>
      <c r="I41" s="222"/>
      <c r="J41" s="222"/>
      <c r="K41" s="222"/>
      <c r="L41" s="222"/>
      <c r="M41" s="222"/>
      <c r="N41" s="222"/>
      <c r="O41" s="222"/>
      <c r="P41" s="219"/>
      <c r="Q41" s="219"/>
    </row>
    <row r="42" spans="1:18" ht="15.75" x14ac:dyDescent="0.2">
      <c r="A42" s="130"/>
      <c r="B42" s="216"/>
      <c r="C42" s="220"/>
      <c r="D42" s="220"/>
      <c r="E42" s="220"/>
      <c r="F42" s="220"/>
      <c r="G42" s="220"/>
      <c r="H42" s="221"/>
      <c r="I42" s="222"/>
      <c r="J42" s="222"/>
      <c r="K42" s="222"/>
      <c r="L42" s="222"/>
      <c r="M42" s="222"/>
      <c r="N42" s="222"/>
      <c r="O42" s="222"/>
      <c r="P42" s="219"/>
      <c r="Q42" s="219"/>
    </row>
    <row r="43" spans="1:18" ht="15.75" x14ac:dyDescent="0.2">
      <c r="A43" s="130"/>
      <c r="B43" s="216"/>
      <c r="C43" s="220"/>
      <c r="D43" s="220"/>
      <c r="E43" s="220"/>
      <c r="F43" s="220"/>
      <c r="G43" s="220"/>
      <c r="H43" s="221"/>
      <c r="I43" s="222"/>
      <c r="J43" s="222"/>
      <c r="K43" s="222"/>
      <c r="L43" s="222"/>
      <c r="M43" s="222"/>
      <c r="N43" s="222"/>
      <c r="O43" s="222"/>
      <c r="P43" s="219"/>
      <c r="Q43" s="219"/>
    </row>
    <row r="44" spans="1:18" ht="15.75" x14ac:dyDescent="0.2">
      <c r="A44" s="130"/>
      <c r="B44" s="216"/>
      <c r="C44" s="220"/>
      <c r="D44" s="220"/>
      <c r="E44" s="220"/>
      <c r="F44" s="220"/>
      <c r="G44" s="220"/>
      <c r="H44" s="221"/>
      <c r="I44" s="222"/>
      <c r="J44" s="222"/>
      <c r="K44" s="222"/>
      <c r="L44" s="222"/>
      <c r="M44" s="222"/>
      <c r="N44" s="222"/>
      <c r="O44" s="222"/>
      <c r="P44" s="219"/>
      <c r="Q44" s="219"/>
    </row>
    <row r="45" spans="1:18" ht="78.75" customHeight="1" x14ac:dyDescent="0.25">
      <c r="B45" s="216"/>
      <c r="C45" s="275" t="s">
        <v>218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</row>
    <row r="46" spans="1:18" ht="15.75" x14ac:dyDescent="0.2">
      <c r="B46" s="216"/>
    </row>
    <row r="47" spans="1:18" ht="15.75" x14ac:dyDescent="0.2">
      <c r="B47" s="216"/>
    </row>
    <row r="48" spans="1:18" ht="15.75" x14ac:dyDescent="0.2">
      <c r="B48" s="216"/>
    </row>
    <row r="49" spans="1:242" ht="15.75" x14ac:dyDescent="0.2">
      <c r="B49" s="216"/>
    </row>
    <row r="50" spans="1:242" ht="15.75" x14ac:dyDescent="0.2">
      <c r="B50" s="216"/>
    </row>
    <row r="51" spans="1:242" ht="15.75" x14ac:dyDescent="0.2">
      <c r="B51" s="216"/>
    </row>
    <row r="52" spans="1:242" s="128" customFormat="1" ht="15.75" x14ac:dyDescent="0.2">
      <c r="A52" s="119"/>
      <c r="B52" s="216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</row>
    <row r="53" spans="1:242" s="128" customFormat="1" ht="15.75" x14ac:dyDescent="0.2">
      <c r="A53" s="119"/>
      <c r="B53" s="216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</row>
    <row r="54" spans="1:242" s="128" customFormat="1" ht="15.75" x14ac:dyDescent="0.2">
      <c r="A54" s="119"/>
      <c r="B54" s="216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</row>
    <row r="55" spans="1:242" s="128" customFormat="1" ht="15.75" x14ac:dyDescent="0.2">
      <c r="A55" s="119"/>
      <c r="B55" s="216"/>
      <c r="H55" s="118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</row>
    <row r="56" spans="1:242" s="128" customFormat="1" ht="15.75" x14ac:dyDescent="0.2">
      <c r="A56" s="119"/>
      <c r="B56" s="216"/>
      <c r="H56" s="118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</row>
    <row r="57" spans="1:242" s="128" customFormat="1" ht="15.75" x14ac:dyDescent="0.2">
      <c r="A57" s="119"/>
      <c r="B57" s="216"/>
      <c r="H57" s="118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</row>
    <row r="58" spans="1:242" s="128" customFormat="1" ht="15.75" x14ac:dyDescent="0.2">
      <c r="A58" s="119"/>
      <c r="B58" s="216"/>
      <c r="H58" s="118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</row>
    <row r="59" spans="1:242" s="128" customFormat="1" ht="15.75" x14ac:dyDescent="0.2">
      <c r="A59" s="119"/>
      <c r="B59" s="216"/>
      <c r="H59" s="118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</row>
    <row r="60" spans="1:242" s="128" customFormat="1" ht="15.75" x14ac:dyDescent="0.2">
      <c r="A60" s="119"/>
      <c r="B60" s="216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</row>
    <row r="61" spans="1:242" s="128" customFormat="1" ht="15.75" x14ac:dyDescent="0.2">
      <c r="A61" s="119"/>
      <c r="B61" s="216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</row>
    <row r="62" spans="1:242" s="128" customFormat="1" ht="15.75" x14ac:dyDescent="0.2">
      <c r="A62" s="119"/>
      <c r="B62" s="216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</row>
    <row r="63" spans="1:242" s="128" customFormat="1" ht="15.75" x14ac:dyDescent="0.2">
      <c r="A63" s="119"/>
      <c r="B63" s="216"/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</row>
    <row r="64" spans="1:242" s="128" customFormat="1" ht="15.75" x14ac:dyDescent="0.2">
      <c r="A64" s="119"/>
      <c r="B64" s="216"/>
      <c r="H64" s="118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</row>
    <row r="65" spans="1:242" s="128" customFormat="1" ht="15.75" x14ac:dyDescent="0.2">
      <c r="A65" s="119"/>
      <c r="B65" s="216"/>
      <c r="H65" s="118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</row>
    <row r="66" spans="1:242" s="128" customFormat="1" ht="15.75" x14ac:dyDescent="0.2">
      <c r="A66" s="119"/>
      <c r="B66" s="216"/>
      <c r="H66" s="118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</row>
    <row r="67" spans="1:242" s="128" customFormat="1" ht="15.75" x14ac:dyDescent="0.2">
      <c r="A67" s="119"/>
      <c r="B67" s="216"/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</row>
    <row r="68" spans="1:242" s="128" customFormat="1" ht="15.75" x14ac:dyDescent="0.2">
      <c r="A68" s="119"/>
      <c r="B68" s="216"/>
      <c r="H68" s="118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</row>
    <row r="69" spans="1:242" s="128" customFormat="1" ht="15.75" x14ac:dyDescent="0.2">
      <c r="A69" s="119"/>
      <c r="B69" s="216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</row>
    <row r="70" spans="1:242" s="128" customFormat="1" ht="15.75" x14ac:dyDescent="0.2">
      <c r="A70" s="119"/>
      <c r="B70" s="216"/>
      <c r="H70" s="118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</row>
    <row r="71" spans="1:242" s="128" customFormat="1" ht="15.75" x14ac:dyDescent="0.2">
      <c r="A71" s="119"/>
      <c r="B71" s="216"/>
      <c r="H71" s="118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</row>
    <row r="72" spans="1:242" s="128" customFormat="1" ht="15.75" x14ac:dyDescent="0.2">
      <c r="A72" s="119"/>
      <c r="B72" s="216"/>
      <c r="H72" s="118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</row>
    <row r="73" spans="1:242" s="128" customFormat="1" ht="15.75" x14ac:dyDescent="0.2">
      <c r="A73" s="119"/>
      <c r="B73" s="216"/>
      <c r="H73" s="118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</row>
    <row r="74" spans="1:242" s="128" customFormat="1" ht="15.75" x14ac:dyDescent="0.2">
      <c r="A74" s="119"/>
      <c r="B74" s="216"/>
      <c r="H74" s="118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</row>
    <row r="75" spans="1:242" s="128" customFormat="1" ht="15.75" x14ac:dyDescent="0.2">
      <c r="A75" s="119"/>
      <c r="B75" s="216"/>
      <c r="H75" s="118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</row>
    <row r="76" spans="1:242" s="128" customFormat="1" ht="15.75" x14ac:dyDescent="0.2">
      <c r="A76" s="119"/>
      <c r="B76" s="216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</row>
    <row r="77" spans="1:242" s="128" customFormat="1" ht="15.75" x14ac:dyDescent="0.2">
      <c r="A77" s="119"/>
      <c r="B77" s="216"/>
      <c r="H77" s="118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</row>
    <row r="78" spans="1:242" s="128" customFormat="1" ht="15.75" x14ac:dyDescent="0.2">
      <c r="A78" s="119"/>
      <c r="B78" s="216"/>
      <c r="H78" s="118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</row>
    <row r="79" spans="1:242" s="128" customFormat="1" ht="15.75" x14ac:dyDescent="0.2">
      <c r="A79" s="119"/>
      <c r="B79" s="216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</row>
    <row r="80" spans="1:242" s="128" customFormat="1" ht="15.75" x14ac:dyDescent="0.2">
      <c r="A80" s="119"/>
      <c r="B80" s="216"/>
      <c r="H80" s="118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</row>
    <row r="81" spans="1:242" s="128" customFormat="1" ht="15.75" x14ac:dyDescent="0.2">
      <c r="A81" s="119"/>
      <c r="B81" s="216"/>
      <c r="H81" s="118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</row>
    <row r="82" spans="1:242" s="128" customFormat="1" ht="15.75" x14ac:dyDescent="0.2">
      <c r="A82" s="119"/>
      <c r="B82" s="216"/>
      <c r="H82" s="118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</row>
    <row r="83" spans="1:242" s="128" customFormat="1" ht="15.75" x14ac:dyDescent="0.2">
      <c r="A83" s="119"/>
      <c r="B83" s="216"/>
      <c r="H83" s="118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</row>
    <row r="84" spans="1:242" s="128" customFormat="1" ht="15.75" x14ac:dyDescent="0.2">
      <c r="A84" s="119"/>
      <c r="B84" s="216"/>
      <c r="H84" s="118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</row>
    <row r="85" spans="1:242" s="128" customFormat="1" ht="15.75" x14ac:dyDescent="0.2">
      <c r="A85" s="119"/>
      <c r="B85" s="216"/>
      <c r="H85" s="118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</row>
    <row r="86" spans="1:242" s="128" customFormat="1" ht="15.75" x14ac:dyDescent="0.2">
      <c r="A86" s="119"/>
      <c r="B86" s="216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</row>
    <row r="87" spans="1:242" s="128" customFormat="1" ht="15.75" x14ac:dyDescent="0.2">
      <c r="A87" s="119"/>
      <c r="B87" s="216"/>
      <c r="H87" s="118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</row>
    <row r="88" spans="1:242" s="128" customFormat="1" ht="15.75" x14ac:dyDescent="0.2">
      <c r="A88" s="119"/>
      <c r="B88" s="216"/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</row>
    <row r="89" spans="1:242" s="128" customFormat="1" ht="15.75" x14ac:dyDescent="0.2">
      <c r="A89" s="119"/>
      <c r="B89" s="216"/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</row>
    <row r="90" spans="1:242" s="128" customFormat="1" ht="15.75" x14ac:dyDescent="0.2">
      <c r="A90" s="119"/>
      <c r="B90" s="216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</row>
    <row r="91" spans="1:242" s="128" customFormat="1" ht="15.75" x14ac:dyDescent="0.2">
      <c r="A91" s="119"/>
      <c r="B91" s="216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</row>
    <row r="92" spans="1:242" s="128" customFormat="1" ht="15.75" x14ac:dyDescent="0.2">
      <c r="A92" s="119"/>
      <c r="B92" s="216"/>
      <c r="H92" s="118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</row>
    <row r="93" spans="1:242" s="128" customFormat="1" ht="15.75" x14ac:dyDescent="0.2">
      <c r="A93" s="119"/>
      <c r="B93" s="216"/>
      <c r="H93" s="118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</row>
    <row r="94" spans="1:242" s="128" customFormat="1" ht="15.75" x14ac:dyDescent="0.2">
      <c r="A94" s="119"/>
      <c r="B94" s="216"/>
      <c r="H94" s="118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</row>
    <row r="95" spans="1:242" s="128" customFormat="1" ht="15.75" x14ac:dyDescent="0.2">
      <c r="A95" s="119"/>
      <c r="B95" s="216"/>
      <c r="H95" s="118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</row>
    <row r="96" spans="1:242" s="128" customFormat="1" x14ac:dyDescent="0.2">
      <c r="A96" s="119"/>
      <c r="B96" s="223"/>
      <c r="H96" s="118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</row>
    <row r="97" spans="1:242" s="128" customFormat="1" x14ac:dyDescent="0.2">
      <c r="A97" s="119"/>
      <c r="B97" s="223"/>
      <c r="H97" s="118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</row>
    <row r="98" spans="1:242" s="128" customFormat="1" x14ac:dyDescent="0.2">
      <c r="A98" s="119"/>
      <c r="B98" s="223"/>
      <c r="H98" s="118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</row>
    <row r="99" spans="1:242" s="128" customFormat="1" x14ac:dyDescent="0.2">
      <c r="A99" s="119"/>
      <c r="B99" s="223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</row>
    <row r="100" spans="1:242" s="128" customFormat="1" x14ac:dyDescent="0.2">
      <c r="A100" s="119"/>
      <c r="B100" s="223"/>
      <c r="H100" s="118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</row>
    <row r="101" spans="1:242" s="128" customFormat="1" x14ac:dyDescent="0.2">
      <c r="A101" s="119"/>
      <c r="B101" s="223"/>
      <c r="H101" s="118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</row>
    <row r="102" spans="1:242" s="128" customFormat="1" x14ac:dyDescent="0.2">
      <c r="A102" s="119"/>
      <c r="B102" s="223"/>
      <c r="H102" s="118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</row>
    <row r="103" spans="1:242" s="128" customFormat="1" x14ac:dyDescent="0.2">
      <c r="A103" s="119"/>
      <c r="B103" s="223"/>
      <c r="H103" s="118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</row>
    <row r="104" spans="1:242" s="128" customFormat="1" x14ac:dyDescent="0.2">
      <c r="A104" s="119"/>
      <c r="B104" s="223"/>
      <c r="H104" s="118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</row>
    <row r="105" spans="1:242" s="128" customFormat="1" x14ac:dyDescent="0.2">
      <c r="A105" s="119"/>
      <c r="B105" s="223"/>
      <c r="H105" s="118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</row>
    <row r="106" spans="1:242" s="128" customFormat="1" x14ac:dyDescent="0.2">
      <c r="A106" s="119"/>
      <c r="B106" s="223"/>
      <c r="H106" s="118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</row>
    <row r="107" spans="1:242" s="128" customFormat="1" x14ac:dyDescent="0.2">
      <c r="A107" s="119"/>
      <c r="B107" s="223"/>
      <c r="H107" s="118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</row>
    <row r="108" spans="1:242" s="128" customFormat="1" x14ac:dyDescent="0.2">
      <c r="A108" s="119"/>
      <c r="B108" s="223"/>
      <c r="H108" s="118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</row>
    <row r="109" spans="1:242" s="128" customFormat="1" x14ac:dyDescent="0.2">
      <c r="A109" s="119"/>
      <c r="B109" s="223"/>
      <c r="H109" s="118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</row>
    <row r="110" spans="1:242" s="128" customFormat="1" x14ac:dyDescent="0.2">
      <c r="A110" s="119"/>
      <c r="B110" s="223"/>
      <c r="H110" s="118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</row>
    <row r="111" spans="1:242" s="128" customFormat="1" x14ac:dyDescent="0.2">
      <c r="A111" s="119"/>
      <c r="B111" s="223"/>
      <c r="H111" s="118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</row>
    <row r="112" spans="1:242" s="128" customFormat="1" x14ac:dyDescent="0.2">
      <c r="A112" s="119"/>
      <c r="B112" s="223"/>
      <c r="H112" s="118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</row>
    <row r="113" spans="1:242" s="128" customFormat="1" x14ac:dyDescent="0.2">
      <c r="A113" s="119"/>
      <c r="B113" s="223"/>
      <c r="H113" s="118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</row>
    <row r="114" spans="1:242" s="128" customFormat="1" x14ac:dyDescent="0.2">
      <c r="A114" s="119"/>
      <c r="B114" s="223"/>
      <c r="H114" s="118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</row>
  </sheetData>
  <mergeCells count="8">
    <mergeCell ref="C41:E41"/>
    <mergeCell ref="C45:O45"/>
    <mergeCell ref="B2:O2"/>
    <mergeCell ref="B6:O6"/>
    <mergeCell ref="B8:H8"/>
    <mergeCell ref="B9:G9"/>
    <mergeCell ref="B10:I10"/>
    <mergeCell ref="B17:H17"/>
  </mergeCells>
  <conditionalFormatting sqref="I19:Q19 I22:Q22 J25:Q25 I28:O28 I31:O31">
    <cfRule type="cellIs" dxfId="1" priority="2" stopIfTrue="1" operator="notEqual">
      <formula>I18</formula>
    </cfRule>
  </conditionalFormatting>
  <conditionalFormatting sqref="I25">
    <cfRule type="cellIs" dxfId="0" priority="1" stopIfTrue="1" operator="notEqual">
      <formula>I24</formula>
    </cfRule>
  </conditionalFormatting>
  <printOptions horizontalCentered="1"/>
  <pageMargins left="0.19685039370078741" right="0.19685039370078741" top="0" bottom="0" header="0.51181102362204722" footer="0"/>
  <pageSetup paperSize="9" scale="65" fitToWidth="30" orientation="landscape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topLeftCell="A49" zoomScale="115" zoomScaleNormal="100" zoomScaleSheetLayoutView="115" workbookViewId="0">
      <selection activeCell="J54" sqref="J54:K54"/>
    </sheetView>
  </sheetViews>
  <sheetFormatPr defaultRowHeight="15" x14ac:dyDescent="0.25"/>
  <cols>
    <col min="1" max="1" width="9.140625" style="27"/>
    <col min="2" max="2" width="10.5703125" style="27" customWidth="1"/>
    <col min="3" max="3" width="9.140625" style="27"/>
    <col min="4" max="4" width="12.140625" style="27" customWidth="1"/>
    <col min="5" max="5" width="30.5703125" style="27" customWidth="1"/>
    <col min="6" max="6" width="6.7109375" style="27" customWidth="1"/>
    <col min="7" max="7" width="17.42578125" style="27" customWidth="1"/>
    <col min="8" max="8" width="14.42578125" style="27" customWidth="1"/>
    <col min="9" max="9" width="11.85546875" style="27" customWidth="1"/>
    <col min="10" max="10" width="16.140625" style="27" customWidth="1"/>
    <col min="11" max="11" width="15.7109375" style="27" customWidth="1"/>
    <col min="12" max="16384" width="9.140625" style="27"/>
  </cols>
  <sheetData>
    <row r="1" spans="1:13" ht="18.75" x14ac:dyDescent="0.25">
      <c r="A1" s="284" t="s">
        <v>69</v>
      </c>
      <c r="B1" s="285"/>
      <c r="C1" s="285"/>
      <c r="D1" s="285"/>
      <c r="E1" s="285"/>
      <c r="F1" s="285"/>
      <c r="G1" s="285"/>
      <c r="H1" s="285"/>
      <c r="I1" s="285"/>
      <c r="J1" s="285"/>
      <c r="K1" s="26"/>
    </row>
    <row r="2" spans="1:13" ht="18.75" x14ac:dyDescent="0.25">
      <c r="A2" s="286" t="e">
        <f>'ORÇ SANTA LUZIA'!#REF!</f>
        <v>#REF!</v>
      </c>
      <c r="B2" s="287"/>
      <c r="C2" s="287"/>
      <c r="D2" s="287"/>
      <c r="E2" s="287"/>
      <c r="F2" s="287"/>
      <c r="G2" s="287"/>
      <c r="H2" s="287"/>
      <c r="I2" s="287"/>
      <c r="J2" s="287"/>
      <c r="K2" s="48"/>
    </row>
    <row r="3" spans="1:13" ht="18.75" x14ac:dyDescent="0.25">
      <c r="A3" s="288" t="s">
        <v>68</v>
      </c>
      <c r="B3" s="289"/>
      <c r="C3" s="289"/>
      <c r="D3" s="289"/>
      <c r="E3" s="289"/>
      <c r="F3" s="289"/>
      <c r="G3" s="289"/>
      <c r="H3" s="289"/>
      <c r="I3" s="289"/>
      <c r="J3" s="289"/>
      <c r="K3" s="28"/>
    </row>
    <row r="4" spans="1:13" ht="18.75" x14ac:dyDescent="0.25">
      <c r="A4" s="29"/>
      <c r="B4" s="30"/>
      <c r="C4" s="30"/>
      <c r="D4" s="30"/>
      <c r="E4" s="30"/>
      <c r="F4" s="30"/>
      <c r="G4" s="30"/>
      <c r="H4" s="30"/>
      <c r="I4" s="290" t="s">
        <v>67</v>
      </c>
      <c r="J4" s="290"/>
      <c r="K4" s="31">
        <v>14.02</v>
      </c>
    </row>
    <row r="5" spans="1:13" x14ac:dyDescent="0.25">
      <c r="A5" s="32" t="s">
        <v>104</v>
      </c>
      <c r="B5" s="33"/>
      <c r="C5" s="33"/>
      <c r="D5" s="33"/>
      <c r="E5" s="33"/>
      <c r="F5" s="33"/>
      <c r="G5" s="33"/>
      <c r="H5" s="34"/>
      <c r="I5" s="290" t="s">
        <v>66</v>
      </c>
      <c r="J5" s="290"/>
      <c r="K5" s="31">
        <v>27.03</v>
      </c>
    </row>
    <row r="6" spans="1:13" x14ac:dyDescent="0.25">
      <c r="A6" s="32"/>
      <c r="B6" s="33"/>
      <c r="C6" s="33"/>
      <c r="D6" s="33"/>
      <c r="E6" s="33"/>
      <c r="F6" s="33"/>
      <c r="G6" s="33"/>
      <c r="H6" s="34"/>
      <c r="I6" s="34"/>
      <c r="J6" s="35"/>
      <c r="K6" s="36"/>
    </row>
    <row r="7" spans="1:13" ht="18.75" x14ac:dyDescent="0.25">
      <c r="A7" s="291" t="str">
        <f>'ORÇ SANTA LUZIA'!A15:K15</f>
        <v>PA-251 - PA-124 (Ourém) / BR-316 (Santa Luzia do Pará)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  <c r="M7" s="37"/>
    </row>
    <row r="8" spans="1:13" ht="51.75" x14ac:dyDescent="0.25">
      <c r="A8" s="57" t="s">
        <v>65</v>
      </c>
      <c r="B8" s="57" t="s">
        <v>64</v>
      </c>
      <c r="C8" s="57" t="s">
        <v>63</v>
      </c>
      <c r="D8" s="10" t="s">
        <v>62</v>
      </c>
      <c r="E8" s="57" t="s">
        <v>61</v>
      </c>
      <c r="F8" s="57" t="s">
        <v>60</v>
      </c>
      <c r="G8" s="10" t="s">
        <v>59</v>
      </c>
      <c r="H8" s="10" t="s">
        <v>105</v>
      </c>
      <c r="I8" s="10" t="s">
        <v>58</v>
      </c>
      <c r="J8" s="49" t="s">
        <v>57</v>
      </c>
      <c r="K8" s="49" t="s">
        <v>56</v>
      </c>
    </row>
    <row r="9" spans="1:13" ht="21" customHeight="1" x14ac:dyDescent="0.25">
      <c r="A9" s="68">
        <v>1</v>
      </c>
      <c r="B9" s="38"/>
      <c r="C9" s="38"/>
      <c r="D9" s="38"/>
      <c r="E9" s="65" t="s">
        <v>55</v>
      </c>
      <c r="F9" s="39"/>
      <c r="G9" s="39"/>
      <c r="H9" s="40"/>
      <c r="I9" s="40"/>
      <c r="J9" s="52"/>
      <c r="K9" s="52"/>
    </row>
    <row r="10" spans="1:13" ht="30" x14ac:dyDescent="0.25">
      <c r="A10" s="41" t="s">
        <v>54</v>
      </c>
      <c r="B10" s="42">
        <v>72961</v>
      </c>
      <c r="C10" s="42" t="s">
        <v>6</v>
      </c>
      <c r="D10" s="42" t="s">
        <v>5</v>
      </c>
      <c r="E10" s="79" t="s">
        <v>53</v>
      </c>
      <c r="F10" s="41" t="s">
        <v>27</v>
      </c>
      <c r="G10" s="84">
        <f>'MEMORIAL QUANT. CBUQ'!I9</f>
        <v>4521.6000000000004</v>
      </c>
      <c r="H10" s="43">
        <v>1.2</v>
      </c>
      <c r="I10" s="43">
        <f>IF(D10="S",($K$5/100)*H10,($K$4/100)*H10)+H10</f>
        <v>1.5243599999999999</v>
      </c>
      <c r="J10" s="53">
        <f>G10*H10</f>
        <v>5425.92</v>
      </c>
      <c r="K10" s="53">
        <f>I10*G10</f>
        <v>6892.5461759999998</v>
      </c>
    </row>
    <row r="11" spans="1:13" ht="90" x14ac:dyDescent="0.25">
      <c r="A11" s="41" t="s">
        <v>52</v>
      </c>
      <c r="B11" s="76">
        <v>96387</v>
      </c>
      <c r="C11" s="42" t="s">
        <v>6</v>
      </c>
      <c r="D11" s="42" t="s">
        <v>5</v>
      </c>
      <c r="E11" s="79" t="s">
        <v>51</v>
      </c>
      <c r="F11" s="41" t="s">
        <v>25</v>
      </c>
      <c r="G11" s="84">
        <f>'MEMORIAL QUANT. CBUQ'!I10</f>
        <v>678.24</v>
      </c>
      <c r="H11" s="43">
        <v>6.23</v>
      </c>
      <c r="I11" s="43">
        <f t="shared" ref="I11:I13" si="0">IF(D11="S",($K$5/100)*H11,($K$4/100)*H11)+H11</f>
        <v>7.9139690000000007</v>
      </c>
      <c r="J11" s="53">
        <f t="shared" ref="J11:J13" si="1">G11*H11</f>
        <v>4225.4351999999999</v>
      </c>
      <c r="K11" s="53">
        <f t="shared" ref="K11:K13" si="2">I11*G11</f>
        <v>5367.5703345600004</v>
      </c>
    </row>
    <row r="12" spans="1:13" ht="60" x14ac:dyDescent="0.25">
      <c r="A12" s="41" t="s">
        <v>94</v>
      </c>
      <c r="B12" s="76" t="s">
        <v>96</v>
      </c>
      <c r="C12" s="42" t="s">
        <v>6</v>
      </c>
      <c r="D12" s="42" t="s">
        <v>5</v>
      </c>
      <c r="E12" s="79" t="s">
        <v>97</v>
      </c>
      <c r="F12" s="41" t="s">
        <v>25</v>
      </c>
      <c r="G12" s="84">
        <f>'MEMORIAL QUANT. CBUQ'!I11</f>
        <v>678.24</v>
      </c>
      <c r="H12" s="43">
        <v>4.33</v>
      </c>
      <c r="I12" s="43">
        <f t="shared" si="0"/>
        <v>5.5003989999999998</v>
      </c>
      <c r="J12" s="53">
        <f t="shared" si="1"/>
        <v>2936.7791999999999</v>
      </c>
      <c r="K12" s="53">
        <f t="shared" si="2"/>
        <v>3730.59061776</v>
      </c>
    </row>
    <row r="13" spans="1:13" ht="60" x14ac:dyDescent="0.25">
      <c r="A13" s="41" t="s">
        <v>95</v>
      </c>
      <c r="B13" s="45">
        <v>72838</v>
      </c>
      <c r="C13" s="42" t="s">
        <v>6</v>
      </c>
      <c r="D13" s="42" t="s">
        <v>5</v>
      </c>
      <c r="E13" s="59" t="s">
        <v>108</v>
      </c>
      <c r="F13" s="44" t="s">
        <v>98</v>
      </c>
      <c r="G13" s="84">
        <f>'MEMORIAL QUANT. CBUQ'!I12</f>
        <v>6511.1039999999994</v>
      </c>
      <c r="H13" s="43">
        <v>0.83</v>
      </c>
      <c r="I13" s="43">
        <f t="shared" si="0"/>
        <v>1.054349</v>
      </c>
      <c r="J13" s="53">
        <f t="shared" si="1"/>
        <v>5404.2163199999995</v>
      </c>
      <c r="K13" s="53">
        <f t="shared" si="2"/>
        <v>6864.9759912959989</v>
      </c>
    </row>
    <row r="14" spans="1:13" x14ac:dyDescent="0.25">
      <c r="A14" s="250" t="s">
        <v>2</v>
      </c>
      <c r="B14" s="251"/>
      <c r="C14" s="251"/>
      <c r="D14" s="251"/>
      <c r="E14" s="251"/>
      <c r="F14" s="251"/>
      <c r="G14" s="251"/>
      <c r="H14" s="251"/>
      <c r="I14" s="252"/>
      <c r="J14" s="53">
        <f>SUM(J10:J13)</f>
        <v>17992.350719999999</v>
      </c>
      <c r="K14" s="53">
        <f>SUM(K10:K13)</f>
        <v>22855.683119616002</v>
      </c>
    </row>
    <row r="15" spans="1:13" ht="33" customHeight="1" x14ac:dyDescent="0.25">
      <c r="A15" s="68">
        <v>2</v>
      </c>
      <c r="B15" s="38"/>
      <c r="C15" s="38"/>
      <c r="D15" s="38"/>
      <c r="E15" s="65" t="s">
        <v>50</v>
      </c>
      <c r="F15" s="39"/>
      <c r="G15" s="39"/>
      <c r="H15" s="40"/>
      <c r="I15" s="40"/>
      <c r="J15" s="52"/>
      <c r="K15" s="52"/>
    </row>
    <row r="16" spans="1:13" ht="30" x14ac:dyDescent="0.25">
      <c r="A16" s="44" t="s">
        <v>49</v>
      </c>
      <c r="B16" s="45">
        <v>96401</v>
      </c>
      <c r="C16" s="45" t="s">
        <v>6</v>
      </c>
      <c r="D16" s="45" t="s">
        <v>5</v>
      </c>
      <c r="E16" s="80" t="s">
        <v>99</v>
      </c>
      <c r="F16" s="44" t="s">
        <v>27</v>
      </c>
      <c r="G16" s="23">
        <f>'MEMORIAL QUANT. CBUQ'!H16</f>
        <v>3888.0000000000005</v>
      </c>
      <c r="H16" s="46">
        <v>4.28</v>
      </c>
      <c r="I16" s="43">
        <f t="shared" ref="I16:I20" si="3">IF(D16="S",($K$5/100)*H16,($K$4/100)*H16)+H16</f>
        <v>5.4368840000000001</v>
      </c>
      <c r="J16" s="54">
        <f>G16*H16</f>
        <v>16640.640000000003</v>
      </c>
      <c r="K16" s="53">
        <f>I16*G16</f>
        <v>21138.604992000004</v>
      </c>
    </row>
    <row r="17" spans="1:11" ht="75" x14ac:dyDescent="0.25">
      <c r="A17" s="44" t="s">
        <v>48</v>
      </c>
      <c r="B17" s="45">
        <v>72840</v>
      </c>
      <c r="C17" s="45" t="s">
        <v>6</v>
      </c>
      <c r="D17" s="45" t="s">
        <v>5</v>
      </c>
      <c r="E17" s="59" t="s">
        <v>144</v>
      </c>
      <c r="F17" s="44" t="s">
        <v>98</v>
      </c>
      <c r="G17" s="23">
        <f>'MEMORIAL QUANT. CBUQ'!H17</f>
        <v>320.52672000000007</v>
      </c>
      <c r="H17" s="46">
        <v>0.56000000000000005</v>
      </c>
      <c r="I17" s="43">
        <f t="shared" si="3"/>
        <v>0.711368</v>
      </c>
      <c r="J17" s="54">
        <f>G17*H17</f>
        <v>179.49496320000006</v>
      </c>
      <c r="K17" s="53">
        <f>I17*G17</f>
        <v>228.01245175296006</v>
      </c>
    </row>
    <row r="18" spans="1:11" ht="75" x14ac:dyDescent="0.25">
      <c r="A18" s="41" t="s">
        <v>47</v>
      </c>
      <c r="B18" s="42">
        <v>95996</v>
      </c>
      <c r="C18" s="42" t="s">
        <v>6</v>
      </c>
      <c r="D18" s="42" t="s">
        <v>5</v>
      </c>
      <c r="E18" s="79" t="s">
        <v>46</v>
      </c>
      <c r="F18" s="41" t="s">
        <v>25</v>
      </c>
      <c r="G18" s="84">
        <f>'MEMORIAL QUANT. CBUQ'!H18</f>
        <v>194.40000000000003</v>
      </c>
      <c r="H18" s="43">
        <v>641.91</v>
      </c>
      <c r="I18" s="43">
        <f t="shared" si="3"/>
        <v>815.418273</v>
      </c>
      <c r="J18" s="54">
        <f>G18*H18</f>
        <v>124787.30400000002</v>
      </c>
      <c r="K18" s="53">
        <f>I18*G18</f>
        <v>158517.31227120003</v>
      </c>
    </row>
    <row r="19" spans="1:11" ht="60" x14ac:dyDescent="0.25">
      <c r="A19" s="41" t="s">
        <v>45</v>
      </c>
      <c r="B19" s="45">
        <v>95303</v>
      </c>
      <c r="C19" s="45" t="s">
        <v>6</v>
      </c>
      <c r="D19" s="45" t="s">
        <v>5</v>
      </c>
      <c r="E19" s="80" t="s">
        <v>44</v>
      </c>
      <c r="F19" s="44" t="s">
        <v>22</v>
      </c>
      <c r="G19" s="84">
        <f>'MEMORIAL QUANT. CBUQ'!H19</f>
        <v>13355.280000000002</v>
      </c>
      <c r="H19" s="43">
        <v>0.95</v>
      </c>
      <c r="I19" s="43">
        <f t="shared" si="3"/>
        <v>1.206785</v>
      </c>
      <c r="J19" s="54">
        <f>G19*H19</f>
        <v>12687.516000000001</v>
      </c>
      <c r="K19" s="53">
        <f>I19*G19</f>
        <v>16116.951574800003</v>
      </c>
    </row>
    <row r="20" spans="1:11" ht="45" x14ac:dyDescent="0.25">
      <c r="A20" s="41" t="s">
        <v>43</v>
      </c>
      <c r="B20" s="42">
        <v>94963</v>
      </c>
      <c r="C20" s="42" t="s">
        <v>6</v>
      </c>
      <c r="D20" s="42" t="s">
        <v>5</v>
      </c>
      <c r="E20" s="62" t="s">
        <v>145</v>
      </c>
      <c r="F20" s="41" t="s">
        <v>25</v>
      </c>
      <c r="G20" s="84">
        <f>'MEMORIAL QUANT. CBUQ'!G22:H22</f>
        <v>0.22607999999999998</v>
      </c>
      <c r="H20" s="47">
        <v>339.24</v>
      </c>
      <c r="I20" s="43">
        <f t="shared" si="3"/>
        <v>430.93657200000001</v>
      </c>
      <c r="J20" s="54">
        <f>G20*H20</f>
        <v>76.695379199999991</v>
      </c>
      <c r="K20" s="53">
        <f>I20*G20</f>
        <v>97.426140197759992</v>
      </c>
    </row>
    <row r="21" spans="1:11" x14ac:dyDescent="0.25">
      <c r="A21" s="262" t="s">
        <v>2</v>
      </c>
      <c r="B21" s="263"/>
      <c r="C21" s="263"/>
      <c r="D21" s="263"/>
      <c r="E21" s="263"/>
      <c r="F21" s="263"/>
      <c r="G21" s="263"/>
      <c r="H21" s="263"/>
      <c r="I21" s="264"/>
      <c r="J21" s="53">
        <f>SUM(J16:J20)</f>
        <v>154371.65034240004</v>
      </c>
      <c r="K21" s="53">
        <f>SUM(K16:K20)</f>
        <v>196098.30742995077</v>
      </c>
    </row>
    <row r="22" spans="1:11" ht="15" customHeight="1" x14ac:dyDescent="0.25">
      <c r="A22" s="68">
        <v>3</v>
      </c>
      <c r="B22" s="38"/>
      <c r="C22" s="38"/>
      <c r="D22" s="38"/>
      <c r="E22" s="65" t="s">
        <v>42</v>
      </c>
      <c r="F22" s="39"/>
      <c r="G22" s="39"/>
      <c r="H22" s="40"/>
      <c r="I22" s="40"/>
      <c r="J22" s="52"/>
      <c r="K22" s="52"/>
    </row>
    <row r="23" spans="1:11" ht="105" x14ac:dyDescent="0.25">
      <c r="A23" s="41" t="s">
        <v>41</v>
      </c>
      <c r="B23" s="42">
        <v>94996</v>
      </c>
      <c r="C23" s="42" t="s">
        <v>6</v>
      </c>
      <c r="D23" s="42" t="s">
        <v>5</v>
      </c>
      <c r="E23" s="58" t="s">
        <v>112</v>
      </c>
      <c r="F23" s="41" t="s">
        <v>27</v>
      </c>
      <c r="G23" s="84">
        <f>'MEMORIAL QUANT. CBUQ'!I26</f>
        <v>24.48</v>
      </c>
      <c r="H23" s="43">
        <v>80.97</v>
      </c>
      <c r="I23" s="43">
        <f t="shared" ref="I23" si="4">IF(D23="S",($K$5/100)*H23,($K$4/100)*H23)+H23</f>
        <v>102.856191</v>
      </c>
      <c r="J23" s="53">
        <f>G23*H23</f>
        <v>1982.1456000000001</v>
      </c>
      <c r="K23" s="53">
        <f>G23*I23</f>
        <v>2517.91955568</v>
      </c>
    </row>
    <row r="24" spans="1:11" x14ac:dyDescent="0.25">
      <c r="A24" s="250" t="s">
        <v>2</v>
      </c>
      <c r="B24" s="251"/>
      <c r="C24" s="251"/>
      <c r="D24" s="251"/>
      <c r="E24" s="251"/>
      <c r="F24" s="251"/>
      <c r="G24" s="251"/>
      <c r="H24" s="251"/>
      <c r="I24" s="252"/>
      <c r="J24" s="53">
        <f>J23</f>
        <v>1982.1456000000001</v>
      </c>
      <c r="K24" s="53">
        <f>K23</f>
        <v>2517.91955568</v>
      </c>
    </row>
    <row r="25" spans="1:11" ht="21" customHeight="1" x14ac:dyDescent="0.25">
      <c r="A25" s="68">
        <v>4</v>
      </c>
      <c r="B25" s="65"/>
      <c r="C25" s="65"/>
      <c r="D25" s="65"/>
      <c r="E25" s="65" t="s">
        <v>40</v>
      </c>
      <c r="F25" s="39"/>
      <c r="G25" s="39"/>
      <c r="H25" s="40"/>
      <c r="I25" s="40"/>
      <c r="J25" s="52"/>
      <c r="K25" s="52"/>
    </row>
    <row r="26" spans="1:11" ht="75" x14ac:dyDescent="0.25">
      <c r="A26" s="41" t="s">
        <v>39</v>
      </c>
      <c r="B26" s="42">
        <v>72947</v>
      </c>
      <c r="C26" s="42" t="s">
        <v>6</v>
      </c>
      <c r="D26" s="42" t="s">
        <v>5</v>
      </c>
      <c r="E26" s="58" t="s">
        <v>146</v>
      </c>
      <c r="F26" s="41" t="s">
        <v>27</v>
      </c>
      <c r="G26" s="84">
        <f>SUM('MEMORIAL QUANT. CBUQ'!G30:G31)</f>
        <v>272.52</v>
      </c>
      <c r="H26" s="43">
        <v>24.57</v>
      </c>
      <c r="I26" s="43">
        <f t="shared" ref="I26:I29" si="5">IF(D26="S",($K$5/100)*H26,($K$4/100)*H26)+H26</f>
        <v>31.211271</v>
      </c>
      <c r="J26" s="53">
        <f>G26*H26</f>
        <v>6695.8163999999997</v>
      </c>
      <c r="K26" s="53">
        <f>I26*G26</f>
        <v>8505.6955729199999</v>
      </c>
    </row>
    <row r="27" spans="1:11" ht="45" x14ac:dyDescent="0.25">
      <c r="A27" s="77" t="s">
        <v>38</v>
      </c>
      <c r="B27" s="83">
        <v>36178</v>
      </c>
      <c r="C27" s="83" t="s">
        <v>6</v>
      </c>
      <c r="D27" s="83" t="s">
        <v>10</v>
      </c>
      <c r="E27" s="87" t="s">
        <v>121</v>
      </c>
      <c r="F27" s="85" t="s">
        <v>14</v>
      </c>
      <c r="G27" s="86">
        <f>'MEMORIAL QUANT. CBUQ'!G32</f>
        <v>35.999999999999993</v>
      </c>
      <c r="H27" s="43">
        <v>6.67</v>
      </c>
      <c r="I27" s="43">
        <f t="shared" si="5"/>
        <v>7.6051339999999996</v>
      </c>
      <c r="J27" s="53">
        <f>G27*H27</f>
        <v>240.11999999999995</v>
      </c>
      <c r="K27" s="53">
        <f>I27*G27</f>
        <v>273.78482399999996</v>
      </c>
    </row>
    <row r="28" spans="1:11" ht="30" x14ac:dyDescent="0.25">
      <c r="A28" s="41" t="s">
        <v>37</v>
      </c>
      <c r="B28" s="42">
        <v>34723</v>
      </c>
      <c r="C28" s="42" t="s">
        <v>6</v>
      </c>
      <c r="D28" s="42" t="s">
        <v>10</v>
      </c>
      <c r="E28" s="79" t="s">
        <v>36</v>
      </c>
      <c r="F28" s="41" t="s">
        <v>27</v>
      </c>
      <c r="G28" s="84">
        <f>SUM('MEMORIAL QUANT. CBUQ'!G35:G38)</f>
        <v>2.7</v>
      </c>
      <c r="H28" s="43">
        <v>519.75</v>
      </c>
      <c r="I28" s="43">
        <f t="shared" si="5"/>
        <v>592.61895000000004</v>
      </c>
      <c r="J28" s="53">
        <f>G28*H28</f>
        <v>1403.325</v>
      </c>
      <c r="K28" s="53">
        <f>I28*G28</f>
        <v>1600.0711650000003</v>
      </c>
    </row>
    <row r="29" spans="1:11" ht="60" x14ac:dyDescent="0.25">
      <c r="A29" s="61" t="s">
        <v>131</v>
      </c>
      <c r="B29" s="42">
        <v>21013</v>
      </c>
      <c r="C29" s="63" t="s">
        <v>6</v>
      </c>
      <c r="D29" s="63" t="s">
        <v>10</v>
      </c>
      <c r="E29" s="87" t="s">
        <v>152</v>
      </c>
      <c r="F29" s="61" t="s">
        <v>3</v>
      </c>
      <c r="G29" s="84">
        <f>'MEMORIAL QUANT. CBUQ'!G41</f>
        <v>44.8</v>
      </c>
      <c r="H29" s="43">
        <v>33.31</v>
      </c>
      <c r="I29" s="43">
        <f t="shared" si="5"/>
        <v>37.980062000000004</v>
      </c>
      <c r="J29" s="53">
        <f>G29*H29</f>
        <v>1492.288</v>
      </c>
      <c r="K29" s="53">
        <f>G29*I29</f>
        <v>1701.5067776000001</v>
      </c>
    </row>
    <row r="30" spans="1:11" ht="15.75" customHeight="1" x14ac:dyDescent="0.25">
      <c r="A30" s="250" t="s">
        <v>2</v>
      </c>
      <c r="B30" s="251"/>
      <c r="C30" s="251"/>
      <c r="D30" s="251"/>
      <c r="E30" s="251"/>
      <c r="F30" s="251"/>
      <c r="G30" s="251"/>
      <c r="H30" s="251"/>
      <c r="I30" s="252"/>
      <c r="J30" s="53">
        <f>SUM(J26:J29)</f>
        <v>9831.5493999999999</v>
      </c>
      <c r="K30" s="53">
        <f>SUM(K26:K29)</f>
        <v>12081.058339520001</v>
      </c>
    </row>
    <row r="31" spans="1:11" x14ac:dyDescent="0.25">
      <c r="A31" s="68">
        <v>5</v>
      </c>
      <c r="B31" s="38"/>
      <c r="C31" s="38"/>
      <c r="D31" s="38"/>
      <c r="E31" s="65" t="s">
        <v>35</v>
      </c>
      <c r="F31" s="39"/>
      <c r="G31" s="39"/>
      <c r="H31" s="40"/>
      <c r="I31" s="40"/>
      <c r="J31" s="52"/>
      <c r="K31" s="52"/>
    </row>
    <row r="32" spans="1:11" ht="60" x14ac:dyDescent="0.25">
      <c r="A32" s="44" t="s">
        <v>34</v>
      </c>
      <c r="B32" s="42">
        <v>94265</v>
      </c>
      <c r="C32" s="42" t="s">
        <v>6</v>
      </c>
      <c r="D32" s="45" t="s">
        <v>5</v>
      </c>
      <c r="E32" s="79" t="s">
        <v>33</v>
      </c>
      <c r="F32" s="44" t="s">
        <v>3</v>
      </c>
      <c r="G32" s="23">
        <f>'MEMORIAL QUANT. CBUQ'!K46</f>
        <v>1440</v>
      </c>
      <c r="H32" s="46">
        <v>30.08</v>
      </c>
      <c r="I32" s="43">
        <f t="shared" ref="I32:I51" si="6">IF(D32="S",($K$5/100)*H32,($K$4/100)*H32)+H32</f>
        <v>38.210623999999996</v>
      </c>
      <c r="J32" s="54">
        <f t="shared" ref="J32:J51" si="7">G32*H32</f>
        <v>43315.199999999997</v>
      </c>
      <c r="K32" s="53">
        <f t="shared" ref="K32:K51" si="8">I32*G32</f>
        <v>55023.298559999996</v>
      </c>
    </row>
    <row r="33" spans="1:11" ht="60" x14ac:dyDescent="0.25">
      <c r="A33" s="41" t="s">
        <v>32</v>
      </c>
      <c r="B33" s="42">
        <v>94281</v>
      </c>
      <c r="C33" s="42" t="s">
        <v>6</v>
      </c>
      <c r="D33" s="42" t="s">
        <v>5</v>
      </c>
      <c r="E33" s="79" t="s">
        <v>31</v>
      </c>
      <c r="F33" s="41" t="s">
        <v>3</v>
      </c>
      <c r="G33" s="84">
        <f>'MEMORIAL QUANT. CBUQ'!K47</f>
        <v>1440</v>
      </c>
      <c r="H33" s="43">
        <v>35.81</v>
      </c>
      <c r="I33" s="43">
        <f t="shared" si="6"/>
        <v>45.489443000000001</v>
      </c>
      <c r="J33" s="54">
        <f t="shared" si="7"/>
        <v>51566.400000000001</v>
      </c>
      <c r="K33" s="53">
        <f t="shared" si="8"/>
        <v>65504.797920000005</v>
      </c>
    </row>
    <row r="34" spans="1:11" ht="165" x14ac:dyDescent="0.25">
      <c r="A34" s="77" t="s">
        <v>30</v>
      </c>
      <c r="B34" s="2">
        <v>90105</v>
      </c>
      <c r="C34" s="2" t="s">
        <v>6</v>
      </c>
      <c r="D34" s="2" t="s">
        <v>5</v>
      </c>
      <c r="E34" s="58" t="s">
        <v>150</v>
      </c>
      <c r="F34" s="41" t="s">
        <v>25</v>
      </c>
      <c r="G34" s="84">
        <f>'MEMORIAL QUANT. CBUQ'!K48</f>
        <v>95.04</v>
      </c>
      <c r="H34" s="43">
        <v>11.38</v>
      </c>
      <c r="I34" s="43">
        <f t="shared" si="6"/>
        <v>14.456014000000001</v>
      </c>
      <c r="J34" s="54">
        <f t="shared" si="7"/>
        <v>1081.5552000000002</v>
      </c>
      <c r="K34" s="53">
        <f t="shared" si="8"/>
        <v>1373.8995705600003</v>
      </c>
    </row>
    <row r="35" spans="1:11" ht="60" x14ac:dyDescent="0.25">
      <c r="A35" s="41" t="s">
        <v>29</v>
      </c>
      <c r="B35" s="42">
        <v>94097</v>
      </c>
      <c r="C35" s="42" t="s">
        <v>6</v>
      </c>
      <c r="D35" s="42" t="s">
        <v>5</v>
      </c>
      <c r="E35" s="79" t="s">
        <v>28</v>
      </c>
      <c r="F35" s="41" t="s">
        <v>27</v>
      </c>
      <c r="G35" s="84">
        <f>'MEMORIAL QUANT. CBUQ'!K49</f>
        <v>633.6</v>
      </c>
      <c r="H35" s="43">
        <v>4.1500000000000004</v>
      </c>
      <c r="I35" s="43">
        <f t="shared" si="6"/>
        <v>5.2717450000000001</v>
      </c>
      <c r="J35" s="54">
        <f t="shared" si="7"/>
        <v>2629.4400000000005</v>
      </c>
      <c r="K35" s="53">
        <f t="shared" si="8"/>
        <v>3340.1776320000004</v>
      </c>
    </row>
    <row r="36" spans="1:11" ht="45" x14ac:dyDescent="0.25">
      <c r="A36" s="61" t="s">
        <v>26</v>
      </c>
      <c r="B36" s="2">
        <v>95290</v>
      </c>
      <c r="C36" s="2" t="s">
        <v>6</v>
      </c>
      <c r="D36" s="2" t="s">
        <v>5</v>
      </c>
      <c r="E36" s="73" t="s">
        <v>23</v>
      </c>
      <c r="F36" s="66" t="s">
        <v>135</v>
      </c>
      <c r="G36" s="84">
        <f>'MEMORIAL QUANT. CBUQ'!K50</f>
        <v>950.40000000000009</v>
      </c>
      <c r="H36" s="43">
        <v>1.74</v>
      </c>
      <c r="I36" s="43">
        <f t="shared" si="6"/>
        <v>2.2103220000000001</v>
      </c>
      <c r="J36" s="54">
        <f t="shared" si="7"/>
        <v>1653.6960000000001</v>
      </c>
      <c r="K36" s="53">
        <f t="shared" si="8"/>
        <v>2100.6900288000002</v>
      </c>
    </row>
    <row r="37" spans="1:11" ht="30" x14ac:dyDescent="0.25">
      <c r="A37" s="66" t="s">
        <v>24</v>
      </c>
      <c r="B37" s="2">
        <v>7781</v>
      </c>
      <c r="C37" s="2" t="s">
        <v>6</v>
      </c>
      <c r="D37" s="2" t="s">
        <v>10</v>
      </c>
      <c r="E37" s="58" t="s">
        <v>9</v>
      </c>
      <c r="F37" s="66" t="s">
        <v>3</v>
      </c>
      <c r="G37" s="84">
        <f>'MEMORIAL QUANT. CBUQ'!K52</f>
        <v>0</v>
      </c>
      <c r="H37" s="43">
        <v>51.95</v>
      </c>
      <c r="I37" s="43">
        <f t="shared" si="6"/>
        <v>59.23339</v>
      </c>
      <c r="J37" s="54">
        <f t="shared" si="7"/>
        <v>0</v>
      </c>
      <c r="K37" s="53">
        <f t="shared" si="8"/>
        <v>0</v>
      </c>
    </row>
    <row r="38" spans="1:11" ht="165" x14ac:dyDescent="0.25">
      <c r="A38" s="77" t="s">
        <v>21</v>
      </c>
      <c r="B38" s="2">
        <v>90106</v>
      </c>
      <c r="C38" s="2" t="s">
        <v>6</v>
      </c>
      <c r="D38" s="2" t="s">
        <v>5</v>
      </c>
      <c r="E38" s="58" t="s">
        <v>151</v>
      </c>
      <c r="F38" s="66" t="s">
        <v>25</v>
      </c>
      <c r="G38" s="84">
        <f>'MEMORIAL QUANT. CBUQ'!K53</f>
        <v>0</v>
      </c>
      <c r="H38" s="86">
        <v>9.73</v>
      </c>
      <c r="I38" s="43">
        <f t="shared" si="6"/>
        <v>12.360019000000001</v>
      </c>
      <c r="J38" s="54">
        <f t="shared" si="7"/>
        <v>0</v>
      </c>
      <c r="K38" s="53">
        <f t="shared" si="8"/>
        <v>0</v>
      </c>
    </row>
    <row r="39" spans="1:11" ht="60" x14ac:dyDescent="0.25">
      <c r="A39" s="66" t="s">
        <v>18</v>
      </c>
      <c r="B39" s="2">
        <v>94097</v>
      </c>
      <c r="C39" s="2" t="s">
        <v>6</v>
      </c>
      <c r="D39" s="2" t="s">
        <v>5</v>
      </c>
      <c r="E39" s="58" t="s">
        <v>28</v>
      </c>
      <c r="F39" s="66" t="s">
        <v>25</v>
      </c>
      <c r="G39" s="84">
        <f>'MEMORIAL QUANT. CBUQ'!K54</f>
        <v>0</v>
      </c>
      <c r="H39" s="43">
        <v>4.1500000000000004</v>
      </c>
      <c r="I39" s="43">
        <f t="shared" si="6"/>
        <v>5.2717450000000001</v>
      </c>
      <c r="J39" s="54">
        <f t="shared" si="7"/>
        <v>0</v>
      </c>
      <c r="K39" s="53">
        <f t="shared" si="8"/>
        <v>0</v>
      </c>
    </row>
    <row r="40" spans="1:11" ht="90" x14ac:dyDescent="0.25">
      <c r="A40" s="66" t="s">
        <v>16</v>
      </c>
      <c r="B40" s="2">
        <v>93378</v>
      </c>
      <c r="C40" s="2" t="s">
        <v>6</v>
      </c>
      <c r="D40" s="2" t="s">
        <v>5</v>
      </c>
      <c r="E40" s="58" t="s">
        <v>147</v>
      </c>
      <c r="F40" s="66" t="s">
        <v>25</v>
      </c>
      <c r="G40" s="84">
        <f>'MEMORIAL QUANT. CBUQ'!K55</f>
        <v>0</v>
      </c>
      <c r="H40" s="43">
        <v>18.149999999999999</v>
      </c>
      <c r="I40" s="43">
        <f t="shared" si="6"/>
        <v>23.055944999999998</v>
      </c>
      <c r="J40" s="54">
        <f t="shared" si="7"/>
        <v>0</v>
      </c>
      <c r="K40" s="53">
        <f t="shared" si="8"/>
        <v>0</v>
      </c>
    </row>
    <row r="41" spans="1:11" ht="90" x14ac:dyDescent="0.25">
      <c r="A41" s="66" t="s">
        <v>13</v>
      </c>
      <c r="B41" s="2">
        <v>92809</v>
      </c>
      <c r="C41" s="2" t="s">
        <v>6</v>
      </c>
      <c r="D41" s="2" t="s">
        <v>5</v>
      </c>
      <c r="E41" s="58" t="s">
        <v>148</v>
      </c>
      <c r="F41" s="66" t="s">
        <v>3</v>
      </c>
      <c r="G41" s="84">
        <f>'MEMORIAL QUANT. CBUQ'!K56</f>
        <v>0</v>
      </c>
      <c r="H41" s="43">
        <v>35.08</v>
      </c>
      <c r="I41" s="43">
        <f t="shared" si="6"/>
        <v>44.562123999999997</v>
      </c>
      <c r="J41" s="54">
        <f t="shared" si="7"/>
        <v>0</v>
      </c>
      <c r="K41" s="53">
        <f t="shared" si="8"/>
        <v>0</v>
      </c>
    </row>
    <row r="42" spans="1:11" ht="45" x14ac:dyDescent="0.25">
      <c r="A42" s="66" t="s">
        <v>11</v>
      </c>
      <c r="B42" s="4">
        <v>95290</v>
      </c>
      <c r="C42" s="2" t="s">
        <v>6</v>
      </c>
      <c r="D42" s="2" t="s">
        <v>5</v>
      </c>
      <c r="E42" s="59" t="s">
        <v>23</v>
      </c>
      <c r="F42" s="3" t="s">
        <v>22</v>
      </c>
      <c r="G42" s="84">
        <f>'MEMORIAL QUANT. CBUQ'!K57</f>
        <v>0</v>
      </c>
      <c r="H42" s="43">
        <v>1.74</v>
      </c>
      <c r="I42" s="43">
        <f t="shared" si="6"/>
        <v>2.2103220000000001</v>
      </c>
      <c r="J42" s="54">
        <f t="shared" si="7"/>
        <v>0</v>
      </c>
      <c r="K42" s="53">
        <f t="shared" si="8"/>
        <v>0</v>
      </c>
    </row>
    <row r="43" spans="1:11" ht="30" x14ac:dyDescent="0.25">
      <c r="A43" s="66" t="s">
        <v>8</v>
      </c>
      <c r="B43" s="2">
        <v>7793</v>
      </c>
      <c r="C43" s="2" t="s">
        <v>6</v>
      </c>
      <c r="D43" s="2" t="s">
        <v>10</v>
      </c>
      <c r="E43" s="58" t="s">
        <v>12</v>
      </c>
      <c r="F43" s="66" t="s">
        <v>3</v>
      </c>
      <c r="G43" s="84">
        <f>'MEMORIAL QUANT. CBUQ'!K58</f>
        <v>0</v>
      </c>
      <c r="H43" s="43">
        <v>104.87</v>
      </c>
      <c r="I43" s="43">
        <f t="shared" si="6"/>
        <v>119.57277400000001</v>
      </c>
      <c r="J43" s="54">
        <f t="shared" si="7"/>
        <v>0</v>
      </c>
      <c r="K43" s="53">
        <f t="shared" si="8"/>
        <v>0</v>
      </c>
    </row>
    <row r="44" spans="1:11" ht="165" x14ac:dyDescent="0.25">
      <c r="A44" s="77" t="s">
        <v>7</v>
      </c>
      <c r="B44" s="2">
        <v>90106</v>
      </c>
      <c r="C44" s="2" t="s">
        <v>6</v>
      </c>
      <c r="D44" s="2" t="s">
        <v>5</v>
      </c>
      <c r="E44" s="59" t="s">
        <v>151</v>
      </c>
      <c r="F44" s="3" t="s">
        <v>25</v>
      </c>
      <c r="G44" s="84">
        <f>'MEMORIAL QUANT. CBUQ'!K59</f>
        <v>0</v>
      </c>
      <c r="H44" s="86">
        <v>9.73</v>
      </c>
      <c r="I44" s="43">
        <f t="shared" si="6"/>
        <v>12.360019000000001</v>
      </c>
      <c r="J44" s="54">
        <f t="shared" si="7"/>
        <v>0</v>
      </c>
      <c r="K44" s="53">
        <f t="shared" si="8"/>
        <v>0</v>
      </c>
    </row>
    <row r="45" spans="1:11" ht="60" x14ac:dyDescent="0.25">
      <c r="A45" s="66" t="s">
        <v>137</v>
      </c>
      <c r="B45" s="2">
        <v>94097</v>
      </c>
      <c r="C45" s="2" t="s">
        <v>6</v>
      </c>
      <c r="D45" s="2" t="s">
        <v>5</v>
      </c>
      <c r="E45" s="58" t="s">
        <v>28</v>
      </c>
      <c r="F45" s="66" t="s">
        <v>25</v>
      </c>
      <c r="G45" s="84">
        <f>'MEMORIAL QUANT. CBUQ'!K60</f>
        <v>0</v>
      </c>
      <c r="H45" s="43">
        <v>4.1500000000000004</v>
      </c>
      <c r="I45" s="43">
        <f t="shared" si="6"/>
        <v>5.2717450000000001</v>
      </c>
      <c r="J45" s="54">
        <f t="shared" si="7"/>
        <v>0</v>
      </c>
      <c r="K45" s="53">
        <f t="shared" si="8"/>
        <v>0</v>
      </c>
    </row>
    <row r="46" spans="1:11" ht="90" x14ac:dyDescent="0.25">
      <c r="A46" s="66" t="s">
        <v>138</v>
      </c>
      <c r="B46" s="2">
        <v>93378</v>
      </c>
      <c r="C46" s="2" t="s">
        <v>6</v>
      </c>
      <c r="D46" s="2" t="s">
        <v>5</v>
      </c>
      <c r="E46" s="58" t="s">
        <v>147</v>
      </c>
      <c r="F46" s="66" t="s">
        <v>25</v>
      </c>
      <c r="G46" s="84">
        <f>'MEMORIAL QUANT. CBUQ'!K61</f>
        <v>0</v>
      </c>
      <c r="H46" s="43">
        <v>18.149999999999999</v>
      </c>
      <c r="I46" s="43">
        <f t="shared" si="6"/>
        <v>23.055944999999998</v>
      </c>
      <c r="J46" s="54">
        <f t="shared" si="7"/>
        <v>0</v>
      </c>
      <c r="K46" s="53">
        <f t="shared" si="8"/>
        <v>0</v>
      </c>
    </row>
    <row r="47" spans="1:11" ht="90" x14ac:dyDescent="0.25">
      <c r="A47" s="66" t="s">
        <v>139</v>
      </c>
      <c r="B47" s="2">
        <v>92811</v>
      </c>
      <c r="C47" s="2" t="s">
        <v>6</v>
      </c>
      <c r="D47" s="2" t="s">
        <v>5</v>
      </c>
      <c r="E47" s="58" t="s">
        <v>4</v>
      </c>
      <c r="F47" s="66" t="s">
        <v>3</v>
      </c>
      <c r="G47" s="84">
        <f>'MEMORIAL QUANT. CBUQ'!K62</f>
        <v>0</v>
      </c>
      <c r="H47" s="43">
        <v>50.87</v>
      </c>
      <c r="I47" s="43">
        <f t="shared" si="6"/>
        <v>64.620160999999996</v>
      </c>
      <c r="J47" s="54">
        <f t="shared" si="7"/>
        <v>0</v>
      </c>
      <c r="K47" s="53">
        <f t="shared" si="8"/>
        <v>0</v>
      </c>
    </row>
    <row r="48" spans="1:11" ht="45" x14ac:dyDescent="0.25">
      <c r="A48" s="66" t="s">
        <v>140</v>
      </c>
      <c r="B48" s="4">
        <v>95290</v>
      </c>
      <c r="C48" s="2" t="s">
        <v>6</v>
      </c>
      <c r="D48" s="2" t="s">
        <v>5</v>
      </c>
      <c r="E48" s="59" t="s">
        <v>23</v>
      </c>
      <c r="F48" s="3" t="s">
        <v>22</v>
      </c>
      <c r="G48" s="84">
        <f>'MEMORIAL QUANT. CBUQ'!K63</f>
        <v>0</v>
      </c>
      <c r="H48" s="43">
        <v>1.74</v>
      </c>
      <c r="I48" s="43">
        <f t="shared" si="6"/>
        <v>2.2103220000000001</v>
      </c>
      <c r="J48" s="54">
        <f t="shared" si="7"/>
        <v>0</v>
      </c>
      <c r="K48" s="53">
        <f t="shared" si="8"/>
        <v>0</v>
      </c>
    </row>
    <row r="49" spans="1:11" ht="75" x14ac:dyDescent="0.25">
      <c r="A49" s="66" t="s">
        <v>141</v>
      </c>
      <c r="B49" s="2">
        <v>83659</v>
      </c>
      <c r="C49" s="2" t="s">
        <v>20</v>
      </c>
      <c r="D49" s="2" t="s">
        <v>5</v>
      </c>
      <c r="E49" s="58" t="s">
        <v>19</v>
      </c>
      <c r="F49" s="66" t="s">
        <v>14</v>
      </c>
      <c r="G49" s="84">
        <f>'MEMORIAL QUANT. CBUQ'!K64</f>
        <v>0</v>
      </c>
      <c r="H49" s="43">
        <v>647.98</v>
      </c>
      <c r="I49" s="43">
        <f t="shared" si="6"/>
        <v>823.12899400000003</v>
      </c>
      <c r="J49" s="54">
        <f t="shared" si="7"/>
        <v>0</v>
      </c>
      <c r="K49" s="53">
        <f t="shared" si="8"/>
        <v>0</v>
      </c>
    </row>
    <row r="50" spans="1:11" ht="75" x14ac:dyDescent="0.25">
      <c r="A50" s="66" t="s">
        <v>142</v>
      </c>
      <c r="B50" s="2" t="s">
        <v>149</v>
      </c>
      <c r="C50" s="2" t="s">
        <v>6</v>
      </c>
      <c r="D50" s="2" t="s">
        <v>5</v>
      </c>
      <c r="E50" s="58" t="s">
        <v>17</v>
      </c>
      <c r="F50" s="66" t="s">
        <v>14</v>
      </c>
      <c r="G50" s="84">
        <f>'MEMORIAL QUANT. CBUQ'!K65</f>
        <v>0</v>
      </c>
      <c r="H50" s="43">
        <v>319.32</v>
      </c>
      <c r="I50" s="43">
        <f t="shared" si="6"/>
        <v>405.63219600000002</v>
      </c>
      <c r="J50" s="54">
        <f t="shared" si="7"/>
        <v>0</v>
      </c>
      <c r="K50" s="53">
        <f t="shared" si="8"/>
        <v>0</v>
      </c>
    </row>
    <row r="51" spans="1:11" ht="60" x14ac:dyDescent="0.25">
      <c r="A51" s="66" t="s">
        <v>143</v>
      </c>
      <c r="B51" s="2">
        <v>21090</v>
      </c>
      <c r="C51" s="2" t="s">
        <v>6</v>
      </c>
      <c r="D51" s="2" t="s">
        <v>10</v>
      </c>
      <c r="E51" s="58" t="s">
        <v>15</v>
      </c>
      <c r="F51" s="66" t="s">
        <v>14</v>
      </c>
      <c r="G51" s="84">
        <f>'MEMORIAL QUANT. CBUQ'!K66</f>
        <v>0</v>
      </c>
      <c r="H51" s="43">
        <v>431.62</v>
      </c>
      <c r="I51" s="43">
        <f t="shared" si="6"/>
        <v>492.13312400000001</v>
      </c>
      <c r="J51" s="54">
        <f t="shared" si="7"/>
        <v>0</v>
      </c>
      <c r="K51" s="53">
        <f t="shared" si="8"/>
        <v>0</v>
      </c>
    </row>
    <row r="52" spans="1:11" x14ac:dyDescent="0.25">
      <c r="A52" s="250" t="s">
        <v>2</v>
      </c>
      <c r="B52" s="251"/>
      <c r="C52" s="251"/>
      <c r="D52" s="251"/>
      <c r="E52" s="251"/>
      <c r="F52" s="251"/>
      <c r="G52" s="251"/>
      <c r="H52" s="251"/>
      <c r="I52" s="252"/>
      <c r="J52" s="53">
        <f>SUM(J32:J51)</f>
        <v>100246.29120000001</v>
      </c>
      <c r="K52" s="53">
        <f>SUM(K32:K51)</f>
        <v>127342.86371136001</v>
      </c>
    </row>
    <row r="53" spans="1:11" ht="17.25" x14ac:dyDescent="0.25">
      <c r="A53" s="253" t="s">
        <v>1</v>
      </c>
      <c r="B53" s="253"/>
      <c r="C53" s="253"/>
      <c r="D53" s="253"/>
      <c r="E53" s="253"/>
      <c r="F53" s="253"/>
      <c r="G53" s="253"/>
      <c r="H53" s="253"/>
      <c r="I53" s="57"/>
      <c r="J53" s="282">
        <f>J14+J21+J24+J30+J52</f>
        <v>284423.98726239998</v>
      </c>
      <c r="K53" s="283"/>
    </row>
    <row r="54" spans="1:11" ht="17.25" x14ac:dyDescent="0.25">
      <c r="A54" s="253" t="s">
        <v>0</v>
      </c>
      <c r="B54" s="253"/>
      <c r="C54" s="253"/>
      <c r="D54" s="253"/>
      <c r="E54" s="253"/>
      <c r="F54" s="253"/>
      <c r="G54" s="253"/>
      <c r="H54" s="253"/>
      <c r="I54" s="57"/>
      <c r="J54" s="282">
        <f>K14+K21+K24+K30+K52</f>
        <v>360895.83215612679</v>
      </c>
      <c r="K54" s="283"/>
    </row>
  </sheetData>
  <sheetProtection algorithmName="SHA-512" hashValue="m3RR5gaLXeZMcGmnGqXLwCQZjP8EWEmu1M3vt5b3vS72iHMQDrgCf0Yur5nlCzwf794QrjX8MhzvStQ8FtpIFA==" saltValue="gf/GUD6LU7mmDWWYuiY2jw==" spinCount="100000" sheet="1" objects="1" scenarios="1"/>
  <autoFilter ref="A8:K54"/>
  <mergeCells count="15">
    <mergeCell ref="A14:I14"/>
    <mergeCell ref="A21:I21"/>
    <mergeCell ref="A24:I24"/>
    <mergeCell ref="A30:I30"/>
    <mergeCell ref="A7:K7"/>
    <mergeCell ref="A1:J1"/>
    <mergeCell ref="A2:J2"/>
    <mergeCell ref="A3:J3"/>
    <mergeCell ref="I4:J4"/>
    <mergeCell ref="I5:J5"/>
    <mergeCell ref="A52:I52"/>
    <mergeCell ref="A53:H53"/>
    <mergeCell ref="J53:K53"/>
    <mergeCell ref="A54:H54"/>
    <mergeCell ref="J54:K54"/>
  </mergeCells>
  <pageMargins left="0.51181102362204722" right="0.51181102362204722" top="1.3779527559055118" bottom="1.1811023622047245" header="0.31496062992125984" footer="0.31496062992125984"/>
  <pageSetup paperSize="9" scale="59" fitToHeight="5" orientation="portrait" r:id="rId1"/>
  <headerFooter>
    <oddHeader>&amp;C&amp;G&amp;R&amp;G</oddHeader>
    <oddFooter>&amp;C&amp;G&amp;R&amp;G</oddFooter>
  </headerFooter>
  <rowBreaks count="1" manualBreakCount="1">
    <brk id="3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topLeftCell="A3" zoomScaleNormal="100" zoomScaleSheetLayoutView="100" workbookViewId="0">
      <selection activeCell="E10" sqref="E10"/>
    </sheetView>
  </sheetViews>
  <sheetFormatPr defaultRowHeight="15" x14ac:dyDescent="0.25"/>
  <cols>
    <col min="2" max="2" width="25.85546875" style="94" customWidth="1"/>
    <col min="3" max="3" width="13.5703125" customWidth="1"/>
    <col min="4" max="4" width="18.140625" customWidth="1"/>
    <col min="5" max="5" width="23" customWidth="1"/>
    <col min="6" max="6" width="14.140625" customWidth="1"/>
    <col min="7" max="8" width="12.85546875" customWidth="1"/>
    <col min="9" max="9" width="14" customWidth="1"/>
    <col min="10" max="10" width="17.42578125" customWidth="1"/>
    <col min="16" max="16" width="10" bestFit="1" customWidth="1"/>
  </cols>
  <sheetData>
    <row r="1" spans="1:13" ht="18.75" x14ac:dyDescent="0.25">
      <c r="A1" s="307" t="s">
        <v>93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3" ht="18.75" x14ac:dyDescent="0.25">
      <c r="A2" s="309" t="s">
        <v>165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10"/>
    </row>
    <row r="3" spans="1:13" ht="18.75" x14ac:dyDescent="0.25">
      <c r="A3" s="309" t="e">
        <f>'ORÇ SANTA LUZIA'!#REF!</f>
        <v>#REF!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10"/>
    </row>
    <row r="4" spans="1:13" x14ac:dyDescent="0.25">
      <c r="A4" s="12"/>
      <c r="B4" s="93"/>
      <c r="C4" s="12"/>
      <c r="D4" s="12"/>
      <c r="E4" s="12"/>
      <c r="F4" s="12"/>
      <c r="G4" s="12"/>
      <c r="H4" s="12"/>
      <c r="I4" s="12"/>
      <c r="J4" s="12"/>
      <c r="K4" s="12"/>
      <c r="L4" s="64"/>
    </row>
    <row r="5" spans="1:13" ht="18.75" x14ac:dyDescent="0.25">
      <c r="A5" s="311" t="str">
        <f>'ORÇ SANTA LUZIA'!A15:K15</f>
        <v>PA-251 - PA-124 (Ourém) / BR-316 (Santa Luzia do Pará)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3" x14ac:dyDescent="0.25">
      <c r="A6" s="9" t="s">
        <v>92</v>
      </c>
      <c r="B6" s="320" t="s">
        <v>55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21"/>
    </row>
    <row r="7" spans="1:13" ht="45" x14ac:dyDescent="0.25">
      <c r="A7" s="321" t="s">
        <v>65</v>
      </c>
      <c r="B7" s="322" t="s">
        <v>61</v>
      </c>
      <c r="C7" s="67" t="s">
        <v>84</v>
      </c>
      <c r="D7" s="67" t="s">
        <v>83</v>
      </c>
      <c r="E7" s="25" t="s">
        <v>89</v>
      </c>
      <c r="F7" s="56" t="s">
        <v>100</v>
      </c>
      <c r="G7" s="25" t="s">
        <v>79</v>
      </c>
      <c r="H7" s="25" t="s">
        <v>80</v>
      </c>
      <c r="I7" s="305" t="s">
        <v>77</v>
      </c>
      <c r="J7" s="296" t="s">
        <v>70</v>
      </c>
      <c r="K7" s="297"/>
      <c r="L7" s="298"/>
      <c r="M7" s="20"/>
    </row>
    <row r="8" spans="1:13" x14ac:dyDescent="0.25">
      <c r="A8" s="321"/>
      <c r="B8" s="322"/>
      <c r="C8" s="25" t="s">
        <v>76</v>
      </c>
      <c r="D8" s="25" t="s">
        <v>76</v>
      </c>
      <c r="E8" s="25" t="s">
        <v>76</v>
      </c>
      <c r="F8" s="25" t="s">
        <v>101</v>
      </c>
      <c r="G8" s="25" t="s">
        <v>73</v>
      </c>
      <c r="H8" s="25" t="s">
        <v>88</v>
      </c>
      <c r="I8" s="305"/>
      <c r="J8" s="299"/>
      <c r="K8" s="300"/>
      <c r="L8" s="301"/>
      <c r="M8" s="20"/>
    </row>
    <row r="9" spans="1:13" ht="45.75" customHeight="1" x14ac:dyDescent="0.25">
      <c r="A9" s="1" t="s">
        <v>54</v>
      </c>
      <c r="B9" s="58" t="s">
        <v>53</v>
      </c>
      <c r="C9" s="82">
        <v>6.28</v>
      </c>
      <c r="D9" s="82">
        <v>720</v>
      </c>
      <c r="E9" s="84"/>
      <c r="F9" s="84"/>
      <c r="G9" s="84"/>
      <c r="H9" s="84"/>
      <c r="I9" s="84">
        <f>C9*D9</f>
        <v>4521.6000000000004</v>
      </c>
      <c r="J9" s="302" t="s">
        <v>27</v>
      </c>
      <c r="K9" s="303"/>
      <c r="L9" s="304"/>
      <c r="M9" s="20"/>
    </row>
    <row r="10" spans="1:13" ht="97.5" customHeight="1" x14ac:dyDescent="0.25">
      <c r="A10" s="1" t="s">
        <v>52</v>
      </c>
      <c r="B10" s="58" t="s">
        <v>51</v>
      </c>
      <c r="C10" s="78">
        <f>C9</f>
        <v>6.28</v>
      </c>
      <c r="D10" s="78">
        <f>D9</f>
        <v>720</v>
      </c>
      <c r="E10" s="82">
        <v>0.15</v>
      </c>
      <c r="F10" s="84"/>
      <c r="G10" s="84"/>
      <c r="H10" s="84"/>
      <c r="I10" s="84">
        <f>C10*D10*E10</f>
        <v>678.24</v>
      </c>
      <c r="J10" s="302" t="s">
        <v>25</v>
      </c>
      <c r="K10" s="303"/>
      <c r="L10" s="304"/>
      <c r="M10" s="20"/>
    </row>
    <row r="11" spans="1:13" ht="100.5" customHeight="1" x14ac:dyDescent="0.25">
      <c r="A11" s="1" t="s">
        <v>94</v>
      </c>
      <c r="B11" s="58" t="s">
        <v>97</v>
      </c>
      <c r="C11" s="78">
        <f>C9</f>
        <v>6.28</v>
      </c>
      <c r="D11" s="78">
        <f>D9</f>
        <v>720</v>
      </c>
      <c r="E11" s="78">
        <f>+E10</f>
        <v>0.15</v>
      </c>
      <c r="F11" s="84"/>
      <c r="G11" s="84"/>
      <c r="H11" s="84"/>
      <c r="I11" s="84">
        <f>C11*D11*E11</f>
        <v>678.24</v>
      </c>
      <c r="J11" s="302" t="s">
        <v>25</v>
      </c>
      <c r="K11" s="303"/>
      <c r="L11" s="304"/>
      <c r="M11" s="20"/>
    </row>
    <row r="12" spans="1:13" ht="78.75" customHeight="1" x14ac:dyDescent="0.25">
      <c r="A12" s="1" t="s">
        <v>95</v>
      </c>
      <c r="B12" s="59" t="s">
        <v>106</v>
      </c>
      <c r="C12" s="84"/>
      <c r="D12" s="84"/>
      <c r="E12" s="84"/>
      <c r="F12" s="84">
        <v>1.6</v>
      </c>
      <c r="G12" s="84">
        <f>I11*F12</f>
        <v>1085.184</v>
      </c>
      <c r="H12" s="82">
        <v>6</v>
      </c>
      <c r="I12" s="84">
        <f>G12*H12</f>
        <v>6511.1039999999994</v>
      </c>
      <c r="J12" s="302" t="s">
        <v>107</v>
      </c>
      <c r="K12" s="303"/>
      <c r="L12" s="304"/>
      <c r="M12" s="20"/>
    </row>
    <row r="13" spans="1:13" x14ac:dyDescent="0.25">
      <c r="A13" s="9" t="s">
        <v>91</v>
      </c>
      <c r="B13" s="317" t="s">
        <v>90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9"/>
      <c r="M13" s="18"/>
    </row>
    <row r="14" spans="1:13" x14ac:dyDescent="0.25">
      <c r="A14" s="313" t="s">
        <v>65</v>
      </c>
      <c r="B14" s="315" t="s">
        <v>61</v>
      </c>
      <c r="C14" s="67" t="s">
        <v>84</v>
      </c>
      <c r="D14" s="67" t="s">
        <v>83</v>
      </c>
      <c r="E14" s="67" t="s">
        <v>89</v>
      </c>
      <c r="F14" s="67" t="s">
        <v>79</v>
      </c>
      <c r="G14" s="67" t="s">
        <v>80</v>
      </c>
      <c r="H14" s="313" t="s">
        <v>77</v>
      </c>
      <c r="I14" s="323" t="s">
        <v>70</v>
      </c>
      <c r="J14" s="324"/>
      <c r="K14" s="324"/>
      <c r="L14" s="325"/>
      <c r="M14" s="19"/>
    </row>
    <row r="15" spans="1:13" x14ac:dyDescent="0.25">
      <c r="A15" s="314"/>
      <c r="B15" s="316"/>
      <c r="C15" s="67" t="s">
        <v>76</v>
      </c>
      <c r="D15" s="67" t="s">
        <v>76</v>
      </c>
      <c r="E15" s="67" t="s">
        <v>76</v>
      </c>
      <c r="F15" s="67" t="s">
        <v>73</v>
      </c>
      <c r="G15" s="67" t="s">
        <v>88</v>
      </c>
      <c r="H15" s="314"/>
      <c r="I15" s="326"/>
      <c r="J15" s="327"/>
      <c r="K15" s="327"/>
      <c r="L15" s="328"/>
      <c r="M15" s="18"/>
    </row>
    <row r="16" spans="1:13" ht="30" x14ac:dyDescent="0.25">
      <c r="A16" s="1" t="s">
        <v>49</v>
      </c>
      <c r="B16" s="59" t="s">
        <v>99</v>
      </c>
      <c r="C16" s="96">
        <f>+C9-(2*(C46+C47))</f>
        <v>5.4</v>
      </c>
      <c r="D16" s="96">
        <f>+D9</f>
        <v>720</v>
      </c>
      <c r="E16" s="84"/>
      <c r="F16" s="84"/>
      <c r="G16" s="84"/>
      <c r="H16" s="84">
        <f>C16*D16</f>
        <v>3888.0000000000005</v>
      </c>
      <c r="I16" s="302" t="s">
        <v>27</v>
      </c>
      <c r="J16" s="303"/>
      <c r="K16" s="303"/>
      <c r="L16" s="304"/>
      <c r="M16" s="18"/>
    </row>
    <row r="17" spans="1:14" ht="90" x14ac:dyDescent="0.25">
      <c r="A17" s="1" t="s">
        <v>48</v>
      </c>
      <c r="B17" s="59" t="s">
        <v>102</v>
      </c>
      <c r="C17" s="84"/>
      <c r="D17" s="84"/>
      <c r="E17" s="84"/>
      <c r="F17" s="84">
        <f>(0.0012)*H16</f>
        <v>4.6656000000000004</v>
      </c>
      <c r="G17" s="82">
        <v>68.7</v>
      </c>
      <c r="H17" s="84">
        <f>F17*G17</f>
        <v>320.52672000000007</v>
      </c>
      <c r="I17" s="302" t="s">
        <v>98</v>
      </c>
      <c r="J17" s="303"/>
      <c r="K17" s="303"/>
      <c r="L17" s="304"/>
    </row>
    <row r="18" spans="1:14" ht="75" x14ac:dyDescent="0.25">
      <c r="A18" s="1" t="s">
        <v>47</v>
      </c>
      <c r="B18" s="58" t="s">
        <v>46</v>
      </c>
      <c r="C18" s="78">
        <f>C16</f>
        <v>5.4</v>
      </c>
      <c r="D18" s="78">
        <f>D16</f>
        <v>720</v>
      </c>
      <c r="E18" s="84">
        <v>0.05</v>
      </c>
      <c r="F18" s="84"/>
      <c r="G18" s="84"/>
      <c r="H18" s="84">
        <f>C18*D18*E18</f>
        <v>194.40000000000003</v>
      </c>
      <c r="I18" s="302" t="s">
        <v>25</v>
      </c>
      <c r="J18" s="303"/>
      <c r="K18" s="303"/>
      <c r="L18" s="304"/>
      <c r="N18" s="17"/>
    </row>
    <row r="19" spans="1:14" ht="60" x14ac:dyDescent="0.25">
      <c r="A19" s="1" t="s">
        <v>45</v>
      </c>
      <c r="B19" s="59" t="s">
        <v>44</v>
      </c>
      <c r="C19" s="84"/>
      <c r="D19" s="84"/>
      <c r="E19" s="84"/>
      <c r="F19" s="84">
        <f>H18</f>
        <v>194.40000000000003</v>
      </c>
      <c r="G19" s="82">
        <f>G17</f>
        <v>68.7</v>
      </c>
      <c r="H19" s="84">
        <f>F19*G19</f>
        <v>13355.280000000002</v>
      </c>
      <c r="I19" s="302" t="s">
        <v>109</v>
      </c>
      <c r="J19" s="303"/>
      <c r="K19" s="303"/>
      <c r="L19" s="304"/>
    </row>
    <row r="20" spans="1:14" x14ac:dyDescent="0.25">
      <c r="A20" s="333" t="s">
        <v>65</v>
      </c>
      <c r="B20" s="343" t="s">
        <v>61</v>
      </c>
      <c r="C20" s="25" t="s">
        <v>84</v>
      </c>
      <c r="D20" s="25" t="s">
        <v>111</v>
      </c>
      <c r="E20" s="25" t="s">
        <v>89</v>
      </c>
      <c r="F20" s="25" t="s">
        <v>81</v>
      </c>
      <c r="G20" s="345" t="s">
        <v>77</v>
      </c>
      <c r="H20" s="346"/>
      <c r="I20" s="296" t="s">
        <v>70</v>
      </c>
      <c r="J20" s="297"/>
      <c r="K20" s="297"/>
      <c r="L20" s="298"/>
    </row>
    <row r="21" spans="1:14" x14ac:dyDescent="0.25">
      <c r="A21" s="334"/>
      <c r="B21" s="344"/>
      <c r="C21" s="25" t="s">
        <v>76</v>
      </c>
      <c r="D21" s="25" t="s">
        <v>76</v>
      </c>
      <c r="E21" s="25" t="s">
        <v>76</v>
      </c>
      <c r="F21" s="25" t="s">
        <v>70</v>
      </c>
      <c r="G21" s="347"/>
      <c r="H21" s="348"/>
      <c r="I21" s="299"/>
      <c r="J21" s="300"/>
      <c r="K21" s="300"/>
      <c r="L21" s="301"/>
    </row>
    <row r="22" spans="1:14" ht="89.25" customHeight="1" x14ac:dyDescent="0.25">
      <c r="A22" s="1" t="s">
        <v>43</v>
      </c>
      <c r="B22" s="58" t="s">
        <v>110</v>
      </c>
      <c r="C22" s="84">
        <f>C9</f>
        <v>6.28</v>
      </c>
      <c r="D22" s="78">
        <v>0.3</v>
      </c>
      <c r="E22" s="84">
        <v>0.12</v>
      </c>
      <c r="F22" s="82">
        <v>1</v>
      </c>
      <c r="G22" s="349">
        <f>C22*D22*E22*F22</f>
        <v>0.22607999999999998</v>
      </c>
      <c r="H22" s="350"/>
      <c r="I22" s="302" t="s">
        <v>25</v>
      </c>
      <c r="J22" s="303"/>
      <c r="K22" s="303"/>
      <c r="L22" s="304"/>
    </row>
    <row r="23" spans="1:14" x14ac:dyDescent="0.25">
      <c r="A23" s="9" t="s">
        <v>87</v>
      </c>
      <c r="B23" s="294" t="s">
        <v>42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</row>
    <row r="24" spans="1:14" x14ac:dyDescent="0.25">
      <c r="A24" s="329" t="s">
        <v>65</v>
      </c>
      <c r="B24" s="330" t="s">
        <v>61</v>
      </c>
      <c r="C24" s="305" t="s">
        <v>113</v>
      </c>
      <c r="D24" s="305"/>
      <c r="E24" s="305" t="s">
        <v>114</v>
      </c>
      <c r="F24" s="305"/>
      <c r="G24" s="25" t="s">
        <v>111</v>
      </c>
      <c r="H24" s="25" t="s">
        <v>81</v>
      </c>
      <c r="I24" s="305" t="s">
        <v>77</v>
      </c>
      <c r="J24" s="296" t="s">
        <v>70</v>
      </c>
      <c r="K24" s="297"/>
      <c r="L24" s="298"/>
    </row>
    <row r="25" spans="1:14" x14ac:dyDescent="0.25">
      <c r="A25" s="329"/>
      <c r="B25" s="330"/>
      <c r="C25" s="305" t="s">
        <v>76</v>
      </c>
      <c r="D25" s="305"/>
      <c r="E25" s="305" t="s">
        <v>76</v>
      </c>
      <c r="F25" s="305"/>
      <c r="G25" s="25" t="s">
        <v>76</v>
      </c>
      <c r="H25" s="25" t="s">
        <v>70</v>
      </c>
      <c r="I25" s="305"/>
      <c r="J25" s="299"/>
      <c r="K25" s="300"/>
      <c r="L25" s="301"/>
    </row>
    <row r="26" spans="1:14" ht="125.25" customHeight="1" x14ac:dyDescent="0.25">
      <c r="A26" s="60" t="s">
        <v>41</v>
      </c>
      <c r="B26" s="58" t="s">
        <v>112</v>
      </c>
      <c r="C26" s="306">
        <v>2.2000000000000002</v>
      </c>
      <c r="D26" s="306"/>
      <c r="E26" s="306">
        <v>1.2</v>
      </c>
      <c r="F26" s="306"/>
      <c r="G26" s="95">
        <v>1.2</v>
      </c>
      <c r="H26" s="82">
        <v>12</v>
      </c>
      <c r="I26" s="24">
        <f>(((C26+E26)*G26)/2)*H26</f>
        <v>24.48</v>
      </c>
      <c r="J26" s="302" t="s">
        <v>27</v>
      </c>
      <c r="K26" s="303"/>
      <c r="L26" s="304"/>
    </row>
    <row r="27" spans="1:14" x14ac:dyDescent="0.25">
      <c r="A27" s="9" t="s">
        <v>86</v>
      </c>
      <c r="B27" s="294" t="s">
        <v>40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</row>
    <row r="28" spans="1:14" x14ac:dyDescent="0.25">
      <c r="A28" s="329" t="s">
        <v>65</v>
      </c>
      <c r="B28" s="330" t="s">
        <v>61</v>
      </c>
      <c r="C28" s="25" t="s">
        <v>84</v>
      </c>
      <c r="D28" s="25" t="s">
        <v>83</v>
      </c>
      <c r="E28" s="25" t="s">
        <v>118</v>
      </c>
      <c r="F28" s="25" t="s">
        <v>81</v>
      </c>
      <c r="G28" s="305" t="s">
        <v>77</v>
      </c>
      <c r="H28" s="296" t="s">
        <v>70</v>
      </c>
      <c r="I28" s="297"/>
      <c r="J28" s="297"/>
      <c r="K28" s="297"/>
      <c r="L28" s="298"/>
    </row>
    <row r="29" spans="1:14" x14ac:dyDescent="0.25">
      <c r="A29" s="329"/>
      <c r="B29" s="330"/>
      <c r="C29" s="25" t="s">
        <v>76</v>
      </c>
      <c r="D29" s="25" t="s">
        <v>76</v>
      </c>
      <c r="E29" s="25" t="s">
        <v>75</v>
      </c>
      <c r="F29" s="25" t="s">
        <v>75</v>
      </c>
      <c r="G29" s="305"/>
      <c r="H29" s="299"/>
      <c r="I29" s="300"/>
      <c r="J29" s="300"/>
      <c r="K29" s="300"/>
      <c r="L29" s="301"/>
    </row>
    <row r="30" spans="1:14" ht="90" x14ac:dyDescent="0.25">
      <c r="A30" s="5" t="s">
        <v>115</v>
      </c>
      <c r="B30" s="58" t="s">
        <v>117</v>
      </c>
      <c r="C30" s="89">
        <v>0.1</v>
      </c>
      <c r="D30" s="89">
        <f>D9</f>
        <v>720</v>
      </c>
      <c r="E30" s="89" t="s">
        <v>119</v>
      </c>
      <c r="F30" s="81">
        <v>3</v>
      </c>
      <c r="G30" s="89">
        <f>C30*D30*F30</f>
        <v>216</v>
      </c>
      <c r="H30" s="351" t="s">
        <v>27</v>
      </c>
      <c r="I30" s="352"/>
      <c r="J30" s="352"/>
      <c r="K30" s="352"/>
      <c r="L30" s="353"/>
    </row>
    <row r="31" spans="1:14" ht="75" x14ac:dyDescent="0.25">
      <c r="A31" s="1" t="s">
        <v>116</v>
      </c>
      <c r="B31" s="58" t="s">
        <v>120</v>
      </c>
      <c r="C31" s="78">
        <v>0.4</v>
      </c>
      <c r="D31" s="78">
        <v>3</v>
      </c>
      <c r="E31" s="78">
        <f>C9/(2*C31)</f>
        <v>7.85</v>
      </c>
      <c r="F31" s="95">
        <f>ROUNDUP(H26/2,0)</f>
        <v>6</v>
      </c>
      <c r="G31" s="84">
        <f>C31*D31*E31*F31</f>
        <v>56.52000000000001</v>
      </c>
      <c r="H31" s="302" t="s">
        <v>27</v>
      </c>
      <c r="I31" s="303"/>
      <c r="J31" s="303"/>
      <c r="K31" s="303"/>
      <c r="L31" s="304"/>
    </row>
    <row r="32" spans="1:14" ht="45" x14ac:dyDescent="0.25">
      <c r="A32" s="1" t="s">
        <v>38</v>
      </c>
      <c r="B32" s="88" t="s">
        <v>121</v>
      </c>
      <c r="C32" s="78">
        <v>0.4</v>
      </c>
      <c r="D32" s="95">
        <f>+E26</f>
        <v>1.2</v>
      </c>
      <c r="E32" s="78" t="s">
        <v>119</v>
      </c>
      <c r="F32" s="78">
        <f>H26</f>
        <v>12</v>
      </c>
      <c r="G32" s="84">
        <f>(D32/C32)*F32</f>
        <v>35.999999999999993</v>
      </c>
      <c r="H32" s="302" t="s">
        <v>27</v>
      </c>
      <c r="I32" s="303"/>
      <c r="J32" s="303"/>
      <c r="K32" s="303"/>
      <c r="L32" s="304"/>
    </row>
    <row r="33" spans="1:15" x14ac:dyDescent="0.25">
      <c r="A33" s="333" t="s">
        <v>37</v>
      </c>
      <c r="B33" s="337" t="s">
        <v>61</v>
      </c>
      <c r="C33" s="335" t="s">
        <v>122</v>
      </c>
      <c r="D33" s="335"/>
      <c r="E33" s="336" t="s">
        <v>81</v>
      </c>
      <c r="F33" s="336"/>
      <c r="G33" s="333" t="s">
        <v>77</v>
      </c>
      <c r="H33" s="296" t="s">
        <v>70</v>
      </c>
      <c r="I33" s="297"/>
      <c r="J33" s="297"/>
      <c r="K33" s="297"/>
      <c r="L33" s="298"/>
    </row>
    <row r="34" spans="1:15" x14ac:dyDescent="0.25">
      <c r="A34" s="334"/>
      <c r="B34" s="338"/>
      <c r="C34" s="339" t="s">
        <v>27</v>
      </c>
      <c r="D34" s="340"/>
      <c r="E34" s="341" t="s">
        <v>75</v>
      </c>
      <c r="F34" s="342"/>
      <c r="G34" s="334"/>
      <c r="H34" s="299"/>
      <c r="I34" s="300"/>
      <c r="J34" s="300"/>
      <c r="K34" s="300"/>
      <c r="L34" s="301"/>
    </row>
    <row r="35" spans="1:15" ht="75" x14ac:dyDescent="0.25">
      <c r="A35" s="1" t="s">
        <v>123</v>
      </c>
      <c r="B35" s="58" t="s">
        <v>126</v>
      </c>
      <c r="C35" s="354">
        <v>0.3</v>
      </c>
      <c r="D35" s="355"/>
      <c r="E35" s="331">
        <v>4</v>
      </c>
      <c r="F35" s="332"/>
      <c r="G35" s="84">
        <f>+C35*E35</f>
        <v>1.2</v>
      </c>
      <c r="H35" s="302" t="s">
        <v>27</v>
      </c>
      <c r="I35" s="303"/>
      <c r="J35" s="303"/>
      <c r="K35" s="303"/>
      <c r="L35" s="304"/>
    </row>
    <row r="36" spans="1:15" ht="60" x14ac:dyDescent="0.25">
      <c r="A36" s="1" t="s">
        <v>124</v>
      </c>
      <c r="B36" s="58" t="s">
        <v>127</v>
      </c>
      <c r="C36" s="354">
        <v>0.13</v>
      </c>
      <c r="D36" s="355"/>
      <c r="E36" s="331"/>
      <c r="F36" s="332"/>
      <c r="G36" s="84">
        <f t="shared" ref="G36:G38" si="0">+C36*E36</f>
        <v>0</v>
      </c>
      <c r="H36" s="302" t="s">
        <v>27</v>
      </c>
      <c r="I36" s="303"/>
      <c r="J36" s="303"/>
      <c r="K36" s="303"/>
      <c r="L36" s="304"/>
    </row>
    <row r="37" spans="1:15" ht="75" x14ac:dyDescent="0.25">
      <c r="A37" s="1" t="s">
        <v>125</v>
      </c>
      <c r="B37" s="58" t="s">
        <v>128</v>
      </c>
      <c r="C37" s="354">
        <v>0.2</v>
      </c>
      <c r="D37" s="355"/>
      <c r="E37" s="331"/>
      <c r="F37" s="332"/>
      <c r="G37" s="84">
        <f t="shared" si="0"/>
        <v>0</v>
      </c>
      <c r="H37" s="302" t="s">
        <v>27</v>
      </c>
      <c r="I37" s="303"/>
      <c r="J37" s="303"/>
      <c r="K37" s="303"/>
      <c r="L37" s="304"/>
    </row>
    <row r="38" spans="1:15" ht="75" x14ac:dyDescent="0.25">
      <c r="A38" s="1" t="s">
        <v>130</v>
      </c>
      <c r="B38" s="58" t="s">
        <v>129</v>
      </c>
      <c r="C38" s="354">
        <v>0.125</v>
      </c>
      <c r="D38" s="355"/>
      <c r="E38" s="331">
        <v>12</v>
      </c>
      <c r="F38" s="332"/>
      <c r="G38" s="84">
        <f t="shared" si="0"/>
        <v>1.5</v>
      </c>
      <c r="H38" s="302" t="s">
        <v>27</v>
      </c>
      <c r="I38" s="303"/>
      <c r="J38" s="303"/>
      <c r="K38" s="303"/>
      <c r="L38" s="304"/>
    </row>
    <row r="39" spans="1:15" x14ac:dyDescent="0.25">
      <c r="A39" s="333" t="s">
        <v>131</v>
      </c>
      <c r="B39" s="337" t="s">
        <v>61</v>
      </c>
      <c r="C39" s="339" t="s">
        <v>111</v>
      </c>
      <c r="D39" s="340"/>
      <c r="E39" s="341" t="s">
        <v>81</v>
      </c>
      <c r="F39" s="342"/>
      <c r="G39" s="333" t="s">
        <v>77</v>
      </c>
      <c r="H39" s="296" t="s">
        <v>70</v>
      </c>
      <c r="I39" s="297"/>
      <c r="J39" s="297"/>
      <c r="K39" s="297"/>
      <c r="L39" s="298"/>
    </row>
    <row r="40" spans="1:15" x14ac:dyDescent="0.25">
      <c r="A40" s="334"/>
      <c r="B40" s="338"/>
      <c r="C40" s="339" t="s">
        <v>76</v>
      </c>
      <c r="D40" s="340"/>
      <c r="E40" s="341" t="s">
        <v>70</v>
      </c>
      <c r="F40" s="342"/>
      <c r="G40" s="334"/>
      <c r="H40" s="299"/>
      <c r="I40" s="300"/>
      <c r="J40" s="300"/>
      <c r="K40" s="300"/>
      <c r="L40" s="301"/>
    </row>
    <row r="41" spans="1:15" ht="60" x14ac:dyDescent="0.25">
      <c r="A41" s="1" t="s">
        <v>132</v>
      </c>
      <c r="B41" s="87" t="s">
        <v>152</v>
      </c>
      <c r="C41" s="354">
        <v>2.8</v>
      </c>
      <c r="D41" s="355"/>
      <c r="E41" s="354">
        <f>SUM(E35:F38)</f>
        <v>16</v>
      </c>
      <c r="F41" s="355"/>
      <c r="G41" s="84">
        <f>C41*E41</f>
        <v>44.8</v>
      </c>
      <c r="H41" s="302" t="s">
        <v>3</v>
      </c>
      <c r="I41" s="303"/>
      <c r="J41" s="303"/>
      <c r="K41" s="303"/>
      <c r="L41" s="304"/>
    </row>
    <row r="42" spans="1:15" x14ac:dyDescent="0.25">
      <c r="A42" s="9" t="s">
        <v>85</v>
      </c>
      <c r="B42" s="294" t="s">
        <v>35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O42" s="11"/>
    </row>
    <row r="43" spans="1:15" ht="30" x14ac:dyDescent="0.25">
      <c r="A43" s="329" t="s">
        <v>65</v>
      </c>
      <c r="B43" s="330" t="s">
        <v>61</v>
      </c>
      <c r="C43" s="25" t="s">
        <v>84</v>
      </c>
      <c r="D43" s="25" t="s">
        <v>83</v>
      </c>
      <c r="E43" s="25" t="s">
        <v>82</v>
      </c>
      <c r="F43" s="25" t="s">
        <v>81</v>
      </c>
      <c r="G43" s="25" t="s">
        <v>80</v>
      </c>
      <c r="H43" s="56" t="s">
        <v>79</v>
      </c>
      <c r="I43" s="56" t="s">
        <v>78</v>
      </c>
      <c r="J43" s="295" t="s">
        <v>103</v>
      </c>
      <c r="K43" s="305" t="s">
        <v>77</v>
      </c>
      <c r="L43" s="305" t="s">
        <v>70</v>
      </c>
      <c r="M43" s="16"/>
    </row>
    <row r="44" spans="1:15" x14ac:dyDescent="0.25">
      <c r="A44" s="329"/>
      <c r="B44" s="330"/>
      <c r="C44" s="25" t="s">
        <v>76</v>
      </c>
      <c r="D44" s="25" t="s">
        <v>76</v>
      </c>
      <c r="E44" s="25" t="s">
        <v>76</v>
      </c>
      <c r="F44" s="25" t="s">
        <v>75</v>
      </c>
      <c r="G44" s="25" t="s">
        <v>74</v>
      </c>
      <c r="H44" s="25" t="s">
        <v>73</v>
      </c>
      <c r="I44" s="25" t="s">
        <v>72</v>
      </c>
      <c r="J44" s="295"/>
      <c r="K44" s="305"/>
      <c r="L44" s="305"/>
    </row>
    <row r="45" spans="1:15" x14ac:dyDescent="0.25">
      <c r="A45" s="356" t="s">
        <v>133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8"/>
    </row>
    <row r="46" spans="1:15" ht="60" x14ac:dyDescent="0.25">
      <c r="A46" s="60" t="s">
        <v>34</v>
      </c>
      <c r="B46" s="58" t="s">
        <v>33</v>
      </c>
      <c r="C46" s="84">
        <v>0.14000000000000001</v>
      </c>
      <c r="D46" s="82">
        <f>D9*2</f>
        <v>1440</v>
      </c>
      <c r="E46" s="84" t="s">
        <v>119</v>
      </c>
      <c r="F46" s="84" t="s">
        <v>119</v>
      </c>
      <c r="G46" s="84" t="s">
        <v>119</v>
      </c>
      <c r="H46" s="84" t="s">
        <v>119</v>
      </c>
      <c r="I46" s="91" t="s">
        <v>119</v>
      </c>
      <c r="J46" s="91" t="s">
        <v>119</v>
      </c>
      <c r="K46" s="84">
        <f>D46</f>
        <v>1440</v>
      </c>
      <c r="L46" s="1" t="s">
        <v>3</v>
      </c>
    </row>
    <row r="47" spans="1:15" ht="60" x14ac:dyDescent="0.25">
      <c r="A47" s="60" t="s">
        <v>32</v>
      </c>
      <c r="B47" s="58" t="s">
        <v>31</v>
      </c>
      <c r="C47" s="84">
        <v>0.3</v>
      </c>
      <c r="D47" s="82">
        <f>D46</f>
        <v>1440</v>
      </c>
      <c r="E47" s="84" t="s">
        <v>119</v>
      </c>
      <c r="F47" s="84" t="s">
        <v>119</v>
      </c>
      <c r="G47" s="84" t="s">
        <v>119</v>
      </c>
      <c r="H47" s="84" t="s">
        <v>119</v>
      </c>
      <c r="I47" s="84" t="s">
        <v>119</v>
      </c>
      <c r="J47" s="84" t="s">
        <v>119</v>
      </c>
      <c r="K47" s="84">
        <f>D47</f>
        <v>1440</v>
      </c>
      <c r="L47" s="1" t="s">
        <v>3</v>
      </c>
    </row>
    <row r="48" spans="1:15" ht="195" x14ac:dyDescent="0.25">
      <c r="A48" s="60" t="s">
        <v>30</v>
      </c>
      <c r="B48" s="58" t="s">
        <v>150</v>
      </c>
      <c r="C48" s="78">
        <f>C47+C46</f>
        <v>0.44</v>
      </c>
      <c r="D48" s="78">
        <f>D47</f>
        <v>1440</v>
      </c>
      <c r="E48" s="78">
        <v>0.15</v>
      </c>
      <c r="F48" s="84" t="s">
        <v>119</v>
      </c>
      <c r="G48" s="84" t="s">
        <v>119</v>
      </c>
      <c r="H48" s="84" t="s">
        <v>119</v>
      </c>
      <c r="I48" s="84" t="s">
        <v>119</v>
      </c>
      <c r="J48" s="84" t="s">
        <v>119</v>
      </c>
      <c r="K48" s="84">
        <f>C48*D48*E48</f>
        <v>95.04</v>
      </c>
      <c r="L48" s="1" t="s">
        <v>25</v>
      </c>
    </row>
    <row r="49" spans="1:12" ht="60" x14ac:dyDescent="0.25">
      <c r="A49" s="60" t="s">
        <v>29</v>
      </c>
      <c r="B49" s="58" t="s">
        <v>28</v>
      </c>
      <c r="C49" s="78">
        <f>C48</f>
        <v>0.44</v>
      </c>
      <c r="D49" s="78">
        <f>D48</f>
        <v>1440</v>
      </c>
      <c r="E49" s="84" t="s">
        <v>119</v>
      </c>
      <c r="F49" s="84" t="s">
        <v>119</v>
      </c>
      <c r="G49" s="84" t="s">
        <v>119</v>
      </c>
      <c r="H49" s="84" t="s">
        <v>119</v>
      </c>
      <c r="I49" s="84" t="s">
        <v>119</v>
      </c>
      <c r="J49" s="84" t="s">
        <v>119</v>
      </c>
      <c r="K49" s="90">
        <f>C49*D49</f>
        <v>633.6</v>
      </c>
      <c r="L49" s="69" t="s">
        <v>27</v>
      </c>
    </row>
    <row r="50" spans="1:12" ht="60" x14ac:dyDescent="0.25">
      <c r="A50" s="60" t="s">
        <v>26</v>
      </c>
      <c r="B50" s="58" t="s">
        <v>134</v>
      </c>
      <c r="C50" s="78"/>
      <c r="D50" s="78"/>
      <c r="E50" s="84"/>
      <c r="F50" s="84"/>
      <c r="G50" s="82">
        <v>8</v>
      </c>
      <c r="H50" s="84">
        <f>K48*J50</f>
        <v>118.80000000000001</v>
      </c>
      <c r="I50" s="84"/>
      <c r="J50" s="84">
        <v>1.25</v>
      </c>
      <c r="K50" s="90">
        <f>G50*H50</f>
        <v>950.40000000000009</v>
      </c>
      <c r="L50" s="69" t="s">
        <v>135</v>
      </c>
    </row>
    <row r="51" spans="1:12" x14ac:dyDescent="0.25">
      <c r="A51" s="339" t="s">
        <v>136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40"/>
    </row>
    <row r="52" spans="1:12" ht="45" x14ac:dyDescent="0.25">
      <c r="A52" s="70" t="s">
        <v>24</v>
      </c>
      <c r="B52" s="88" t="s">
        <v>9</v>
      </c>
      <c r="C52" s="72" t="s">
        <v>119</v>
      </c>
      <c r="D52" s="81"/>
      <c r="E52" s="72" t="s">
        <v>119</v>
      </c>
      <c r="F52" s="72" t="s">
        <v>119</v>
      </c>
      <c r="G52" s="72" t="s">
        <v>119</v>
      </c>
      <c r="H52" s="72">
        <f>D52*I52</f>
        <v>0</v>
      </c>
      <c r="I52" s="72">
        <v>0.13</v>
      </c>
      <c r="J52" s="72"/>
      <c r="K52" s="72">
        <f>D52</f>
        <v>0</v>
      </c>
      <c r="L52" s="71" t="s">
        <v>3</v>
      </c>
    </row>
    <row r="53" spans="1:12" ht="225" x14ac:dyDescent="0.25">
      <c r="A53" s="70" t="s">
        <v>21</v>
      </c>
      <c r="B53" s="88" t="s">
        <v>153</v>
      </c>
      <c r="C53" s="72">
        <v>0.9</v>
      </c>
      <c r="D53" s="72">
        <f>D52</f>
        <v>0</v>
      </c>
      <c r="E53" s="72">
        <v>1</v>
      </c>
      <c r="F53" s="72" t="s">
        <v>119</v>
      </c>
      <c r="G53" s="72" t="s">
        <v>119</v>
      </c>
      <c r="H53" s="72" t="s">
        <v>119</v>
      </c>
      <c r="I53" s="72" t="s">
        <v>119</v>
      </c>
      <c r="J53" s="72" t="s">
        <v>119</v>
      </c>
      <c r="K53" s="72">
        <f>C53*D53*E53</f>
        <v>0</v>
      </c>
      <c r="L53" s="71" t="s">
        <v>25</v>
      </c>
    </row>
    <row r="54" spans="1:12" ht="75" x14ac:dyDescent="0.25">
      <c r="A54" s="70" t="s">
        <v>18</v>
      </c>
      <c r="B54" s="88" t="s">
        <v>157</v>
      </c>
      <c r="C54" s="72">
        <v>0.9</v>
      </c>
      <c r="D54" s="72">
        <f>D52</f>
        <v>0</v>
      </c>
      <c r="E54" s="72" t="s">
        <v>119</v>
      </c>
      <c r="F54" s="72" t="s">
        <v>119</v>
      </c>
      <c r="G54" s="72" t="s">
        <v>119</v>
      </c>
      <c r="H54" s="72" t="s">
        <v>119</v>
      </c>
      <c r="I54" s="72" t="s">
        <v>119</v>
      </c>
      <c r="J54" s="72" t="s">
        <v>119</v>
      </c>
      <c r="K54" s="72">
        <f>C54*D54</f>
        <v>0</v>
      </c>
      <c r="L54" s="71" t="s">
        <v>25</v>
      </c>
    </row>
    <row r="55" spans="1:12" ht="105" x14ac:dyDescent="0.25">
      <c r="A55" s="60" t="s">
        <v>16</v>
      </c>
      <c r="B55" s="88" t="s">
        <v>158</v>
      </c>
      <c r="C55" s="78">
        <v>0.9</v>
      </c>
      <c r="D55" s="78">
        <f>D53</f>
        <v>0</v>
      </c>
      <c r="E55" s="78">
        <f>E53</f>
        <v>1</v>
      </c>
      <c r="F55" s="84" t="s">
        <v>119</v>
      </c>
      <c r="G55" s="84" t="s">
        <v>119</v>
      </c>
      <c r="H55" s="84" t="s">
        <v>119</v>
      </c>
      <c r="I55" s="84" t="s">
        <v>119</v>
      </c>
      <c r="J55" s="84" t="s">
        <v>119</v>
      </c>
      <c r="K55" s="90">
        <f>K53-H52</f>
        <v>0</v>
      </c>
      <c r="L55" s="69" t="s">
        <v>25</v>
      </c>
    </row>
    <row r="56" spans="1:12" ht="120" x14ac:dyDescent="0.25">
      <c r="A56" s="60" t="s">
        <v>13</v>
      </c>
      <c r="B56" s="88" t="s">
        <v>159</v>
      </c>
      <c r="C56" s="78" t="s">
        <v>119</v>
      </c>
      <c r="D56" s="78">
        <f>D52</f>
        <v>0</v>
      </c>
      <c r="E56" s="78" t="s">
        <v>119</v>
      </c>
      <c r="F56" s="84" t="s">
        <v>119</v>
      </c>
      <c r="G56" s="84" t="s">
        <v>119</v>
      </c>
      <c r="H56" s="84" t="s">
        <v>119</v>
      </c>
      <c r="I56" s="84" t="s">
        <v>119</v>
      </c>
      <c r="J56" s="84" t="s">
        <v>119</v>
      </c>
      <c r="K56" s="90">
        <f>D56</f>
        <v>0</v>
      </c>
      <c r="L56" s="69" t="s">
        <v>3</v>
      </c>
    </row>
    <row r="57" spans="1:12" ht="60" x14ac:dyDescent="0.25">
      <c r="A57" s="60" t="s">
        <v>11</v>
      </c>
      <c r="B57" s="59" t="s">
        <v>160</v>
      </c>
      <c r="C57" s="84" t="s">
        <v>119</v>
      </c>
      <c r="D57" s="84" t="s">
        <v>119</v>
      </c>
      <c r="E57" s="84" t="s">
        <v>119</v>
      </c>
      <c r="F57" s="84" t="s">
        <v>119</v>
      </c>
      <c r="G57" s="82"/>
      <c r="H57" s="84">
        <f>H52</f>
        <v>0</v>
      </c>
      <c r="I57" s="84" t="s">
        <v>119</v>
      </c>
      <c r="J57" s="84">
        <v>1.25</v>
      </c>
      <c r="K57" s="84">
        <f>G57*H57*J57</f>
        <v>0</v>
      </c>
      <c r="L57" s="1" t="s">
        <v>71</v>
      </c>
    </row>
    <row r="58" spans="1:12" ht="45" x14ac:dyDescent="0.25">
      <c r="A58" s="60" t="s">
        <v>8</v>
      </c>
      <c r="B58" s="58" t="s">
        <v>12</v>
      </c>
      <c r="C58" s="84" t="s">
        <v>119</v>
      </c>
      <c r="D58" s="82"/>
      <c r="E58" s="84" t="s">
        <v>119</v>
      </c>
      <c r="F58" s="84" t="s">
        <v>119</v>
      </c>
      <c r="G58" s="92" t="s">
        <v>119</v>
      </c>
      <c r="H58" s="84">
        <f>D58*I58</f>
        <v>0</v>
      </c>
      <c r="I58" s="84">
        <f>3.14*((0.3)^2)</f>
        <v>0.28260000000000002</v>
      </c>
      <c r="J58" s="84" t="s">
        <v>119</v>
      </c>
      <c r="K58" s="84">
        <f>D58</f>
        <v>0</v>
      </c>
      <c r="L58" s="1" t="s">
        <v>3</v>
      </c>
    </row>
    <row r="59" spans="1:12" ht="225" x14ac:dyDescent="0.25">
      <c r="A59" s="60" t="s">
        <v>7</v>
      </c>
      <c r="B59" s="88" t="s">
        <v>154</v>
      </c>
      <c r="C59" s="84">
        <v>1.1499999999999999</v>
      </c>
      <c r="D59" s="78">
        <f>D58</f>
        <v>0</v>
      </c>
      <c r="E59" s="84">
        <f>0.6+0.6</f>
        <v>1.2</v>
      </c>
      <c r="F59" s="84" t="s">
        <v>119</v>
      </c>
      <c r="G59" s="92" t="s">
        <v>119</v>
      </c>
      <c r="H59" s="84" t="s">
        <v>119</v>
      </c>
      <c r="I59" s="84" t="s">
        <v>119</v>
      </c>
      <c r="J59" s="84" t="s">
        <v>119</v>
      </c>
      <c r="K59" s="84">
        <f>C59*D59*E59</f>
        <v>0</v>
      </c>
      <c r="L59" s="1" t="s">
        <v>25</v>
      </c>
    </row>
    <row r="60" spans="1:12" ht="75" x14ac:dyDescent="0.25">
      <c r="A60" s="60" t="s">
        <v>137</v>
      </c>
      <c r="B60" s="88" t="s">
        <v>161</v>
      </c>
      <c r="C60" s="84">
        <f>C59</f>
        <v>1.1499999999999999</v>
      </c>
      <c r="D60" s="78">
        <f>D58</f>
        <v>0</v>
      </c>
      <c r="E60" s="84" t="s">
        <v>119</v>
      </c>
      <c r="F60" s="84" t="s">
        <v>119</v>
      </c>
      <c r="G60" s="92" t="s">
        <v>119</v>
      </c>
      <c r="H60" s="84" t="s">
        <v>119</v>
      </c>
      <c r="I60" s="84" t="s">
        <v>119</v>
      </c>
      <c r="J60" s="84" t="s">
        <v>119</v>
      </c>
      <c r="K60" s="84">
        <f>C60*D60</f>
        <v>0</v>
      </c>
      <c r="L60" s="1" t="s">
        <v>27</v>
      </c>
    </row>
    <row r="61" spans="1:12" ht="120" x14ac:dyDescent="0.25">
      <c r="A61" s="60" t="s">
        <v>138</v>
      </c>
      <c r="B61" s="88" t="s">
        <v>162</v>
      </c>
      <c r="C61" s="84">
        <f>C59</f>
        <v>1.1499999999999999</v>
      </c>
      <c r="D61" s="78">
        <f>D58</f>
        <v>0</v>
      </c>
      <c r="E61" s="84">
        <f>E59</f>
        <v>1.2</v>
      </c>
      <c r="F61" s="84" t="s">
        <v>119</v>
      </c>
      <c r="G61" s="92" t="s">
        <v>119</v>
      </c>
      <c r="H61" s="84" t="s">
        <v>119</v>
      </c>
      <c r="I61" s="84" t="s">
        <v>119</v>
      </c>
      <c r="J61" s="84" t="s">
        <v>119</v>
      </c>
      <c r="K61" s="84">
        <f>(K59)-(H58)</f>
        <v>0</v>
      </c>
      <c r="L61" s="1" t="s">
        <v>25</v>
      </c>
    </row>
    <row r="62" spans="1:12" ht="120" x14ac:dyDescent="0.25">
      <c r="A62" s="60" t="s">
        <v>139</v>
      </c>
      <c r="B62" s="88" t="s">
        <v>163</v>
      </c>
      <c r="C62" s="84" t="s">
        <v>119</v>
      </c>
      <c r="D62" s="78">
        <f>D58</f>
        <v>0</v>
      </c>
      <c r="E62" s="84" t="s">
        <v>119</v>
      </c>
      <c r="F62" s="84" t="s">
        <v>119</v>
      </c>
      <c r="G62" s="92" t="s">
        <v>119</v>
      </c>
      <c r="H62" s="84" t="s">
        <v>119</v>
      </c>
      <c r="I62" s="84" t="s">
        <v>119</v>
      </c>
      <c r="J62" s="84" t="s">
        <v>119</v>
      </c>
      <c r="K62" s="84">
        <f>D62</f>
        <v>0</v>
      </c>
      <c r="L62" s="1" t="s">
        <v>3</v>
      </c>
    </row>
    <row r="63" spans="1:12" ht="60" x14ac:dyDescent="0.25">
      <c r="A63" s="60" t="s">
        <v>140</v>
      </c>
      <c r="B63" s="59" t="s">
        <v>164</v>
      </c>
      <c r="C63" s="84" t="s">
        <v>119</v>
      </c>
      <c r="D63" s="78" t="s">
        <v>119</v>
      </c>
      <c r="E63" s="84" t="s">
        <v>119</v>
      </c>
      <c r="F63" s="84" t="s">
        <v>119</v>
      </c>
      <c r="G63" s="82"/>
      <c r="H63" s="84">
        <f>H58</f>
        <v>0</v>
      </c>
      <c r="I63" s="84" t="s">
        <v>119</v>
      </c>
      <c r="J63" s="84">
        <v>1.25</v>
      </c>
      <c r="K63" s="84">
        <f>G63*H63*J63</f>
        <v>0</v>
      </c>
      <c r="L63" s="1" t="s">
        <v>135</v>
      </c>
    </row>
    <row r="64" spans="1:12" ht="90" x14ac:dyDescent="0.25">
      <c r="A64" s="60" t="s">
        <v>141</v>
      </c>
      <c r="B64" s="58" t="s">
        <v>19</v>
      </c>
      <c r="C64" s="84" t="s">
        <v>119</v>
      </c>
      <c r="D64" s="84" t="s">
        <v>119</v>
      </c>
      <c r="E64" s="84" t="s">
        <v>119</v>
      </c>
      <c r="F64" s="82"/>
      <c r="G64" s="84" t="s">
        <v>119</v>
      </c>
      <c r="H64" s="84" t="s">
        <v>119</v>
      </c>
      <c r="I64" s="84" t="s">
        <v>119</v>
      </c>
      <c r="J64" s="84" t="s">
        <v>119</v>
      </c>
      <c r="K64" s="84">
        <f>F64</f>
        <v>0</v>
      </c>
      <c r="L64" s="1" t="s">
        <v>70</v>
      </c>
    </row>
    <row r="65" spans="1:12" ht="90" x14ac:dyDescent="0.25">
      <c r="A65" s="60" t="s">
        <v>142</v>
      </c>
      <c r="B65" s="58" t="s">
        <v>17</v>
      </c>
      <c r="C65" s="84" t="s">
        <v>119</v>
      </c>
      <c r="D65" s="84" t="s">
        <v>119</v>
      </c>
      <c r="E65" s="84" t="s">
        <v>119</v>
      </c>
      <c r="F65" s="82"/>
      <c r="G65" s="84" t="s">
        <v>119</v>
      </c>
      <c r="H65" s="84" t="s">
        <v>119</v>
      </c>
      <c r="I65" s="84" t="s">
        <v>119</v>
      </c>
      <c r="J65" s="84" t="s">
        <v>119</v>
      </c>
      <c r="K65" s="84">
        <f>F65</f>
        <v>0</v>
      </c>
      <c r="L65" s="1" t="s">
        <v>70</v>
      </c>
    </row>
    <row r="66" spans="1:12" ht="60" x14ac:dyDescent="0.25">
      <c r="A66" s="60" t="s">
        <v>143</v>
      </c>
      <c r="B66" s="58" t="s">
        <v>15</v>
      </c>
      <c r="C66" s="84" t="s">
        <v>119</v>
      </c>
      <c r="D66" s="84" t="s">
        <v>119</v>
      </c>
      <c r="E66" s="84" t="s">
        <v>119</v>
      </c>
      <c r="F66" s="78">
        <f>F65</f>
        <v>0</v>
      </c>
      <c r="G66" s="84" t="s">
        <v>119</v>
      </c>
      <c r="H66" s="84" t="s">
        <v>119</v>
      </c>
      <c r="I66" s="84" t="s">
        <v>119</v>
      </c>
      <c r="J66" s="84" t="s">
        <v>119</v>
      </c>
      <c r="K66" s="84">
        <f>F66</f>
        <v>0</v>
      </c>
      <c r="L66" s="1" t="s">
        <v>70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E41:F41"/>
    <mergeCell ref="H41:L41"/>
    <mergeCell ref="A45:L45"/>
    <mergeCell ref="A51:L51"/>
    <mergeCell ref="C35:D35"/>
    <mergeCell ref="C36:D36"/>
    <mergeCell ref="C37:D37"/>
    <mergeCell ref="C38:D38"/>
    <mergeCell ref="C41:D41"/>
    <mergeCell ref="H37:L37"/>
    <mergeCell ref="H38:L38"/>
    <mergeCell ref="A39:A40"/>
    <mergeCell ref="B39:B40"/>
    <mergeCell ref="C39:D39"/>
    <mergeCell ref="C40:D40"/>
    <mergeCell ref="E39:F39"/>
    <mergeCell ref="E40:F40"/>
    <mergeCell ref="G39:G40"/>
    <mergeCell ref="H39:L40"/>
    <mergeCell ref="J24:L25"/>
    <mergeCell ref="J26:L26"/>
    <mergeCell ref="H30:L30"/>
    <mergeCell ref="B27:L27"/>
    <mergeCell ref="E24:F24"/>
    <mergeCell ref="G28:G29"/>
    <mergeCell ref="I24:I25"/>
    <mergeCell ref="A20:A21"/>
    <mergeCell ref="B20:B21"/>
    <mergeCell ref="G20:H21"/>
    <mergeCell ref="I20:L21"/>
    <mergeCell ref="G22:H22"/>
    <mergeCell ref="A24:A25"/>
    <mergeCell ref="B24:B25"/>
    <mergeCell ref="C24:D24"/>
    <mergeCell ref="C25:D25"/>
    <mergeCell ref="G33:G34"/>
    <mergeCell ref="C33:D33"/>
    <mergeCell ref="E33:F33"/>
    <mergeCell ref="A33:A34"/>
    <mergeCell ref="B33:B34"/>
    <mergeCell ref="C34:D34"/>
    <mergeCell ref="E34:F34"/>
    <mergeCell ref="A43:A44"/>
    <mergeCell ref="B43:B44"/>
    <mergeCell ref="A28:A29"/>
    <mergeCell ref="B28:B29"/>
    <mergeCell ref="B42:L42"/>
    <mergeCell ref="L43:L44"/>
    <mergeCell ref="H28:L29"/>
    <mergeCell ref="H31:L31"/>
    <mergeCell ref="H32:L32"/>
    <mergeCell ref="H33:L34"/>
    <mergeCell ref="E35:F35"/>
    <mergeCell ref="E36:F36"/>
    <mergeCell ref="E37:F37"/>
    <mergeCell ref="E38:F38"/>
    <mergeCell ref="H35:L35"/>
    <mergeCell ref="H36:L36"/>
    <mergeCell ref="A1:L1"/>
    <mergeCell ref="A2:L2"/>
    <mergeCell ref="A3:L3"/>
    <mergeCell ref="A5:L5"/>
    <mergeCell ref="A14:A15"/>
    <mergeCell ref="B14:B15"/>
    <mergeCell ref="B13:L13"/>
    <mergeCell ref="B6:L6"/>
    <mergeCell ref="A7:A8"/>
    <mergeCell ref="B7:B8"/>
    <mergeCell ref="I7:I8"/>
    <mergeCell ref="H14:H15"/>
    <mergeCell ref="I14:L15"/>
    <mergeCell ref="B23:L23"/>
    <mergeCell ref="J43:J44"/>
    <mergeCell ref="J7:L8"/>
    <mergeCell ref="J9:L9"/>
    <mergeCell ref="J10:L10"/>
    <mergeCell ref="J11:L11"/>
    <mergeCell ref="J12:L12"/>
    <mergeCell ref="K43:K44"/>
    <mergeCell ref="I16:L16"/>
    <mergeCell ref="I17:L17"/>
    <mergeCell ref="I18:L18"/>
    <mergeCell ref="I19:L19"/>
    <mergeCell ref="I22:L22"/>
    <mergeCell ref="E26:F26"/>
    <mergeCell ref="C26:D26"/>
    <mergeCell ref="E25:F25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ageMargins left="0.51181102362204722" right="0.51181102362204722" top="1.3779527559055118" bottom="0.78740157480314965" header="0.31496062992125984" footer="0.31496062992125984"/>
  <pageSetup paperSize="9" scale="51" orientation="portrait" r:id="rId2"/>
  <headerFooter>
    <oddHeader>&amp;C&amp;G&amp;R&amp;G</oddHeader>
    <oddFooter>&amp;C&amp;G&amp;R&amp;G</oddFooter>
  </headerFooter>
  <rowBreaks count="1" manualBreakCount="1">
    <brk id="32" max="16383" man="1"/>
  </rowBreak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ORÇ SANTA LUZIA</vt:lpstr>
      <vt:lpstr>CRONOGRAMA SANTA LUZIA</vt:lpstr>
      <vt:lpstr>ORÇ SÃO MIGUEL</vt:lpstr>
      <vt:lpstr>CRONOGRAMA SÃO MIGUEL</vt:lpstr>
      <vt:lpstr>CBUQ DESONERADA</vt:lpstr>
      <vt:lpstr>MEMORIAL QUANT. CBUQ</vt:lpstr>
      <vt:lpstr>'CRONOGRAMA SANTA LUZIA'!Area_de_impressao</vt:lpstr>
      <vt:lpstr>'CRONOGRAMA SÃO MIGUEL'!Area_de_impressao</vt:lpstr>
      <vt:lpstr>'ORÇ SANTA LUZIA'!Area_de_impressao</vt:lpstr>
      <vt:lpstr>'ORÇ SÃO MIGUEL'!Area_de_impressao</vt:lpstr>
      <vt:lpstr>'CRONOGRAMA SANTA LUZIA'!Titulos_de_impressao</vt:lpstr>
      <vt:lpstr>'CRONOGRAMA SÃO MIGUEL'!Titulos_de_impressao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Cliente01</cp:lastModifiedBy>
  <cp:lastPrinted>2018-08-28T21:15:54Z</cp:lastPrinted>
  <dcterms:created xsi:type="dcterms:W3CDTF">2017-12-06T10:41:34Z</dcterms:created>
  <dcterms:modified xsi:type="dcterms:W3CDTF">2019-06-25T13:57:03Z</dcterms:modified>
</cp:coreProperties>
</file>