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drawings/drawing5.xml" ContentType="application/vnd.openxmlformats-officedocument.drawing+xml"/>
  <Override PartName="/xl/embeddings/oleObject3.bin" ContentType="application/vnd.openxmlformats-officedocument.oleObject"/>
  <Override PartName="/xl/drawings/drawing6.xml" ContentType="application/vnd.openxmlformats-officedocument.drawing+xml"/>
  <Override PartName="/xl/embeddings/oleObject4.bin" ContentType="application/vnd.openxmlformats-officedocument.oleObject"/>
  <Override PartName="/xl/drawings/drawing7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LANILHA ORÇAMENTÁRIA" sheetId="22" r:id="rId1"/>
    <sheet name="CADERNO DE COMPOSIÇÕES" sheetId="11" r:id="rId2"/>
    <sheet name="CRONOGRAMA" sheetId="4" r:id="rId3"/>
    <sheet name="BDI" sheetId="18" r:id="rId4"/>
    <sheet name="ENCARGOS SOCIAIS" sheetId="15" r:id="rId5"/>
    <sheet name="COMPOSIÇÃO 1" sheetId="6" state="hidden" r:id="rId6"/>
    <sheet name="COMPOSIÇÃO 2" sheetId="5" state="hidden" r:id="rId7"/>
    <sheet name="MEMÓRIA DE CÁLCULO" sheetId="7" state="hidden" r:id="rId8"/>
    <sheet name="MAPA DE COTAÇÃO" sheetId="8" state="hidden" r:id="rId9"/>
    <sheet name="QCI" sheetId="10" state="hidden" r:id="rId10"/>
  </sheets>
  <externalReferences>
    <externalReference r:id="rId11"/>
    <externalReference r:id="rId12"/>
  </externalReferences>
  <definedNames>
    <definedName name="_MAT1" localSheetId="0">#REF!</definedName>
    <definedName name="_MAT1">#REF!</definedName>
    <definedName name="A" localSheetId="0">#REF!</definedName>
    <definedName name="A">#REF!</definedName>
    <definedName name="_xlnm.Print_Area" localSheetId="3">BDI!$A$1:$C$24</definedName>
    <definedName name="_xlnm.Print_Area" localSheetId="1">'CADERNO DE COMPOSIÇÕES'!$A$1:$I$606</definedName>
    <definedName name="_xlnm.Print_Area" localSheetId="5">'COMPOSIÇÃO 1'!$A$1:$H$219</definedName>
    <definedName name="_xlnm.Print_Area" localSheetId="2">CRONOGRAMA!$A$1:$I$15</definedName>
    <definedName name="_xlnm.Print_Area" localSheetId="7">'MEMÓRIA DE CÁLCULO'!$A$1:$K$142</definedName>
    <definedName name="_xlnm.Print_Area" localSheetId="0">'PLANILHA ORÇAMENTÁRIA'!$A$1:$H$182</definedName>
    <definedName name="_xlnm.Print_Area" localSheetId="9">QCI!$A$1:$AA$29</definedName>
    <definedName name="Área_impressão_IM" localSheetId="0">#REF!</definedName>
    <definedName name="Área_impressão_IM">#REF!</definedName>
    <definedName name="B" localSheetId="0">#REF!</definedName>
    <definedName name="B">#REF!</definedName>
    <definedName name="BANCO" localSheetId="0">#REF!</definedName>
    <definedName name="BANCO">#REF!</definedName>
    <definedName name="bdi" localSheetId="0">#REF!</definedName>
    <definedName name="bdi">#REF!</definedName>
    <definedName name="Bomba_putzmeister" localSheetId="0">#REF!</definedName>
    <definedName name="Bomba_putzmeister">#REF!</definedName>
    <definedName name="Código" localSheetId="0">#REF!</definedName>
    <definedName name="Código">#REF!</definedName>
    <definedName name="EQPTO" localSheetId="0">#REF!</definedName>
    <definedName name="EQPTO">#REF!</definedName>
    <definedName name="gen" localSheetId="0">#REF!</definedName>
    <definedName name="gen">#REF!</definedName>
    <definedName name="insumos" localSheetId="0">#REF!</definedName>
    <definedName name="insumos">#REF!</definedName>
    <definedName name="ITEM" localSheetId="0">#REF!</definedName>
    <definedName name="ITEM">#REF!</definedName>
    <definedName name="MAT" localSheetId="0">#REF!</definedName>
    <definedName name="MAT">#REF!</definedName>
    <definedName name="MO" localSheetId="0">#REF!</definedName>
    <definedName name="MO">#REF!</definedName>
    <definedName name="PL_ABC" localSheetId="0">#REF!</definedName>
    <definedName name="PL_ABC">#REF!</definedName>
    <definedName name="planilha" localSheetId="0">#REF!</definedName>
    <definedName name="planilha">#REF!</definedName>
    <definedName name="RES_CPS" localSheetId="0">#REF!</definedName>
    <definedName name="RES_CPS">#REF!</definedName>
    <definedName name="serv" localSheetId="0">#REF!</definedName>
    <definedName name="serv">#REF!</definedName>
    <definedName name="tab" localSheetId="0">#REF!</definedName>
    <definedName name="tab">#REF!</definedName>
    <definedName name="_xlnm.Print_Titles" localSheetId="5">'COMPOSIÇÃO 1'!$1:$8</definedName>
    <definedName name="_xlnm.Print_Titles" localSheetId="6">'COMPOSIÇÃO 2'!$1:$8</definedName>
    <definedName name="_xlnm.Print_Titles" localSheetId="7">'MEMÓRIA DE CÁLCULO'!$1:$9</definedName>
    <definedName name="total" localSheetId="0">#REF!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15" l="1"/>
  <c r="F37" i="15"/>
  <c r="E37" i="15"/>
  <c r="D37" i="15"/>
  <c r="G33" i="15"/>
  <c r="F33" i="15"/>
  <c r="E33" i="15"/>
  <c r="D33" i="15"/>
  <c r="G26" i="15"/>
  <c r="F26" i="15"/>
  <c r="E26" i="15"/>
  <c r="D26" i="15"/>
  <c r="G14" i="15"/>
  <c r="G38" i="15" s="1"/>
  <c r="F14" i="15"/>
  <c r="E14" i="15"/>
  <c r="E38" i="15" s="1"/>
  <c r="D14" i="15"/>
  <c r="B9" i="4"/>
  <c r="B6" i="4"/>
  <c r="B2" i="4"/>
  <c r="A2" i="4"/>
  <c r="B1" i="4"/>
  <c r="A1" i="4"/>
  <c r="I182" i="22"/>
  <c r="I181" i="22"/>
  <c r="I180" i="22"/>
  <c r="I179" i="22"/>
  <c r="J177" i="22"/>
  <c r="I177" i="22"/>
  <c r="I175" i="22"/>
  <c r="I174" i="22"/>
  <c r="I173" i="22"/>
  <c r="I172" i="22"/>
  <c r="J170" i="22"/>
  <c r="I170" i="22"/>
  <c r="I169" i="22"/>
  <c r="J163" i="22"/>
  <c r="I163" i="22"/>
  <c r="I162" i="22"/>
  <c r="J158" i="22"/>
  <c r="I158" i="22"/>
  <c r="J154" i="22"/>
  <c r="I154" i="22"/>
  <c r="J153" i="22"/>
  <c r="I153" i="22"/>
  <c r="I152" i="22"/>
  <c r="J147" i="22"/>
  <c r="I147" i="22"/>
  <c r="J136" i="22"/>
  <c r="I136" i="22"/>
  <c r="J135" i="22"/>
  <c r="I135" i="22"/>
  <c r="I134" i="22"/>
  <c r="J129" i="22"/>
  <c r="I129" i="22"/>
  <c r="J122" i="22"/>
  <c r="I122" i="22"/>
  <c r="J121" i="22"/>
  <c r="I121" i="22"/>
  <c r="I120" i="22"/>
  <c r="J114" i="22"/>
  <c r="I114" i="22"/>
  <c r="J108" i="22"/>
  <c r="I108" i="22"/>
  <c r="J107" i="22"/>
  <c r="I107" i="22"/>
  <c r="J102" i="22"/>
  <c r="I102" i="22"/>
  <c r="J96" i="22"/>
  <c r="I96" i="22"/>
  <c r="J95" i="22"/>
  <c r="I95" i="22"/>
  <c r="J85" i="22"/>
  <c r="I85" i="22"/>
  <c r="I84" i="22"/>
  <c r="J69" i="22"/>
  <c r="I69" i="22"/>
  <c r="I68" i="22"/>
  <c r="J53" i="22"/>
  <c r="I53" i="22"/>
  <c r="I52" i="22"/>
  <c r="J47" i="22"/>
  <c r="I47" i="22"/>
  <c r="I46" i="22"/>
  <c r="J44" i="22"/>
  <c r="I44" i="22"/>
  <c r="I43" i="22"/>
  <c r="J41" i="22"/>
  <c r="I41" i="22"/>
  <c r="I40" i="22"/>
  <c r="J38" i="22"/>
  <c r="I38" i="22"/>
  <c r="J34" i="22"/>
  <c r="I34" i="22"/>
  <c r="J31" i="22"/>
  <c r="I31" i="22"/>
  <c r="J30" i="22"/>
  <c r="I30" i="22"/>
  <c r="I29" i="22"/>
  <c r="J24" i="22"/>
  <c r="I24" i="22"/>
  <c r="I23" i="22"/>
  <c r="J18" i="22"/>
  <c r="I18" i="22"/>
  <c r="I17" i="22"/>
  <c r="J14" i="22"/>
  <c r="I14" i="22"/>
  <c r="I13" i="22"/>
  <c r="J10" i="22"/>
  <c r="I10" i="22"/>
  <c r="I9" i="22"/>
  <c r="F38" i="15" l="1"/>
  <c r="D600" i="11"/>
  <c r="D585" i="11"/>
  <c r="D564" i="11"/>
  <c r="D543" i="11"/>
  <c r="D407" i="11"/>
  <c r="D394" i="11"/>
  <c r="D389" i="11"/>
  <c r="D367" i="11"/>
  <c r="D362" i="11"/>
  <c r="D357" i="11"/>
  <c r="D352" i="11"/>
  <c r="D328" i="11"/>
  <c r="D323" i="11"/>
  <c r="D308" i="11"/>
  <c r="D303" i="11"/>
  <c r="D273" i="11"/>
  <c r="D208" i="11"/>
  <c r="D154" i="11"/>
  <c r="D76" i="11"/>
  <c r="H604" i="11"/>
  <c r="I604" i="11" s="1"/>
  <c r="H603" i="11"/>
  <c r="I603" i="11" s="1"/>
  <c r="H602" i="11"/>
  <c r="I602" i="11" s="1"/>
  <c r="H601" i="11"/>
  <c r="I601" i="11" s="1"/>
  <c r="H600" i="11"/>
  <c r="I600" i="11" s="1"/>
  <c r="H599" i="11"/>
  <c r="I599" i="11" s="1"/>
  <c r="H598" i="11"/>
  <c r="I598" i="11" s="1"/>
  <c r="H593" i="11"/>
  <c r="I593" i="11" s="1"/>
  <c r="H592" i="11"/>
  <c r="I592" i="11" s="1"/>
  <c r="H587" i="11"/>
  <c r="I587" i="11" s="1"/>
  <c r="H586" i="11"/>
  <c r="I586" i="11" s="1"/>
  <c r="H585" i="11"/>
  <c r="I585" i="11" s="1"/>
  <c r="H580" i="11"/>
  <c r="I580" i="11" s="1"/>
  <c r="H579" i="11"/>
  <c r="I579" i="11" s="1"/>
  <c r="H578" i="11"/>
  <c r="I578" i="11" s="1"/>
  <c r="H573" i="11"/>
  <c r="I573" i="11" s="1"/>
  <c r="H572" i="11"/>
  <c r="I572" i="11" s="1"/>
  <c r="H571" i="11"/>
  <c r="I571" i="11" s="1"/>
  <c r="H570" i="11"/>
  <c r="I570" i="11" s="1"/>
  <c r="H565" i="11"/>
  <c r="I565" i="11" s="1"/>
  <c r="H564" i="11"/>
  <c r="I564" i="11" s="1"/>
  <c r="H559" i="11"/>
  <c r="I559" i="11" s="1"/>
  <c r="I560" i="11" s="1"/>
  <c r="J557" i="11" s="1"/>
  <c r="F164" i="22" s="1"/>
  <c r="H554" i="11"/>
  <c r="I554" i="11" s="1"/>
  <c r="I555" i="11" s="1"/>
  <c r="J552" i="11" s="1"/>
  <c r="F138" i="22" s="1"/>
  <c r="H549" i="11"/>
  <c r="I549" i="11" s="1"/>
  <c r="H548" i="11"/>
  <c r="I548" i="11" s="1"/>
  <c r="H547" i="11"/>
  <c r="I547" i="11" s="1"/>
  <c r="H546" i="11"/>
  <c r="I546" i="11" s="1"/>
  <c r="H545" i="11"/>
  <c r="I545" i="11" s="1"/>
  <c r="H544" i="11"/>
  <c r="I544" i="11" s="1"/>
  <c r="H543" i="11"/>
  <c r="I543" i="11" s="1"/>
  <c r="H542" i="11"/>
  <c r="I542" i="11" s="1"/>
  <c r="H537" i="11"/>
  <c r="I537" i="11" s="1"/>
  <c r="H536" i="11"/>
  <c r="I536" i="11" s="1"/>
  <c r="H535" i="11"/>
  <c r="I535" i="11" s="1"/>
  <c r="H530" i="11"/>
  <c r="I530" i="11" s="1"/>
  <c r="H529" i="11"/>
  <c r="I529" i="11" s="1"/>
  <c r="H528" i="11"/>
  <c r="I528" i="11" s="1"/>
  <c r="H527" i="11"/>
  <c r="I527" i="11" s="1"/>
  <c r="H526" i="11"/>
  <c r="I526" i="11" s="1"/>
  <c r="H521" i="11"/>
  <c r="I521" i="11" s="1"/>
  <c r="H520" i="11"/>
  <c r="I520" i="11" s="1"/>
  <c r="H519" i="11"/>
  <c r="I519" i="11" s="1"/>
  <c r="H518" i="11"/>
  <c r="I518" i="11" s="1"/>
  <c r="H513" i="11"/>
  <c r="I513" i="11" s="1"/>
  <c r="H512" i="11"/>
  <c r="I512" i="11" s="1"/>
  <c r="H511" i="11"/>
  <c r="I511" i="11" s="1"/>
  <c r="H506" i="11"/>
  <c r="I506" i="11" s="1"/>
  <c r="H505" i="11"/>
  <c r="I505" i="11" s="1"/>
  <c r="H504" i="11"/>
  <c r="I504" i="11" s="1"/>
  <c r="H503" i="11"/>
  <c r="I503" i="11" s="1"/>
  <c r="H502" i="11"/>
  <c r="I502" i="11" s="1"/>
  <c r="H501" i="11"/>
  <c r="I501" i="11" s="1"/>
  <c r="H496" i="11"/>
  <c r="I496" i="11" s="1"/>
  <c r="I497" i="11" s="1"/>
  <c r="J494" i="11" s="1"/>
  <c r="H491" i="11"/>
  <c r="I491" i="11" s="1"/>
  <c r="H490" i="11"/>
  <c r="I490" i="11" s="1"/>
  <c r="H489" i="11"/>
  <c r="I489" i="11" s="1"/>
  <c r="H488" i="11"/>
  <c r="I488" i="11" s="1"/>
  <c r="H487" i="11"/>
  <c r="I487" i="11" s="1"/>
  <c r="H482" i="11"/>
  <c r="I482" i="11" s="1"/>
  <c r="H481" i="11"/>
  <c r="I481" i="11" s="1"/>
  <c r="H480" i="11"/>
  <c r="I480" i="11" s="1"/>
  <c r="H479" i="11"/>
  <c r="I479" i="11" s="1"/>
  <c r="H478" i="11"/>
  <c r="I478" i="11" s="1"/>
  <c r="H477" i="11"/>
  <c r="I477" i="11" s="1"/>
  <c r="H472" i="11"/>
  <c r="I472" i="11" s="1"/>
  <c r="H471" i="11"/>
  <c r="I471" i="11" s="1"/>
  <c r="H470" i="11"/>
  <c r="I470" i="11" s="1"/>
  <c r="H469" i="11"/>
  <c r="I469" i="11" s="1"/>
  <c r="H468" i="11"/>
  <c r="I468" i="11" s="1"/>
  <c r="H467" i="11"/>
  <c r="I467" i="11" s="1"/>
  <c r="H462" i="11"/>
  <c r="I462" i="11" s="1"/>
  <c r="H461" i="11"/>
  <c r="I461" i="11" s="1"/>
  <c r="H460" i="11"/>
  <c r="I460" i="11" s="1"/>
  <c r="H459" i="11"/>
  <c r="I459" i="11" s="1"/>
  <c r="H458" i="11"/>
  <c r="I458" i="11" s="1"/>
  <c r="H453" i="11"/>
  <c r="I453" i="11" s="1"/>
  <c r="H452" i="11"/>
  <c r="I452" i="11" s="1"/>
  <c r="H451" i="11"/>
  <c r="I451" i="11" s="1"/>
  <c r="H450" i="11"/>
  <c r="I450" i="11" s="1"/>
  <c r="H449" i="11"/>
  <c r="I449" i="11" s="1"/>
  <c r="H444" i="11"/>
  <c r="I444" i="11" s="1"/>
  <c r="H443" i="11"/>
  <c r="I443" i="11" s="1"/>
  <c r="H442" i="11"/>
  <c r="I442" i="11" s="1"/>
  <c r="H441" i="11"/>
  <c r="I441" i="11" s="1"/>
  <c r="H440" i="11"/>
  <c r="I440" i="11" s="1"/>
  <c r="H435" i="11"/>
  <c r="I435" i="11" s="1"/>
  <c r="H434" i="11"/>
  <c r="I434" i="11" s="1"/>
  <c r="H433" i="11"/>
  <c r="I433" i="11" s="1"/>
  <c r="H432" i="11"/>
  <c r="I432" i="11" s="1"/>
  <c r="H427" i="11"/>
  <c r="I427" i="11" s="1"/>
  <c r="H426" i="11"/>
  <c r="I426" i="11" s="1"/>
  <c r="H425" i="11"/>
  <c r="I425" i="11" s="1"/>
  <c r="H424" i="11"/>
  <c r="I424" i="11" s="1"/>
  <c r="H423" i="11"/>
  <c r="I423" i="11" s="1"/>
  <c r="H422" i="11"/>
  <c r="I422" i="11" s="1"/>
  <c r="H417" i="11"/>
  <c r="I417" i="11" s="1"/>
  <c r="H416" i="11"/>
  <c r="I416" i="11" s="1"/>
  <c r="H415" i="11"/>
  <c r="I415" i="11" s="1"/>
  <c r="H414" i="11"/>
  <c r="I414" i="11" s="1"/>
  <c r="H413" i="11"/>
  <c r="I413" i="11" s="1"/>
  <c r="H412" i="11"/>
  <c r="I412" i="11" s="1"/>
  <c r="H407" i="11"/>
  <c r="I407" i="11" s="1"/>
  <c r="I408" i="11" s="1"/>
  <c r="J405" i="11" s="1"/>
  <c r="F83" i="22" s="1"/>
  <c r="H402" i="11"/>
  <c r="I402" i="11" s="1"/>
  <c r="H401" i="11"/>
  <c r="I401" i="11" s="1"/>
  <c r="H400" i="11"/>
  <c r="I400" i="11" s="1"/>
  <c r="H399" i="11"/>
  <c r="I399" i="11" s="1"/>
  <c r="H394" i="11"/>
  <c r="I394" i="11" s="1"/>
  <c r="H389" i="11"/>
  <c r="I389" i="11" s="1"/>
  <c r="H384" i="11"/>
  <c r="I384" i="11" s="1"/>
  <c r="H383" i="11"/>
  <c r="I383" i="11" s="1"/>
  <c r="H378" i="11"/>
  <c r="I378" i="11" s="1"/>
  <c r="H377" i="11"/>
  <c r="I377" i="11" s="1"/>
  <c r="H372" i="11"/>
  <c r="I372" i="11" s="1"/>
  <c r="I373" i="11" s="1"/>
  <c r="J370" i="11" s="1"/>
  <c r="F77" i="22" s="1"/>
  <c r="H367" i="11"/>
  <c r="I367" i="11" s="1"/>
  <c r="I368" i="11" s="1"/>
  <c r="J365" i="11" s="1"/>
  <c r="F76" i="22" s="1"/>
  <c r="H362" i="11"/>
  <c r="I362" i="11" s="1"/>
  <c r="H357" i="11"/>
  <c r="I357" i="11" s="1"/>
  <c r="H352" i="11"/>
  <c r="I352" i="11" s="1"/>
  <c r="H347" i="11"/>
  <c r="I347" i="11" s="1"/>
  <c r="H346" i="11"/>
  <c r="I346" i="11" s="1"/>
  <c r="H345" i="11"/>
  <c r="I345" i="11" s="1"/>
  <c r="H344" i="11"/>
  <c r="I344" i="11" s="1"/>
  <c r="H343" i="11"/>
  <c r="I343" i="11" s="1"/>
  <c r="H342" i="11"/>
  <c r="I342" i="11" s="1"/>
  <c r="H337" i="11"/>
  <c r="I337" i="11" s="1"/>
  <c r="H336" i="11"/>
  <c r="I336" i="11" s="1"/>
  <c r="H335" i="11"/>
  <c r="I335" i="11" s="1"/>
  <c r="H334" i="11"/>
  <c r="I334" i="11" s="1"/>
  <c r="H333" i="11"/>
  <c r="I333" i="11" s="1"/>
  <c r="H328" i="11"/>
  <c r="I328" i="11" s="1"/>
  <c r="H323" i="11"/>
  <c r="I323" i="11" s="1"/>
  <c r="I324" i="11" s="1"/>
  <c r="J321" i="11" s="1"/>
  <c r="F67" i="22" s="1"/>
  <c r="H318" i="11"/>
  <c r="I318" i="11" s="1"/>
  <c r="H317" i="11"/>
  <c r="I317" i="11" s="1"/>
  <c r="H316" i="11"/>
  <c r="I316" i="11" s="1"/>
  <c r="H315" i="11"/>
  <c r="I315" i="11" s="1"/>
  <c r="H314" i="11"/>
  <c r="I314" i="11" s="1"/>
  <c r="H313" i="11"/>
  <c r="I313" i="11" s="1"/>
  <c r="H308" i="11"/>
  <c r="I308" i="11" s="1"/>
  <c r="I309" i="11" s="1"/>
  <c r="J306" i="11" s="1"/>
  <c r="F65" i="22" s="1"/>
  <c r="H303" i="11"/>
  <c r="I303" i="11" s="1"/>
  <c r="I304" i="11" s="1"/>
  <c r="J301" i="11" s="1"/>
  <c r="F64" i="22" s="1"/>
  <c r="H298" i="11"/>
  <c r="I298" i="11" s="1"/>
  <c r="I299" i="11" s="1"/>
  <c r="J296" i="11" s="1"/>
  <c r="F63" i="22" s="1"/>
  <c r="H283" i="11"/>
  <c r="I283" i="11" s="1"/>
  <c r="H282" i="11"/>
  <c r="I282" i="11" s="1"/>
  <c r="H281" i="11"/>
  <c r="I281" i="11" s="1"/>
  <c r="H280" i="11"/>
  <c r="I280" i="11" s="1"/>
  <c r="H279" i="11"/>
  <c r="I279" i="11" s="1"/>
  <c r="H278" i="11"/>
  <c r="I278" i="11" s="1"/>
  <c r="H273" i="11"/>
  <c r="I273" i="11" s="1"/>
  <c r="H268" i="11"/>
  <c r="I268" i="11" s="1"/>
  <c r="H267" i="11"/>
  <c r="I267" i="11" s="1"/>
  <c r="H266" i="11"/>
  <c r="I266" i="11" s="1"/>
  <c r="H265" i="11"/>
  <c r="I265" i="11" s="1"/>
  <c r="H264" i="11"/>
  <c r="I264" i="11" s="1"/>
  <c r="H263" i="11"/>
  <c r="I263" i="11" s="1"/>
  <c r="H258" i="11"/>
  <c r="I258" i="11" s="1"/>
  <c r="H257" i="11"/>
  <c r="I257" i="11" s="1"/>
  <c r="H256" i="11"/>
  <c r="I256" i="11" s="1"/>
  <c r="H255" i="11"/>
  <c r="I255" i="11" s="1"/>
  <c r="H254" i="11"/>
  <c r="I254" i="11" s="1"/>
  <c r="H253" i="11"/>
  <c r="I253" i="11" s="1"/>
  <c r="H248" i="11"/>
  <c r="I248" i="11" s="1"/>
  <c r="H247" i="11"/>
  <c r="I247" i="11" s="1"/>
  <c r="H246" i="11"/>
  <c r="I246" i="11" s="1"/>
  <c r="H245" i="11"/>
  <c r="I245" i="11" s="1"/>
  <c r="H244" i="11"/>
  <c r="I244" i="11" s="1"/>
  <c r="H243" i="11"/>
  <c r="I243" i="11" s="1"/>
  <c r="H238" i="11"/>
  <c r="I238" i="11" s="1"/>
  <c r="H237" i="11"/>
  <c r="I237" i="11" s="1"/>
  <c r="H236" i="11"/>
  <c r="I236" i="11" s="1"/>
  <c r="H235" i="11"/>
  <c r="I235" i="11" s="1"/>
  <c r="H234" i="11"/>
  <c r="I234" i="11" s="1"/>
  <c r="H233" i="11"/>
  <c r="I233" i="11" s="1"/>
  <c r="H228" i="11"/>
  <c r="I228" i="11" s="1"/>
  <c r="H227" i="11"/>
  <c r="I227" i="11" s="1"/>
  <c r="H226" i="11"/>
  <c r="I226" i="11" s="1"/>
  <c r="H225" i="11"/>
  <c r="I225" i="11" s="1"/>
  <c r="H220" i="11"/>
  <c r="I220" i="11" s="1"/>
  <c r="H219" i="11"/>
  <c r="I219" i="11" s="1"/>
  <c r="H218" i="11"/>
  <c r="I218" i="11" s="1"/>
  <c r="H213" i="11"/>
  <c r="I213" i="11" s="1"/>
  <c r="H212" i="11"/>
  <c r="I212" i="11" s="1"/>
  <c r="H211" i="11"/>
  <c r="I211" i="11" s="1"/>
  <c r="H210" i="11"/>
  <c r="I210" i="11" s="1"/>
  <c r="H209" i="11"/>
  <c r="I209" i="11" s="1"/>
  <c r="H208" i="11"/>
  <c r="I208" i="11" s="1"/>
  <c r="H203" i="11"/>
  <c r="I203" i="11" s="1"/>
  <c r="H202" i="11"/>
  <c r="I202" i="11" s="1"/>
  <c r="H201" i="11"/>
  <c r="I201" i="11" s="1"/>
  <c r="H200" i="11"/>
  <c r="I200" i="11" s="1"/>
  <c r="H199" i="11"/>
  <c r="I199" i="11" s="1"/>
  <c r="H198" i="11"/>
  <c r="I198" i="11" s="1"/>
  <c r="H193" i="11"/>
  <c r="I193" i="11" s="1"/>
  <c r="H192" i="11"/>
  <c r="I192" i="11" s="1"/>
  <c r="H191" i="11"/>
  <c r="I191" i="11" s="1"/>
  <c r="H190" i="11"/>
  <c r="I190" i="11" s="1"/>
  <c r="H189" i="11"/>
  <c r="I189" i="11" s="1"/>
  <c r="H188" i="11"/>
  <c r="I188" i="11" s="1"/>
  <c r="H183" i="11"/>
  <c r="I183" i="11" s="1"/>
  <c r="H182" i="11"/>
  <c r="I182" i="11" s="1"/>
  <c r="H181" i="11"/>
  <c r="I181" i="11" s="1"/>
  <c r="H180" i="11"/>
  <c r="I180" i="11" s="1"/>
  <c r="H175" i="11"/>
  <c r="I175" i="11" s="1"/>
  <c r="H174" i="11"/>
  <c r="I174" i="11" s="1"/>
  <c r="H173" i="11"/>
  <c r="I173" i="11" s="1"/>
  <c r="H168" i="11"/>
  <c r="I168" i="11" s="1"/>
  <c r="H167" i="11"/>
  <c r="I167" i="11" s="1"/>
  <c r="H166" i="11"/>
  <c r="I166" i="11" s="1"/>
  <c r="H165" i="11"/>
  <c r="I165" i="11" s="1"/>
  <c r="H164" i="11"/>
  <c r="I164" i="11" s="1"/>
  <c r="H163" i="11"/>
  <c r="I163" i="11" s="1"/>
  <c r="H158" i="11"/>
  <c r="I158" i="11" s="1"/>
  <c r="H157" i="11"/>
  <c r="I157" i="11" s="1"/>
  <c r="H156" i="11"/>
  <c r="I156" i="11" s="1"/>
  <c r="H155" i="11"/>
  <c r="I155" i="11" s="1"/>
  <c r="H154" i="11"/>
  <c r="I154" i="11" s="1"/>
  <c r="H153" i="11"/>
  <c r="I153" i="11" s="1"/>
  <c r="H152" i="11"/>
  <c r="I152" i="11" s="1"/>
  <c r="H151" i="11"/>
  <c r="I151" i="11" s="1"/>
  <c r="H150" i="11"/>
  <c r="I150" i="11" s="1"/>
  <c r="H145" i="11"/>
  <c r="I145" i="11" s="1"/>
  <c r="H144" i="11"/>
  <c r="I144" i="11" s="1"/>
  <c r="H143" i="11"/>
  <c r="I143" i="11" s="1"/>
  <c r="H142" i="11"/>
  <c r="I142" i="11" s="1"/>
  <c r="H137" i="11"/>
  <c r="I137" i="11" s="1"/>
  <c r="H136" i="11"/>
  <c r="I136" i="11" s="1"/>
  <c r="H135" i="11"/>
  <c r="I135" i="11" s="1"/>
  <c r="H134" i="11"/>
  <c r="I134" i="11" s="1"/>
  <c r="H129" i="11"/>
  <c r="I129" i="11" s="1"/>
  <c r="H128" i="11"/>
  <c r="I128" i="11" s="1"/>
  <c r="H127" i="11"/>
  <c r="I127" i="11" s="1"/>
  <c r="H126" i="11"/>
  <c r="I126" i="11" s="1"/>
  <c r="H125" i="11"/>
  <c r="I125" i="11" s="1"/>
  <c r="H120" i="11"/>
  <c r="I120" i="11" s="1"/>
  <c r="H119" i="11"/>
  <c r="I119" i="11" s="1"/>
  <c r="H118" i="11"/>
  <c r="I118" i="11" s="1"/>
  <c r="H117" i="11"/>
  <c r="I117" i="11" s="1"/>
  <c r="H116" i="11"/>
  <c r="I116" i="11" s="1"/>
  <c r="H111" i="11"/>
  <c r="I111" i="11" s="1"/>
  <c r="H110" i="11"/>
  <c r="I110" i="11" s="1"/>
  <c r="H109" i="11"/>
  <c r="I109" i="11" s="1"/>
  <c r="H108" i="11"/>
  <c r="I108" i="11" s="1"/>
  <c r="H103" i="11"/>
  <c r="I103" i="11" s="1"/>
  <c r="H102" i="11"/>
  <c r="I102" i="11" s="1"/>
  <c r="H101" i="11"/>
  <c r="I101" i="11" s="1"/>
  <c r="H100" i="11"/>
  <c r="I100" i="11" s="1"/>
  <c r="H99" i="11"/>
  <c r="I99" i="11" s="1"/>
  <c r="H98" i="11"/>
  <c r="I98" i="11" s="1"/>
  <c r="H93" i="11"/>
  <c r="I93" i="11" s="1"/>
  <c r="H92" i="11"/>
  <c r="I92" i="11" s="1"/>
  <c r="H91" i="11"/>
  <c r="I91" i="11" s="1"/>
  <c r="H90" i="11"/>
  <c r="I90" i="11" s="1"/>
  <c r="H85" i="11"/>
  <c r="I85" i="11" s="1"/>
  <c r="I86" i="11" s="1"/>
  <c r="J83" i="11" s="1"/>
  <c r="F25" i="22" s="1"/>
  <c r="H80" i="11"/>
  <c r="I80" i="11" s="1"/>
  <c r="H79" i="11"/>
  <c r="I79" i="11" s="1"/>
  <c r="H78" i="11"/>
  <c r="I78" i="11" s="1"/>
  <c r="H77" i="11"/>
  <c r="I77" i="11" s="1"/>
  <c r="H76" i="11"/>
  <c r="I76" i="11" s="1"/>
  <c r="H71" i="11"/>
  <c r="I71" i="11" s="1"/>
  <c r="H70" i="11"/>
  <c r="I70" i="11" s="1"/>
  <c r="H69" i="11"/>
  <c r="I69" i="11" s="1"/>
  <c r="H68" i="11"/>
  <c r="I68" i="11" s="1"/>
  <c r="H63" i="11"/>
  <c r="I63" i="11" s="1"/>
  <c r="H62" i="11"/>
  <c r="I62" i="11" s="1"/>
  <c r="H61" i="11"/>
  <c r="I61" i="11" s="1"/>
  <c r="H56" i="11"/>
  <c r="I56" i="11" s="1"/>
  <c r="H55" i="11"/>
  <c r="I55" i="11" s="1"/>
  <c r="H54" i="11"/>
  <c r="I54" i="11" s="1"/>
  <c r="H49" i="11"/>
  <c r="I49" i="11" s="1"/>
  <c r="H48" i="11"/>
  <c r="I48" i="11" s="1"/>
  <c r="H47" i="11"/>
  <c r="I47" i="11" s="1"/>
  <c r="H46" i="11"/>
  <c r="I46" i="11" s="1"/>
  <c r="H45" i="11"/>
  <c r="I45" i="11" s="1"/>
  <c r="H40" i="11"/>
  <c r="I40" i="11" s="1"/>
  <c r="H39" i="11"/>
  <c r="I39" i="11" s="1"/>
  <c r="H38" i="11"/>
  <c r="I38" i="11" s="1"/>
  <c r="H37" i="11"/>
  <c r="I37" i="11" s="1"/>
  <c r="H36" i="11"/>
  <c r="I36" i="11" s="1"/>
  <c r="H35" i="11"/>
  <c r="I35" i="11" s="1"/>
  <c r="H30" i="11"/>
  <c r="I30" i="11" s="1"/>
  <c r="H29" i="11"/>
  <c r="I29" i="11" s="1"/>
  <c r="H28" i="11"/>
  <c r="I28" i="11" s="1"/>
  <c r="H27" i="11"/>
  <c r="I27" i="11" s="1"/>
  <c r="H26" i="11"/>
  <c r="I26" i="11" s="1"/>
  <c r="H25" i="11"/>
  <c r="I25" i="11" s="1"/>
  <c r="H24" i="11"/>
  <c r="I24" i="11" s="1"/>
  <c r="H19" i="11"/>
  <c r="I19" i="11" s="1"/>
  <c r="I20" i="11" s="1"/>
  <c r="J17" i="11" s="1"/>
  <c r="F97" i="22" s="1"/>
  <c r="H14" i="11"/>
  <c r="I14" i="11" s="1"/>
  <c r="H13" i="11"/>
  <c r="I13" i="11" s="1"/>
  <c r="H12" i="11"/>
  <c r="I12" i="11" s="1"/>
  <c r="H11" i="11"/>
  <c r="I11" i="11" s="1"/>
  <c r="H10" i="11"/>
  <c r="I10" i="11" s="1"/>
  <c r="D47" i="11"/>
  <c r="I596" i="11"/>
  <c r="I590" i="11"/>
  <c r="I576" i="11"/>
  <c r="I568" i="11"/>
  <c r="I562" i="11"/>
  <c r="I557" i="11"/>
  <c r="I540" i="11"/>
  <c r="I524" i="11"/>
  <c r="I516" i="11"/>
  <c r="I509" i="11"/>
  <c r="I494" i="11"/>
  <c r="I485" i="11"/>
  <c r="I475" i="11"/>
  <c r="I456" i="11"/>
  <c r="I447" i="11"/>
  <c r="I438" i="11"/>
  <c r="I430" i="11"/>
  <c r="I420" i="11"/>
  <c r="I410" i="11"/>
  <c r="I405" i="11"/>
  <c r="I392" i="11"/>
  <c r="I387" i="11"/>
  <c r="I381" i="11"/>
  <c r="I375" i="11"/>
  <c r="I370" i="11"/>
  <c r="I365" i="11"/>
  <c r="I360" i="11"/>
  <c r="I355" i="11"/>
  <c r="I350" i="11"/>
  <c r="I340" i="11"/>
  <c r="I331" i="11"/>
  <c r="I326" i="11"/>
  <c r="I321" i="11"/>
  <c r="I311" i="11"/>
  <c r="I306" i="11"/>
  <c r="I301" i="11"/>
  <c r="H293" i="11"/>
  <c r="I293" i="11" s="1"/>
  <c r="H292" i="11"/>
  <c r="I292" i="11" s="1"/>
  <c r="H291" i="11"/>
  <c r="I291" i="11" s="1"/>
  <c r="H290" i="11"/>
  <c r="I290" i="11" s="1"/>
  <c r="H289" i="11"/>
  <c r="I289" i="11" s="1"/>
  <c r="H288" i="11"/>
  <c r="I288" i="11" s="1"/>
  <c r="I286" i="11"/>
  <c r="I276" i="11"/>
  <c r="I261" i="11"/>
  <c r="I251" i="11"/>
  <c r="I241" i="11"/>
  <c r="I231" i="11"/>
  <c r="I223" i="11"/>
  <c r="I216" i="11"/>
  <c r="I196" i="11"/>
  <c r="I186" i="11"/>
  <c r="I178" i="11"/>
  <c r="I171" i="11"/>
  <c r="I148" i="11"/>
  <c r="I140" i="11"/>
  <c r="I132" i="11"/>
  <c r="I114" i="11"/>
  <c r="I106" i="11"/>
  <c r="I96" i="11"/>
  <c r="I88" i="11"/>
  <c r="I83" i="11"/>
  <c r="I43" i="11"/>
  <c r="I33" i="11"/>
  <c r="I22" i="11"/>
  <c r="I17" i="11"/>
  <c r="H9" i="11"/>
  <c r="I9" i="11" s="1"/>
  <c r="I7" i="11"/>
  <c r="G83" i="22" l="1"/>
  <c r="J83" i="22" s="1"/>
  <c r="I83" i="22"/>
  <c r="G164" i="22"/>
  <c r="J164" i="22" s="1"/>
  <c r="I164" i="22"/>
  <c r="G97" i="22"/>
  <c r="J97" i="22" s="1"/>
  <c r="I97" i="22"/>
  <c r="G63" i="22"/>
  <c r="J63" i="22" s="1"/>
  <c r="I63" i="22"/>
  <c r="G64" i="22"/>
  <c r="J64" i="22" s="1"/>
  <c r="I64" i="22"/>
  <c r="G67" i="22"/>
  <c r="J67" i="22" s="1"/>
  <c r="I67" i="22"/>
  <c r="G76" i="22"/>
  <c r="J76" i="22" s="1"/>
  <c r="I76" i="22"/>
  <c r="G25" i="22"/>
  <c r="J25" i="22" s="1"/>
  <c r="I25" i="22"/>
  <c r="G65" i="22"/>
  <c r="J65" i="22" s="1"/>
  <c r="I65" i="22"/>
  <c r="I77" i="22"/>
  <c r="G77" i="22"/>
  <c r="J77" i="22" s="1"/>
  <c r="G138" i="22"/>
  <c r="J138" i="22" s="1"/>
  <c r="I138" i="22"/>
  <c r="I379" i="11"/>
  <c r="J375" i="11" s="1"/>
  <c r="F78" i="22" s="1"/>
  <c r="I566" i="11"/>
  <c r="J562" i="11" s="1"/>
  <c r="F165" i="22" s="1"/>
  <c r="I57" i="11"/>
  <c r="J52" i="11" s="1"/>
  <c r="F140" i="22" s="1"/>
  <c r="I385" i="11"/>
  <c r="J381" i="11" s="1"/>
  <c r="F79" i="22" s="1"/>
  <c r="F109" i="22"/>
  <c r="I294" i="11"/>
  <c r="J286" i="11" s="1"/>
  <c r="F62" i="22" s="1"/>
  <c r="I221" i="11"/>
  <c r="J216" i="11" s="1"/>
  <c r="F54" i="22" s="1"/>
  <c r="I121" i="11"/>
  <c r="J114" i="11" s="1"/>
  <c r="F33" i="22" s="1"/>
  <c r="F11" i="22"/>
  <c r="F123" i="22"/>
  <c r="F155" i="22"/>
  <c r="I363" i="11"/>
  <c r="J360" i="11" s="1"/>
  <c r="F75" i="22" s="1"/>
  <c r="I594" i="11"/>
  <c r="J590" i="11" s="1"/>
  <c r="F171" i="22" s="1"/>
  <c r="F156" i="22"/>
  <c r="I338" i="11"/>
  <c r="J331" i="11" s="1"/>
  <c r="F71" i="22" s="1"/>
  <c r="F137" i="22"/>
  <c r="I492" i="11"/>
  <c r="J485" i="11" s="1"/>
  <c r="F94" i="22" s="1"/>
  <c r="I454" i="11"/>
  <c r="J447" i="11" s="1"/>
  <c r="F90" i="22" s="1"/>
  <c r="I581" i="11"/>
  <c r="J576" i="11" s="1"/>
  <c r="F167" i="22" s="1"/>
  <c r="I538" i="11"/>
  <c r="J533" i="11" s="1"/>
  <c r="I550" i="11"/>
  <c r="J540" i="11" s="1"/>
  <c r="F119" i="22" s="1"/>
  <c r="I507" i="11"/>
  <c r="J499" i="11" s="1"/>
  <c r="I522" i="11"/>
  <c r="J516" i="11" s="1"/>
  <c r="I473" i="11"/>
  <c r="J465" i="11" s="1"/>
  <c r="F92" i="22" s="1"/>
  <c r="I463" i="11"/>
  <c r="J456" i="11" s="1"/>
  <c r="F91" i="22" s="1"/>
  <c r="I390" i="11"/>
  <c r="J387" i="11" s="1"/>
  <c r="F80" i="22" s="1"/>
  <c r="I445" i="11"/>
  <c r="J438" i="11" s="1"/>
  <c r="F89" i="22" s="1"/>
  <c r="I329" i="11"/>
  <c r="J326" i="11" s="1"/>
  <c r="F70" i="22" s="1"/>
  <c r="I353" i="11"/>
  <c r="J350" i="11" s="1"/>
  <c r="F73" i="22" s="1"/>
  <c r="I348" i="11"/>
  <c r="J340" i="11" s="1"/>
  <c r="F72" i="22" s="1"/>
  <c r="I214" i="11"/>
  <c r="J206" i="11" s="1"/>
  <c r="F51" i="22" s="1"/>
  <c r="I259" i="11"/>
  <c r="J251" i="11" s="1"/>
  <c r="F58" i="22" s="1"/>
  <c r="I274" i="11"/>
  <c r="J271" i="11" s="1"/>
  <c r="F60" i="22" s="1"/>
  <c r="I72" i="11"/>
  <c r="J66" i="11" s="1"/>
  <c r="F21" i="22" s="1"/>
  <c r="I146" i="11"/>
  <c r="J140" i="11" s="1"/>
  <c r="F37" i="22" s="1"/>
  <c r="I169" i="11"/>
  <c r="J161" i="11" s="1"/>
  <c r="F42" i="22" s="1"/>
  <c r="I176" i="11"/>
  <c r="J171" i="11" s="1"/>
  <c r="F45" i="22" s="1"/>
  <c r="I112" i="11"/>
  <c r="J106" i="11" s="1"/>
  <c r="F32" i="22" s="1"/>
  <c r="I104" i="11"/>
  <c r="J96" i="11" s="1"/>
  <c r="F27" i="22" s="1"/>
  <c r="I41" i="11"/>
  <c r="J33" i="11" s="1"/>
  <c r="I138" i="11"/>
  <c r="J132" i="11" s="1"/>
  <c r="I184" i="11"/>
  <c r="J178" i="11" s="1"/>
  <c r="I229" i="11"/>
  <c r="J223" i="11" s="1"/>
  <c r="I50" i="11"/>
  <c r="J43" i="11" s="1"/>
  <c r="F16" i="22" s="1"/>
  <c r="I81" i="11"/>
  <c r="J74" i="11" s="1"/>
  <c r="I395" i="11"/>
  <c r="J392" i="11" s="1"/>
  <c r="F81" i="22" s="1"/>
  <c r="I531" i="11"/>
  <c r="J524" i="11" s="1"/>
  <c r="I269" i="11"/>
  <c r="J261" i="11" s="1"/>
  <c r="F59" i="22" s="1"/>
  <c r="I159" i="11"/>
  <c r="J148" i="11" s="1"/>
  <c r="F39" i="22" s="1"/>
  <c r="I94" i="11"/>
  <c r="J88" i="11" s="1"/>
  <c r="F26" i="22" s="1"/>
  <c r="I194" i="11"/>
  <c r="J186" i="11" s="1"/>
  <c r="F49" i="22" s="1"/>
  <c r="I239" i="11"/>
  <c r="J231" i="11" s="1"/>
  <c r="F56" i="22" s="1"/>
  <c r="I465" i="11"/>
  <c r="I574" i="11"/>
  <c r="J568" i="11" s="1"/>
  <c r="F166" i="22" s="1"/>
  <c r="I605" i="11"/>
  <c r="J596" i="11" s="1"/>
  <c r="F178" i="22" s="1"/>
  <c r="I319" i="11"/>
  <c r="J311" i="11" s="1"/>
  <c r="F66" i="22" s="1"/>
  <c r="I66" i="11"/>
  <c r="I296" i="11"/>
  <c r="I428" i="11"/>
  <c r="J420" i="11" s="1"/>
  <c r="F87" i="22" s="1"/>
  <c r="I52" i="11"/>
  <c r="I74" i="11"/>
  <c r="I358" i="11"/>
  <c r="J355" i="11" s="1"/>
  <c r="F74" i="22" s="1"/>
  <c r="I130" i="11"/>
  <c r="J123" i="11" s="1"/>
  <c r="I31" i="11"/>
  <c r="J22" i="11" s="1"/>
  <c r="I64" i="11"/>
  <c r="J59" i="11" s="1"/>
  <c r="I161" i="11"/>
  <c r="I204" i="11"/>
  <c r="J196" i="11" s="1"/>
  <c r="F50" i="22" s="1"/>
  <c r="I249" i="11"/>
  <c r="J241" i="11" s="1"/>
  <c r="F57" i="22" s="1"/>
  <c r="I271" i="11"/>
  <c r="I284" i="11"/>
  <c r="J276" i="11" s="1"/>
  <c r="F61" i="22" s="1"/>
  <c r="I397" i="11"/>
  <c r="I418" i="11"/>
  <c r="J410" i="11" s="1"/>
  <c r="F86" i="22" s="1"/>
  <c r="I436" i="11"/>
  <c r="J430" i="11" s="1"/>
  <c r="F88" i="22" s="1"/>
  <c r="I583" i="11"/>
  <c r="I552" i="11"/>
  <c r="I59" i="11"/>
  <c r="I514" i="11"/>
  <c r="J509" i="11" s="1"/>
  <c r="I588" i="11"/>
  <c r="J583" i="11" s="1"/>
  <c r="F168" i="22" s="1"/>
  <c r="I15" i="11"/>
  <c r="J7" i="11" s="1"/>
  <c r="F8" i="22" s="1"/>
  <c r="I123" i="11"/>
  <c r="I206" i="11"/>
  <c r="I403" i="11"/>
  <c r="J397" i="11" s="1"/>
  <c r="F82" i="22" s="1"/>
  <c r="I483" i="11"/>
  <c r="J475" i="11" s="1"/>
  <c r="F93" i="22" s="1"/>
  <c r="I499" i="11"/>
  <c r="I533" i="11"/>
  <c r="F19" i="22" l="1"/>
  <c r="G19" i="22" s="1"/>
  <c r="J19" i="22" s="1"/>
  <c r="F125" i="22"/>
  <c r="G167" i="22"/>
  <c r="J167" i="22" s="1"/>
  <c r="I167" i="22"/>
  <c r="G109" i="22"/>
  <c r="J109" i="22" s="1"/>
  <c r="I109" i="22"/>
  <c r="G26" i="22"/>
  <c r="J26" i="22" s="1"/>
  <c r="I26" i="22"/>
  <c r="G21" i="22"/>
  <c r="J21" i="22" s="1"/>
  <c r="I21" i="22"/>
  <c r="G57" i="22"/>
  <c r="J57" i="22" s="1"/>
  <c r="I57" i="22"/>
  <c r="G56" i="22"/>
  <c r="J56" i="22" s="1"/>
  <c r="I56" i="22"/>
  <c r="G16" i="22"/>
  <c r="J16" i="22" s="1"/>
  <c r="I16" i="22"/>
  <c r="G42" i="22"/>
  <c r="J42" i="22" s="1"/>
  <c r="I42" i="22"/>
  <c r="G70" i="22"/>
  <c r="I70" i="22"/>
  <c r="G156" i="22"/>
  <c r="J156" i="22" s="1"/>
  <c r="I156" i="22"/>
  <c r="G62" i="22"/>
  <c r="J62" i="22" s="1"/>
  <c r="I62" i="22"/>
  <c r="G171" i="22"/>
  <c r="J171" i="22" s="1"/>
  <c r="I171" i="22"/>
  <c r="G90" i="22"/>
  <c r="J90" i="22" s="1"/>
  <c r="I90" i="22"/>
  <c r="G88" i="22"/>
  <c r="J88" i="22" s="1"/>
  <c r="I88" i="22"/>
  <c r="G39" i="22"/>
  <c r="J39" i="22" s="1"/>
  <c r="I39" i="22"/>
  <c r="G60" i="22"/>
  <c r="J60" i="22" s="1"/>
  <c r="I60" i="22"/>
  <c r="G91" i="22"/>
  <c r="J91" i="22" s="1"/>
  <c r="I91" i="22"/>
  <c r="G94" i="22"/>
  <c r="J94" i="22" s="1"/>
  <c r="I94" i="22"/>
  <c r="G155" i="22"/>
  <c r="J155" i="22" s="1"/>
  <c r="I155" i="22"/>
  <c r="G140" i="22"/>
  <c r="J140" i="22" s="1"/>
  <c r="I140" i="22"/>
  <c r="G87" i="22"/>
  <c r="J87" i="22" s="1"/>
  <c r="I87" i="22"/>
  <c r="G37" i="22"/>
  <c r="J37" i="22" s="1"/>
  <c r="I37" i="22"/>
  <c r="G82" i="22"/>
  <c r="J82" i="22" s="1"/>
  <c r="I82" i="22"/>
  <c r="G79" i="22"/>
  <c r="J79" i="22" s="1"/>
  <c r="I79" i="22"/>
  <c r="G86" i="22"/>
  <c r="J86" i="22" s="1"/>
  <c r="I86" i="22"/>
  <c r="G66" i="22"/>
  <c r="J66" i="22" s="1"/>
  <c r="I66" i="22"/>
  <c r="G59" i="22"/>
  <c r="J59" i="22" s="1"/>
  <c r="I59" i="22"/>
  <c r="G58" i="22"/>
  <c r="J58" i="22" s="1"/>
  <c r="I58" i="22"/>
  <c r="G92" i="22"/>
  <c r="J92" i="22" s="1"/>
  <c r="I92" i="22"/>
  <c r="I19" i="22"/>
  <c r="G123" i="22"/>
  <c r="J123" i="22" s="1"/>
  <c r="I123" i="22"/>
  <c r="G165" i="22"/>
  <c r="J165" i="22" s="1"/>
  <c r="I165" i="22"/>
  <c r="G89" i="22"/>
  <c r="J89" i="22" s="1"/>
  <c r="I89" i="22"/>
  <c r="G75" i="22"/>
  <c r="J75" i="22" s="1"/>
  <c r="I75" i="22"/>
  <c r="G178" i="22"/>
  <c r="I178" i="22"/>
  <c r="G27" i="22"/>
  <c r="J27" i="22" s="1"/>
  <c r="I27" i="22"/>
  <c r="G51" i="22"/>
  <c r="J51" i="22" s="1"/>
  <c r="I51" i="22"/>
  <c r="G137" i="22"/>
  <c r="J137" i="22" s="1"/>
  <c r="I137" i="22"/>
  <c r="G11" i="22"/>
  <c r="J11" i="22" s="1"/>
  <c r="I11" i="22"/>
  <c r="G78" i="22"/>
  <c r="J78" i="22" s="1"/>
  <c r="I78" i="22"/>
  <c r="G50" i="22"/>
  <c r="J50" i="22" s="1"/>
  <c r="I50" i="22"/>
  <c r="G168" i="22"/>
  <c r="J168" i="22" s="1"/>
  <c r="I168" i="22"/>
  <c r="G61" i="22"/>
  <c r="J61" i="22" s="1"/>
  <c r="I61" i="22"/>
  <c r="G166" i="22"/>
  <c r="J166" i="22" s="1"/>
  <c r="I166" i="22"/>
  <c r="I81" i="22"/>
  <c r="G81" i="22"/>
  <c r="J81" i="22" s="1"/>
  <c r="G32" i="22"/>
  <c r="J32" i="22" s="1"/>
  <c r="I32" i="22"/>
  <c r="G72" i="22"/>
  <c r="J72" i="22" s="1"/>
  <c r="I72" i="22"/>
  <c r="G125" i="22"/>
  <c r="J125" i="22" s="1"/>
  <c r="I125" i="22"/>
  <c r="G33" i="22"/>
  <c r="J33" i="22" s="1"/>
  <c r="I33" i="22"/>
  <c r="G93" i="22"/>
  <c r="J93" i="22" s="1"/>
  <c r="I93" i="22"/>
  <c r="G49" i="22"/>
  <c r="J49" i="22" s="1"/>
  <c r="I49" i="22"/>
  <c r="G80" i="22"/>
  <c r="J80" i="22" s="1"/>
  <c r="I80" i="22"/>
  <c r="G74" i="22"/>
  <c r="J74" i="22" s="1"/>
  <c r="I74" i="22"/>
  <c r="G45" i="22"/>
  <c r="J45" i="22" s="1"/>
  <c r="I45" i="22"/>
  <c r="G73" i="22"/>
  <c r="J73" i="22" s="1"/>
  <c r="I73" i="22"/>
  <c r="G119" i="22"/>
  <c r="J119" i="22" s="1"/>
  <c r="I119" i="22"/>
  <c r="G71" i="22"/>
  <c r="J71" i="22" s="1"/>
  <c r="I71" i="22"/>
  <c r="G54" i="22"/>
  <c r="J54" i="22" s="1"/>
  <c r="I54" i="22"/>
  <c r="G8" i="22"/>
  <c r="J8" i="22" s="1"/>
  <c r="I8" i="22"/>
  <c r="F106" i="22"/>
  <c r="F133" i="22"/>
  <c r="F151" i="22"/>
  <c r="F118" i="22"/>
  <c r="F48" i="22"/>
  <c r="F55" i="22"/>
  <c r="F20" i="22"/>
  <c r="F141" i="22"/>
  <c r="F149" i="22"/>
  <c r="F160" i="22"/>
  <c r="F116" i="22"/>
  <c r="F104" i="22"/>
  <c r="F144" i="22"/>
  <c r="F36" i="22"/>
  <c r="F131" i="22"/>
  <c r="F126" i="22"/>
  <c r="F111" i="22"/>
  <c r="F99" i="22"/>
  <c r="F127" i="22"/>
  <c r="F145" i="22"/>
  <c r="F112" i="22"/>
  <c r="F100" i="22"/>
  <c r="F12" i="22"/>
  <c r="F139" i="22"/>
  <c r="F98" i="22"/>
  <c r="F157" i="22"/>
  <c r="F124" i="22"/>
  <c r="F15" i="22"/>
  <c r="F110" i="22"/>
  <c r="F22" i="22"/>
  <c r="F28" i="22"/>
  <c r="F117" i="22"/>
  <c r="F35" i="22"/>
  <c r="F148" i="22"/>
  <c r="F105" i="22"/>
  <c r="F159" i="22"/>
  <c r="F132" i="22"/>
  <c r="F142" i="22"/>
  <c r="F161" i="22"/>
  <c r="F150" i="22"/>
  <c r="F115" i="22"/>
  <c r="F103" i="22"/>
  <c r="F130" i="22"/>
  <c r="F143" i="22"/>
  <c r="F128" i="22"/>
  <c r="F146" i="22"/>
  <c r="F113" i="22"/>
  <c r="F101" i="22"/>
  <c r="G9" i="22" l="1"/>
  <c r="J9" i="22" s="1"/>
  <c r="G128" i="22"/>
  <c r="J128" i="22" s="1"/>
  <c r="I128" i="22"/>
  <c r="G144" i="22"/>
  <c r="J144" i="22" s="1"/>
  <c r="I144" i="22"/>
  <c r="G159" i="22"/>
  <c r="J159" i="22" s="1"/>
  <c r="I159" i="22"/>
  <c r="G130" i="22"/>
  <c r="J130" i="22" s="1"/>
  <c r="I130" i="22"/>
  <c r="G124" i="22"/>
  <c r="J124" i="22" s="1"/>
  <c r="I124" i="22"/>
  <c r="G148" i="22"/>
  <c r="J148" i="22" s="1"/>
  <c r="I148" i="22"/>
  <c r="G35" i="22"/>
  <c r="I35" i="22"/>
  <c r="G113" i="22"/>
  <c r="J113" i="22" s="1"/>
  <c r="I113" i="22"/>
  <c r="G146" i="22"/>
  <c r="J146" i="22" s="1"/>
  <c r="I146" i="22"/>
  <c r="G142" i="22"/>
  <c r="J142" i="22" s="1"/>
  <c r="I142" i="22"/>
  <c r="G22" i="22"/>
  <c r="J22" i="22" s="1"/>
  <c r="I22" i="22"/>
  <c r="G100" i="22"/>
  <c r="J100" i="22" s="1"/>
  <c r="I100" i="22"/>
  <c r="G36" i="22"/>
  <c r="J36" i="22" s="1"/>
  <c r="I36" i="22"/>
  <c r="G55" i="22"/>
  <c r="J55" i="22" s="1"/>
  <c r="I55" i="22"/>
  <c r="G46" i="22"/>
  <c r="J46" i="22" s="1"/>
  <c r="G132" i="22"/>
  <c r="J132" i="22" s="1"/>
  <c r="I132" i="22"/>
  <c r="G110" i="22"/>
  <c r="J110" i="22" s="1"/>
  <c r="I110" i="22"/>
  <c r="G143" i="22"/>
  <c r="J143" i="22" s="1"/>
  <c r="I143" i="22"/>
  <c r="G172" i="22"/>
  <c r="J172" i="22" s="1"/>
  <c r="G151" i="22"/>
  <c r="J151" i="22" s="1"/>
  <c r="I151" i="22"/>
  <c r="G179" i="22"/>
  <c r="J178" i="22"/>
  <c r="G112" i="22"/>
  <c r="J112" i="22" s="1"/>
  <c r="I112" i="22"/>
  <c r="G15" i="22"/>
  <c r="J15" i="22" s="1"/>
  <c r="I15" i="22"/>
  <c r="G103" i="22"/>
  <c r="J103" i="22" s="1"/>
  <c r="I103" i="22"/>
  <c r="G99" i="22"/>
  <c r="J99" i="22" s="1"/>
  <c r="I99" i="22"/>
  <c r="G160" i="22"/>
  <c r="J160" i="22" s="1"/>
  <c r="I160" i="22"/>
  <c r="G133" i="22"/>
  <c r="J133" i="22" s="1"/>
  <c r="I133" i="22"/>
  <c r="G118" i="22"/>
  <c r="J118" i="22" s="1"/>
  <c r="I118" i="22"/>
  <c r="G105" i="22"/>
  <c r="J105" i="22" s="1"/>
  <c r="I105" i="22"/>
  <c r="G127" i="22"/>
  <c r="J127" i="22" s="1"/>
  <c r="I127" i="22"/>
  <c r="G157" i="22"/>
  <c r="J157" i="22" s="1"/>
  <c r="I157" i="22"/>
  <c r="G106" i="22"/>
  <c r="J106" i="22" s="1"/>
  <c r="I106" i="22"/>
  <c r="G48" i="22"/>
  <c r="J48" i="22" s="1"/>
  <c r="I48" i="22"/>
  <c r="G145" i="22"/>
  <c r="J145" i="22" s="1"/>
  <c r="I145" i="22"/>
  <c r="G115" i="22"/>
  <c r="J115" i="22" s="1"/>
  <c r="I115" i="22"/>
  <c r="G98" i="22"/>
  <c r="J98" i="22" s="1"/>
  <c r="I98" i="22"/>
  <c r="G101" i="22"/>
  <c r="J101" i="22" s="1"/>
  <c r="I101" i="22"/>
  <c r="G150" i="22"/>
  <c r="J150" i="22" s="1"/>
  <c r="I150" i="22"/>
  <c r="G117" i="22"/>
  <c r="J117" i="22" s="1"/>
  <c r="I117" i="22"/>
  <c r="G139" i="22"/>
  <c r="J139" i="22" s="1"/>
  <c r="I139" i="22"/>
  <c r="G126" i="22"/>
  <c r="J126" i="22" s="1"/>
  <c r="I126" i="22"/>
  <c r="G141" i="22"/>
  <c r="J141" i="22" s="1"/>
  <c r="I141" i="22"/>
  <c r="G169" i="22"/>
  <c r="J169" i="22" s="1"/>
  <c r="G104" i="22"/>
  <c r="J104" i="22" s="1"/>
  <c r="I104" i="22"/>
  <c r="G116" i="22"/>
  <c r="J116" i="22" s="1"/>
  <c r="I116" i="22"/>
  <c r="G111" i="22"/>
  <c r="J111" i="22" s="1"/>
  <c r="I111" i="22"/>
  <c r="G149" i="22"/>
  <c r="J149" i="22" s="1"/>
  <c r="I149" i="22"/>
  <c r="G161" i="22"/>
  <c r="J161" i="22" s="1"/>
  <c r="I161" i="22"/>
  <c r="G28" i="22"/>
  <c r="J28" i="22" s="1"/>
  <c r="I28" i="22"/>
  <c r="G12" i="22"/>
  <c r="J12" i="22" s="1"/>
  <c r="I12" i="22"/>
  <c r="G131" i="22"/>
  <c r="J131" i="22" s="1"/>
  <c r="I131" i="22"/>
  <c r="G20" i="22"/>
  <c r="J20" i="22" s="1"/>
  <c r="I20" i="22"/>
  <c r="G43" i="22"/>
  <c r="J43" i="22" s="1"/>
  <c r="J70" i="22"/>
  <c r="G84" i="22"/>
  <c r="J84" i="22" s="1"/>
  <c r="G68" i="22" l="1"/>
  <c r="J68" i="22" s="1"/>
  <c r="G17" i="22"/>
  <c r="J17" i="22" s="1"/>
  <c r="G162" i="22"/>
  <c r="J162" i="22" s="1"/>
  <c r="G23" i="22"/>
  <c r="J23" i="22" s="1"/>
  <c r="G134" i="22"/>
  <c r="J134" i="22" s="1"/>
  <c r="G29" i="22"/>
  <c r="J29" i="22" s="1"/>
  <c r="G40" i="22"/>
  <c r="J40" i="22" s="1"/>
  <c r="J35" i="22"/>
  <c r="G52" i="22"/>
  <c r="J52" i="22" s="1"/>
  <c r="G13" i="22"/>
  <c r="J13" i="22" s="1"/>
  <c r="G152" i="22"/>
  <c r="J152" i="22" s="1"/>
  <c r="G180" i="22"/>
  <c r="J179" i="22"/>
  <c r="G120" i="22"/>
  <c r="J120" i="22" s="1"/>
  <c r="G181" i="22" l="1"/>
  <c r="J180" i="22"/>
  <c r="G173" i="22"/>
  <c r="H78" i="22" s="1"/>
  <c r="H93" i="22" l="1"/>
  <c r="H126" i="22"/>
  <c r="H116" i="22"/>
  <c r="H115" i="22"/>
  <c r="H105" i="22"/>
  <c r="H90" i="22"/>
  <c r="H112" i="22"/>
  <c r="H55" i="22"/>
  <c r="H140" i="22"/>
  <c r="H28" i="22"/>
  <c r="H36" i="22"/>
  <c r="H67" i="22"/>
  <c r="H76" i="22"/>
  <c r="H80" i="22"/>
  <c r="H151" i="22"/>
  <c r="H16" i="22"/>
  <c r="H133" i="22"/>
  <c r="H60" i="22"/>
  <c r="H141" i="22"/>
  <c r="H20" i="22"/>
  <c r="H43" i="22"/>
  <c r="H59" i="22"/>
  <c r="H167" i="22"/>
  <c r="H11" i="22"/>
  <c r="H19" i="22"/>
  <c r="H87" i="22"/>
  <c r="H63" i="22"/>
  <c r="H83" i="22"/>
  <c r="H73" i="22"/>
  <c r="H98" i="22"/>
  <c r="H124" i="22"/>
  <c r="H145" i="22"/>
  <c r="H157" i="22"/>
  <c r="H46" i="22"/>
  <c r="H159" i="22"/>
  <c r="H40" i="22"/>
  <c r="H91" i="22"/>
  <c r="H57" i="22"/>
  <c r="H123" i="22"/>
  <c r="H26" i="22"/>
  <c r="H42" i="22"/>
  <c r="H97" i="22"/>
  <c r="H74" i="22"/>
  <c r="H23" i="22"/>
  <c r="H127" i="22"/>
  <c r="H104" i="22"/>
  <c r="H144" i="22"/>
  <c r="H150" i="22"/>
  <c r="H132" i="22"/>
  <c r="H128" i="22"/>
  <c r="H45" i="22"/>
  <c r="H171" i="22"/>
  <c r="H8" i="22"/>
  <c r="H86" i="22"/>
  <c r="H21" i="22"/>
  <c r="H119" i="22"/>
  <c r="H138" i="22"/>
  <c r="H72" i="22"/>
  <c r="H162" i="22"/>
  <c r="H32" i="22"/>
  <c r="H71" i="22"/>
  <c r="H172" i="22"/>
  <c r="H29" i="22"/>
  <c r="H118" i="22"/>
  <c r="H48" i="22"/>
  <c r="H143" i="22"/>
  <c r="H99" i="22"/>
  <c r="H100" i="22"/>
  <c r="H22" i="22"/>
  <c r="H56" i="22"/>
  <c r="H168" i="22"/>
  <c r="H88" i="22"/>
  <c r="H49" i="22"/>
  <c r="H125" i="22"/>
  <c r="H64" i="22"/>
  <c r="H68" i="22"/>
  <c r="H120" i="22"/>
  <c r="H103" i="22"/>
  <c r="H111" i="22"/>
  <c r="H35" i="22"/>
  <c r="H130" i="22"/>
  <c r="H131" i="22"/>
  <c r="H12" i="22"/>
  <c r="H27" i="22"/>
  <c r="H61" i="22"/>
  <c r="H165" i="22"/>
  <c r="H37" i="22"/>
  <c r="H156" i="22"/>
  <c r="H51" i="22"/>
  <c r="H164" i="22"/>
  <c r="H82" i="22"/>
  <c r="H134" i="22"/>
  <c r="H101" i="22"/>
  <c r="H146" i="22"/>
  <c r="H113" i="22"/>
  <c r="H117" i="22"/>
  <c r="H15" i="22"/>
  <c r="H148" i="22"/>
  <c r="H169" i="22"/>
  <c r="H58" i="22"/>
  <c r="H166" i="22"/>
  <c r="H39" i="22"/>
  <c r="H62" i="22"/>
  <c r="H33" i="22"/>
  <c r="H92" i="22"/>
  <c r="H65" i="22"/>
  <c r="H81" i="22"/>
  <c r="H17" i="22"/>
  <c r="H142" i="22"/>
  <c r="H161" i="22"/>
  <c r="H139" i="22"/>
  <c r="H160" i="22"/>
  <c r="H110" i="22"/>
  <c r="H106" i="22"/>
  <c r="H149" i="22"/>
  <c r="H94" i="22"/>
  <c r="H66" i="22"/>
  <c r="H89" i="22"/>
  <c r="H54" i="22"/>
  <c r="H137" i="22"/>
  <c r="H155" i="22"/>
  <c r="H70" i="22"/>
  <c r="H77" i="22"/>
  <c r="H13" i="22"/>
  <c r="H152" i="22"/>
  <c r="H84" i="22"/>
  <c r="H75" i="22"/>
  <c r="H52" i="22"/>
  <c r="J173" i="22"/>
  <c r="H50" i="22"/>
  <c r="H109" i="22"/>
  <c r="H25" i="22"/>
  <c r="H79" i="22"/>
  <c r="G174" i="22"/>
  <c r="J181" i="22"/>
  <c r="D11" i="4"/>
  <c r="I6" i="4"/>
  <c r="G175" i="22" l="1"/>
  <c r="J174" i="22"/>
  <c r="F176" i="22" l="1"/>
  <c r="D8" i="4"/>
  <c r="J175" i="22"/>
  <c r="D12" i="4" l="1"/>
  <c r="D13" i="4"/>
  <c r="G176" i="22"/>
  <c r="I176" i="22"/>
  <c r="C19" i="18"/>
  <c r="C12" i="18"/>
  <c r="C8" i="18"/>
  <c r="J176" i="22" l="1"/>
  <c r="G182" i="22"/>
  <c r="H176" i="22"/>
  <c r="C21" i="18"/>
  <c r="D14" i="4" l="1"/>
  <c r="J182" i="22"/>
  <c r="H181" i="22"/>
  <c r="M4" i="11"/>
  <c r="B7" i="10"/>
  <c r="O4" i="11" l="1"/>
  <c r="N4" i="11"/>
  <c r="Y24" i="10"/>
  <c r="T24" i="10"/>
  <c r="Q24" i="10"/>
  <c r="P24" i="10"/>
  <c r="O27" i="10" s="1"/>
  <c r="AB23" i="10"/>
  <c r="V23" i="10"/>
  <c r="S23" i="10"/>
  <c r="O23" i="10"/>
  <c r="AB22" i="10"/>
  <c r="V22" i="10"/>
  <c r="S22" i="10"/>
  <c r="O22" i="10"/>
  <c r="AB21" i="10"/>
  <c r="V21" i="10"/>
  <c r="S21" i="10"/>
  <c r="O21" i="10"/>
  <c r="AB20" i="10"/>
  <c r="V20" i="10"/>
  <c r="S20" i="10"/>
  <c r="O20" i="10"/>
  <c r="S19" i="10"/>
  <c r="O19" i="10"/>
  <c r="S18" i="10"/>
  <c r="O18" i="10"/>
  <c r="AB17" i="10"/>
  <c r="V17" i="10"/>
  <c r="S17" i="10"/>
  <c r="O17" i="10"/>
  <c r="V24" i="10" l="1"/>
  <c r="O24" i="10"/>
  <c r="S24" i="10"/>
  <c r="AB24" i="10" l="1"/>
  <c r="Y25" i="10" s="1"/>
  <c r="I23" i="7"/>
  <c r="B57" i="7"/>
  <c r="B68" i="7"/>
  <c r="B69" i="7"/>
  <c r="B70" i="7"/>
  <c r="B67" i="7"/>
  <c r="B66" i="7"/>
  <c r="J86" i="7"/>
  <c r="H34" i="5"/>
  <c r="H35" i="5" s="1"/>
  <c r="H27" i="5"/>
  <c r="H8" i="4" l="1"/>
  <c r="F8" i="4"/>
  <c r="E8" i="4"/>
  <c r="G8" i="4"/>
  <c r="H37" i="5"/>
  <c r="I8" i="4" l="1"/>
  <c r="H151" i="6"/>
  <c r="H120" i="6"/>
  <c r="J126" i="7"/>
  <c r="J115" i="7"/>
  <c r="J89" i="7"/>
  <c r="H11" i="8"/>
  <c r="I141" i="7" l="1"/>
  <c r="J139" i="7"/>
  <c r="J137" i="7"/>
  <c r="J135" i="7"/>
  <c r="J133" i="7"/>
  <c r="J132" i="7"/>
  <c r="L19" i="7" l="1"/>
  <c r="J111" i="7"/>
  <c r="J102" i="7"/>
  <c r="I84" i="7"/>
  <c r="I83" i="7"/>
  <c r="B83" i="7"/>
  <c r="I82" i="7"/>
  <c r="B82" i="7"/>
  <c r="B72" i="7"/>
  <c r="B43" i="7"/>
  <c r="I33" i="7"/>
  <c r="I32" i="7"/>
  <c r="B76" i="7"/>
  <c r="B25" i="7"/>
  <c r="I25" i="7"/>
  <c r="I14" i="7"/>
  <c r="I13" i="7"/>
  <c r="J74" i="7"/>
  <c r="J73" i="7"/>
  <c r="B75" i="7"/>
  <c r="B60" i="7"/>
  <c r="B61" i="7"/>
  <c r="B46" i="7"/>
  <c r="B47" i="7"/>
  <c r="B48" i="7"/>
  <c r="B49" i="7"/>
  <c r="B50" i="7"/>
  <c r="B51" i="7"/>
  <c r="B52" i="7"/>
  <c r="B53" i="7"/>
  <c r="B54" i="7"/>
  <c r="B55" i="7"/>
  <c r="B56" i="7"/>
  <c r="B58" i="7"/>
  <c r="B59" i="7"/>
  <c r="B62" i="7"/>
  <c r="B63" i="7"/>
  <c r="B64" i="7"/>
  <c r="B65" i="7"/>
  <c r="B45" i="7"/>
  <c r="J25" i="7" l="1"/>
  <c r="J72" i="7"/>
  <c r="I12" i="7"/>
  <c r="H21" i="6"/>
  <c r="J23" i="7" l="1"/>
  <c r="K79" i="7"/>
  <c r="J78" i="7"/>
  <c r="B125" i="7"/>
  <c r="B128" i="7"/>
  <c r="B124" i="7"/>
  <c r="B122" i="7"/>
  <c r="B121" i="7"/>
  <c r="B117" i="7"/>
  <c r="B118" i="7"/>
  <c r="B114" i="7"/>
  <c r="B113" i="7"/>
  <c r="B110" i="7"/>
  <c r="B111" i="7"/>
  <c r="B108" i="7"/>
  <c r="B107" i="7"/>
  <c r="B106" i="7"/>
  <c r="B99" i="7"/>
  <c r="B102" i="7"/>
  <c r="B103" i="7"/>
  <c r="B98" i="7"/>
  <c r="B96" i="7"/>
  <c r="B95" i="7"/>
  <c r="B92" i="7"/>
  <c r="B91" i="7"/>
  <c r="B88" i="7"/>
  <c r="B86" i="7"/>
  <c r="B84" i="7"/>
  <c r="B80" i="7"/>
  <c r="B79" i="7"/>
  <c r="B78" i="7"/>
  <c r="I80" i="7"/>
  <c r="J91" i="7"/>
  <c r="I88" i="7"/>
  <c r="J90" i="7"/>
  <c r="I93" i="7"/>
  <c r="I94" i="7"/>
  <c r="I95" i="7"/>
  <c r="B39" i="7"/>
  <c r="B41" i="7"/>
  <c r="B38" i="7"/>
  <c r="B33" i="7"/>
  <c r="B32" i="7"/>
  <c r="B23" i="7"/>
  <c r="B21" i="7"/>
  <c r="B20" i="7"/>
  <c r="B15" i="7"/>
  <c r="B12" i="7"/>
  <c r="B11" i="7"/>
  <c r="I92" i="7" l="1"/>
  <c r="I96" i="7" l="1"/>
  <c r="J127" i="7"/>
  <c r="I125" i="7"/>
  <c r="J124" i="7"/>
  <c r="I121" i="7"/>
  <c r="I120" i="7"/>
  <c r="I119" i="7"/>
  <c r="J116" i="7"/>
  <c r="I114" i="7"/>
  <c r="J110" i="7"/>
  <c r="I108" i="7"/>
  <c r="K107" i="7"/>
  <c r="J106" i="7"/>
  <c r="I118" i="7" l="1"/>
  <c r="I122" i="7" s="1"/>
  <c r="I16" i="7"/>
  <c r="I38" i="7"/>
  <c r="I17" i="7"/>
  <c r="I11" i="7"/>
  <c r="H180" i="6" l="1"/>
  <c r="H181" i="6"/>
  <c r="H179" i="6"/>
  <c r="H173" i="6"/>
  <c r="H172" i="6"/>
  <c r="H88" i="6"/>
  <c r="H93" i="6" s="1"/>
  <c r="H82" i="6"/>
  <c r="H83" i="6"/>
  <c r="H84" i="6"/>
  <c r="H85" i="6"/>
  <c r="H81" i="6"/>
  <c r="H53" i="6"/>
  <c r="H54" i="6"/>
  <c r="H55" i="6"/>
  <c r="H52" i="6"/>
  <c r="H51" i="6"/>
  <c r="H58" i="6"/>
  <c r="H63" i="6" s="1"/>
  <c r="H28" i="6"/>
  <c r="H33" i="6" s="1"/>
  <c r="H22" i="6"/>
  <c r="H210" i="6"/>
  <c r="H215" i="6" s="1"/>
  <c r="H204" i="6"/>
  <c r="H203" i="6"/>
  <c r="H208" i="6" l="1"/>
  <c r="H216" i="6" s="1"/>
  <c r="H218" i="6" s="1"/>
  <c r="H184" i="6"/>
  <c r="H177" i="6"/>
  <c r="H86" i="6"/>
  <c r="H94" i="6" s="1"/>
  <c r="H96" i="6" s="1"/>
  <c r="H56" i="6"/>
  <c r="H64" i="6" s="1"/>
  <c r="H66" i="6" s="1"/>
  <c r="H26" i="6"/>
  <c r="H34" i="6" s="1"/>
  <c r="H36" i="6" s="1"/>
  <c r="H185" i="6" l="1"/>
  <c r="H187" i="6" s="1"/>
  <c r="H118" i="6" l="1"/>
  <c r="H119" i="6"/>
  <c r="H121" i="6"/>
  <c r="H122" i="6"/>
  <c r="H117" i="6"/>
  <c r="H123" i="6" l="1"/>
  <c r="H124" i="6" s="1"/>
  <c r="H125" i="6" s="1"/>
  <c r="H126" i="6" s="1"/>
  <c r="H148" i="6" l="1"/>
  <c r="H149" i="6"/>
  <c r="H150" i="6"/>
  <c r="H147" i="6"/>
  <c r="H153" i="6" l="1"/>
  <c r="H154" i="6"/>
  <c r="H156" i="6" s="1"/>
  <c r="I9" i="4" l="1"/>
  <c r="E11" i="4" l="1"/>
  <c r="E14" i="4" s="1"/>
  <c r="F11" i="4"/>
  <c r="F14" i="4" s="1"/>
  <c r="G11" i="4"/>
  <c r="G14" i="4" s="1"/>
  <c r="H11" i="4" l="1"/>
  <c r="H14" i="4" s="1"/>
  <c r="I11" i="4"/>
  <c r="I14" i="4" s="1"/>
  <c r="E15" i="4" l="1"/>
  <c r="F15" i="4" s="1"/>
  <c r="G15" i="4" s="1"/>
  <c r="D15" i="4"/>
  <c r="H15" i="4" l="1"/>
  <c r="E12" i="4"/>
  <c r="E13" i="4" s="1"/>
  <c r="D9" i="4"/>
  <c r="F12" i="4"/>
  <c r="D6" i="4"/>
  <c r="G12" i="4"/>
  <c r="H12" i="4"/>
  <c r="F13" i="4" l="1"/>
  <c r="G13" i="4" s="1"/>
  <c r="H13" i="4" s="1"/>
</calcChain>
</file>

<file path=xl/sharedStrings.xml><?xml version="1.0" encoding="utf-8"?>
<sst xmlns="http://schemas.openxmlformats.org/spreadsheetml/2006/main" count="3410" uniqueCount="840">
  <si>
    <t>OBRA:</t>
  </si>
  <si>
    <t>ITEM</t>
  </si>
  <si>
    <t>DESCRIÇÃO</t>
  </si>
  <si>
    <t>1.0</t>
  </si>
  <si>
    <t>SERVIÇOS PRELIMINARES</t>
  </si>
  <si>
    <t>m²</t>
  </si>
  <si>
    <t>m³</t>
  </si>
  <si>
    <t>m</t>
  </si>
  <si>
    <t>PAVIMENTAÇÃO</t>
  </si>
  <si>
    <t>Fornecimento com lançamento de terra orgânica</t>
  </si>
  <si>
    <t>2.0</t>
  </si>
  <si>
    <t>MOVIMENTO DE TERRA</t>
  </si>
  <si>
    <t>3.0</t>
  </si>
  <si>
    <t>3.1</t>
  </si>
  <si>
    <t>ALAMBRADO</t>
  </si>
  <si>
    <t>cj</t>
  </si>
  <si>
    <t>QUADRA DE AREIA</t>
  </si>
  <si>
    <t>BDI</t>
  </si>
  <si>
    <t>TOTAL</t>
  </si>
  <si>
    <t>SINAPI</t>
  </si>
  <si>
    <t>m³ x km</t>
  </si>
  <si>
    <t>SEDOP</t>
  </si>
  <si>
    <t>3.2</t>
  </si>
  <si>
    <t>3.3</t>
  </si>
  <si>
    <t>3.4</t>
  </si>
  <si>
    <t>CÓDIGO</t>
  </si>
  <si>
    <t>GRUPO A</t>
  </si>
  <si>
    <t>INSS</t>
  </si>
  <si>
    <t>A2</t>
  </si>
  <si>
    <t>A3</t>
  </si>
  <si>
    <t>SENAI</t>
  </si>
  <si>
    <t>A4</t>
  </si>
  <si>
    <t>A5</t>
  </si>
  <si>
    <t>A7</t>
  </si>
  <si>
    <t>Seguro Contra Acidentes de Trabalho</t>
  </si>
  <si>
    <t>A8</t>
  </si>
  <si>
    <t>A9</t>
  </si>
  <si>
    <t>A</t>
  </si>
  <si>
    <t>GRUPO B</t>
  </si>
  <si>
    <t>B1</t>
  </si>
  <si>
    <t>B2</t>
  </si>
  <si>
    <t>Feriados</t>
  </si>
  <si>
    <t>B3</t>
  </si>
  <si>
    <t>B4</t>
  </si>
  <si>
    <t>B5</t>
  </si>
  <si>
    <t>Licença Paternidade</t>
  </si>
  <si>
    <t>B6</t>
  </si>
  <si>
    <t>B7</t>
  </si>
  <si>
    <t>B8</t>
  </si>
  <si>
    <t>B9</t>
  </si>
  <si>
    <t>B10</t>
  </si>
  <si>
    <t>B</t>
  </si>
  <si>
    <t>GRUPO C</t>
  </si>
  <si>
    <t>C1</t>
  </si>
  <si>
    <t>C2</t>
  </si>
  <si>
    <t>C3</t>
  </si>
  <si>
    <t>C4</t>
  </si>
  <si>
    <t>C5</t>
  </si>
  <si>
    <t>C</t>
  </si>
  <si>
    <t>GRUPO D</t>
  </si>
  <si>
    <t>D1</t>
  </si>
  <si>
    <t>D2</t>
  </si>
  <si>
    <t>D</t>
  </si>
  <si>
    <t>TOTAL (A+B+C+D)</t>
  </si>
  <si>
    <t>Item</t>
  </si>
  <si>
    <t>Discriminação</t>
  </si>
  <si>
    <t>%</t>
  </si>
  <si>
    <t>CRONOGRAMA FÍSICO - FINANCEIRO</t>
  </si>
  <si>
    <t>DISCRIMINAÇÃO</t>
  </si>
  <si>
    <t>MESES</t>
  </si>
  <si>
    <t>3.5</t>
  </si>
  <si>
    <t>3.6</t>
  </si>
  <si>
    <t>3.7</t>
  </si>
  <si>
    <t>3.8</t>
  </si>
  <si>
    <t>4.1</t>
  </si>
  <si>
    <t>4.2</t>
  </si>
  <si>
    <t>4.3</t>
  </si>
  <si>
    <t>4.4</t>
  </si>
  <si>
    <t>PERCENTUAL SIMPLES</t>
  </si>
  <si>
    <t>PERCENTUAL ACUMULADO</t>
  </si>
  <si>
    <t>VALOR TOTAL SIMPLES</t>
  </si>
  <si>
    <t>VALOR TOTAL ACUMULADO</t>
  </si>
  <si>
    <t xml:space="preserve">DATA: </t>
  </si>
  <si>
    <t>URBANIZAÇÃO E PAISAGISMO</t>
  </si>
  <si>
    <t>un</t>
  </si>
  <si>
    <t>ADMINISTRAÇÃO DA OBRA</t>
  </si>
  <si>
    <t>mês</t>
  </si>
  <si>
    <t>4.0</t>
  </si>
  <si>
    <t>h</t>
  </si>
  <si>
    <t>1.1</t>
  </si>
  <si>
    <t>1.2</t>
  </si>
  <si>
    <t>1.3</t>
  </si>
  <si>
    <t>2.1</t>
  </si>
  <si>
    <t>2.2</t>
  </si>
  <si>
    <t>DATA BASE:</t>
  </si>
  <si>
    <t xml:space="preserve">FONTE </t>
  </si>
  <si>
    <t>TIPO</t>
  </si>
  <si>
    <t>COMPOSIÇÃO UNITÁRIA DE PREÇO</t>
  </si>
  <si>
    <r>
      <t>SERVIÇO</t>
    </r>
    <r>
      <rPr>
        <sz val="10"/>
        <rFont val="Swis721 LtEx BT"/>
        <family val="2"/>
      </rPr>
      <t xml:space="preserve">: </t>
    </r>
  </si>
  <si>
    <t>UNIDADE:</t>
  </si>
  <si>
    <t>EQUIPAMENTOS</t>
  </si>
  <si>
    <t>ÍNDICE</t>
  </si>
  <si>
    <t>UN</t>
  </si>
  <si>
    <t>CUSTO HORA</t>
  </si>
  <si>
    <t>C. UNITÁRIO</t>
  </si>
  <si>
    <t>TOTAL (A)</t>
  </si>
  <si>
    <t>MÃO DE OBRA</t>
  </si>
  <si>
    <t>COMPOSIÇÃO</t>
  </si>
  <si>
    <t>TOTAL (B)</t>
  </si>
  <si>
    <t>MATERIAL</t>
  </si>
  <si>
    <t xml:space="preserve">CUSTO </t>
  </si>
  <si>
    <t>TOTAL (C)</t>
  </si>
  <si>
    <t>CUSTO UNITÁRIO TOTAL (A+B+C)</t>
  </si>
  <si>
    <t xml:space="preserve">BDI: </t>
  </si>
  <si>
    <t>PREÇO UNITÁRIO TOTAL</t>
  </si>
  <si>
    <t>INSUMO</t>
  </si>
  <si>
    <t>kg</t>
  </si>
  <si>
    <t>Servente com encargos complementares</t>
  </si>
  <si>
    <t>Poste metálico p/ rede de vôlei</t>
  </si>
  <si>
    <t>Pedreiro com encargos complementares</t>
  </si>
  <si>
    <t>Trave metálica p/ futebol</t>
  </si>
  <si>
    <t>ORSE</t>
  </si>
  <si>
    <t>ELEMENTOS ESPORTIVOS</t>
  </si>
  <si>
    <t>5.0</t>
  </si>
  <si>
    <t>Terra vegetal</t>
  </si>
  <si>
    <t>Jardineiro com encargos complementares</t>
  </si>
  <si>
    <t>Retirada de entulho - manualmente (incl. caixa coletora)</t>
  </si>
  <si>
    <t>D00453</t>
  </si>
  <si>
    <t>Caixa coletora</t>
  </si>
  <si>
    <t>Concreto c/ seixo Fck= 13,5 MPA (incl. preparo e lançamento)</t>
  </si>
  <si>
    <t>6.0</t>
  </si>
  <si>
    <t>5.1</t>
  </si>
  <si>
    <t>5.2</t>
  </si>
  <si>
    <t>5.3</t>
  </si>
  <si>
    <t>5.4</t>
  </si>
  <si>
    <t>LOCAL:</t>
  </si>
  <si>
    <t>MARAPANIM/PA</t>
  </si>
  <si>
    <t xml:space="preserve">SECRETARIA DE ESTADO DE ESPORTE E LAZER </t>
  </si>
  <si>
    <t>PLANILHA ORÇAMENTÁRIA</t>
  </si>
  <si>
    <t>7.0</t>
  </si>
  <si>
    <t>7.1</t>
  </si>
  <si>
    <t>LIMPEZA FINAL</t>
  </si>
  <si>
    <t>Limpeza final da obra</t>
  </si>
  <si>
    <t xml:space="preserve">Fornecimento e instalação de grama sintética verde, H=50mm, 12.000 Dtex, na cor verde, incluindo linha de demarcação branca, tape (fita de junção) e cola bi componente </t>
  </si>
  <si>
    <t>4.1.1</t>
  </si>
  <si>
    <t>4.1.2</t>
  </si>
  <si>
    <t>4.1.3</t>
  </si>
  <si>
    <t>4.3.1</t>
  </si>
  <si>
    <t>4.4.1</t>
  </si>
  <si>
    <t>4.4.2</t>
  </si>
  <si>
    <t>4.4.3</t>
  </si>
  <si>
    <t>4.4.4</t>
  </si>
  <si>
    <t>4.4.5</t>
  </si>
  <si>
    <t>5.1.1</t>
  </si>
  <si>
    <t>5.1.2</t>
  </si>
  <si>
    <t>5.1.3</t>
  </si>
  <si>
    <t>5.3.1</t>
  </si>
  <si>
    <t>5.3.2</t>
  </si>
  <si>
    <t>5.4.1</t>
  </si>
  <si>
    <t>5.4.2</t>
  </si>
  <si>
    <t>5.4.3</t>
  </si>
  <si>
    <t>H</t>
  </si>
  <si>
    <t>PERÍM.</t>
  </si>
  <si>
    <t>Quadra de areia</t>
  </si>
  <si>
    <t>A (m)</t>
  </si>
  <si>
    <t>B (m)</t>
  </si>
  <si>
    <t>A x B (m²)</t>
  </si>
  <si>
    <t>VOLUME (m³)</t>
  </si>
  <si>
    <t>6.1</t>
  </si>
  <si>
    <t>6.2</t>
  </si>
  <si>
    <t>6.3</t>
  </si>
  <si>
    <t>MEMÓRIA DE CÁLCULO</t>
  </si>
  <si>
    <t>4.2.1</t>
  </si>
  <si>
    <t>4.3.2</t>
  </si>
  <si>
    <t>4.3.3</t>
  </si>
  <si>
    <t>4.3.4</t>
  </si>
  <si>
    <t>4.3.5</t>
  </si>
  <si>
    <t>4.3.6</t>
  </si>
  <si>
    <t>4.3.7</t>
  </si>
  <si>
    <t>5.2.1</t>
  </si>
  <si>
    <t>5.2.2</t>
  </si>
  <si>
    <t>5.3.3</t>
  </si>
  <si>
    <t>5.3.4</t>
  </si>
  <si>
    <t>5.3.5</t>
  </si>
  <si>
    <t>5.3.6</t>
  </si>
  <si>
    <t>5.3.7</t>
  </si>
  <si>
    <t>REDE COLETORA DE DRENAGEM SUPERFICIAL</t>
  </si>
  <si>
    <t>Tubo DE 110mm</t>
  </si>
  <si>
    <t>6.1.1</t>
  </si>
  <si>
    <t>6.1.2</t>
  </si>
  <si>
    <t>ORSE-05/2017</t>
  </si>
  <si>
    <t>Grelha de ferro para canaleta larg = 30cm</t>
  </si>
  <si>
    <t>92411</t>
  </si>
  <si>
    <t>92884</t>
  </si>
  <si>
    <t>Armação utilizando aço CA-25 de 10.0 mm - montagem</t>
  </si>
  <si>
    <t>Montagem e desmontagem de fôrma  em madeira serrada, 2 utilizações</t>
  </si>
  <si>
    <t>Canaleta em concreto 30 x 15cm</t>
  </si>
  <si>
    <t>Escavação manual até 1,50m de profundidade</t>
  </si>
  <si>
    <t>Reaterro de vala com compactação manual</t>
  </si>
  <si>
    <t xml:space="preserve">EMPRESA / RAZÃO SOCIAL </t>
  </si>
  <si>
    <t>MEDIANO</t>
  </si>
  <si>
    <t>TELEFONE</t>
  </si>
  <si>
    <t>SITE / EMAIL</t>
  </si>
  <si>
    <t>CONTATO</t>
  </si>
  <si>
    <t>DATA</t>
  </si>
  <si>
    <t xml:space="preserve">DESCRIÇÃO </t>
  </si>
  <si>
    <t>UNID.</t>
  </si>
  <si>
    <t>R$</t>
  </si>
  <si>
    <t>1</t>
  </si>
  <si>
    <t>VALOR</t>
  </si>
  <si>
    <t>FRETE</t>
  </si>
  <si>
    <t>MULTIGRAMA</t>
  </si>
  <si>
    <t>Lixeira em polipropileno capacidade 50l com suporte (poste)</t>
  </si>
  <si>
    <t>Armação utilizando aço CA-50  - montagem</t>
  </si>
  <si>
    <t>Piso Tátil</t>
  </si>
  <si>
    <t>Piso Podotátil de concreto direcional e alerta *40 X 40 X 2,5* CM</t>
  </si>
  <si>
    <t>Calçada 1</t>
  </si>
  <si>
    <t>Calçada 2</t>
  </si>
  <si>
    <t>Calçada 3</t>
  </si>
  <si>
    <t>Quadra de Futebol - Grama sintética</t>
  </si>
  <si>
    <t>Discriminação: PERÍM. TOTAL= (A + A + B + B).: PT= (19,7 + 19,70 + 33,7 + 33,7 ) = 106,8 m</t>
  </si>
  <si>
    <t>*Segue dimensões do item 3.4</t>
  </si>
  <si>
    <t>Discriminação: Posterior as traves</t>
  </si>
  <si>
    <t xml:space="preserve">Discriminação: Nas laterais </t>
  </si>
  <si>
    <r>
      <t xml:space="preserve">*Lateral - Portão = 404,4 - 8,6 = </t>
    </r>
    <r>
      <rPr>
        <b/>
        <sz val="8"/>
        <color theme="1"/>
        <rFont val="Swis721 LtEx BT"/>
        <family val="2"/>
      </rPr>
      <t>395,8</t>
    </r>
  </si>
  <si>
    <r>
      <rPr>
        <b/>
        <sz val="11"/>
        <color theme="1"/>
        <rFont val="Calibri"/>
        <family val="2"/>
        <scheme val="minor"/>
      </rPr>
      <t xml:space="preserve">*Discriminação: </t>
    </r>
    <r>
      <rPr>
        <sz val="11"/>
        <color theme="1"/>
        <rFont val="Calibri"/>
        <family val="2"/>
        <scheme val="minor"/>
      </rPr>
      <t>A limpeza final da obra é somente das quadras e arenas.</t>
    </r>
  </si>
  <si>
    <r>
      <rPr>
        <b/>
        <sz val="8"/>
        <color theme="1"/>
        <rFont val="Swis721 LtEx BT"/>
        <family val="2"/>
      </rPr>
      <t xml:space="preserve">Discriminação: </t>
    </r>
    <r>
      <rPr>
        <sz val="8"/>
        <color theme="1"/>
        <rFont val="Swis721 LtEx BT"/>
        <family val="2"/>
      </rPr>
      <t xml:space="preserve">As dimensões da locação da quadra e da arena já estão acrescentado os 1,5m </t>
    </r>
  </si>
  <si>
    <t>3.9</t>
  </si>
  <si>
    <t xml:space="preserve">MOBILIARIO URBANO </t>
  </si>
  <si>
    <t>3.9.1</t>
  </si>
  <si>
    <t>3.9.2</t>
  </si>
  <si>
    <t>Banco tipo 1</t>
  </si>
  <si>
    <t>Banco tipo 2</t>
  </si>
  <si>
    <t>Face 1</t>
  </si>
  <si>
    <t>Face 2</t>
  </si>
  <si>
    <t>Calçada 4</t>
  </si>
  <si>
    <t xml:space="preserve">Área de Circulação </t>
  </si>
  <si>
    <r>
      <t>Discriminação:</t>
    </r>
    <r>
      <rPr>
        <sz val="9"/>
        <color theme="1"/>
        <rFont val="Swis721 LtEx BT"/>
        <family val="2"/>
      </rPr>
      <t xml:space="preserve"> A dimensões de guia (meio-fio) em trecho curvo =1,57 * 4 = </t>
    </r>
    <r>
      <rPr>
        <b/>
        <sz val="9"/>
        <color theme="1"/>
        <rFont val="Swis721 LtEx BT"/>
        <family val="2"/>
      </rPr>
      <t>6,28m</t>
    </r>
  </si>
  <si>
    <t xml:space="preserve">Banco em concreto armado </t>
  </si>
  <si>
    <t xml:space="preserve">Lixeira em PVC </t>
  </si>
  <si>
    <t>4.2.2</t>
  </si>
  <si>
    <t>4.2.3</t>
  </si>
  <si>
    <t>*Segue dimensões do item 4.3.5</t>
  </si>
  <si>
    <t>*São 4 faces de cada cova, totalizando 32 faces</t>
  </si>
  <si>
    <r>
      <t xml:space="preserve">*Lateral - Portão = 276 - 3,78 = </t>
    </r>
    <r>
      <rPr>
        <b/>
        <sz val="8"/>
        <color theme="1"/>
        <rFont val="Swis721 LtEx BT"/>
        <family val="2"/>
      </rPr>
      <t>272,22</t>
    </r>
    <r>
      <rPr>
        <sz val="8"/>
        <color theme="1"/>
        <rFont val="Swis721 LtEx BT"/>
        <family val="2"/>
      </rPr>
      <t xml:space="preserve"> </t>
    </r>
  </si>
  <si>
    <r>
      <t xml:space="preserve">Discriminação: </t>
    </r>
    <r>
      <rPr>
        <sz val="10"/>
        <color theme="1"/>
        <rFont val="Swis721 LtEx BT"/>
        <family val="2"/>
      </rPr>
      <t>(19,5+19,5+33,5)*2*0,3 =</t>
    </r>
    <r>
      <rPr>
        <b/>
        <sz val="10"/>
        <color theme="1"/>
        <rFont val="Swis721 LtEx BT"/>
        <family val="2"/>
      </rPr>
      <t xml:space="preserve"> 43,5 m</t>
    </r>
  </si>
  <si>
    <t xml:space="preserve">FORNECIMENTO DE TUBOS PVC CORRUGADO PERFURADO PARA DRENAGEM COM MANTA DE BIDIM </t>
  </si>
  <si>
    <t>6.2.1</t>
  </si>
  <si>
    <t>Fornecimento e instalação de manta bidim RT-14</t>
  </si>
  <si>
    <t>FORNECIMENTO DE TUBOS PVC VINILFORT - JEI</t>
  </si>
  <si>
    <t>6.3.1</t>
  </si>
  <si>
    <t>Tubo DN 250mm</t>
  </si>
  <si>
    <t>DISPOSITIVOS ESPECIAIS</t>
  </si>
  <si>
    <t>6.3.2</t>
  </si>
  <si>
    <t>SINAPI/PA-09/2017</t>
  </si>
  <si>
    <t>SEDOP-09/2017</t>
  </si>
  <si>
    <t>3.9.1.1</t>
  </si>
  <si>
    <t>3.9.2.1</t>
  </si>
  <si>
    <t>3.9.2.2</t>
  </si>
  <si>
    <t>3.9.3</t>
  </si>
  <si>
    <t>3.9.3.1</t>
  </si>
  <si>
    <t>3.9.3.2</t>
  </si>
  <si>
    <t>3.9.4</t>
  </si>
  <si>
    <t>3.9.4.1</t>
  </si>
  <si>
    <t>3.9.5</t>
  </si>
  <si>
    <t>3.9.5.1</t>
  </si>
  <si>
    <t>3.9.5.2</t>
  </si>
  <si>
    <t>3.9.5.2.1</t>
  </si>
  <si>
    <t>3.9.5.2.2</t>
  </si>
  <si>
    <t>3.9.5.2.3</t>
  </si>
  <si>
    <t>3.9.6</t>
  </si>
  <si>
    <t>3.9.6.1</t>
  </si>
  <si>
    <t>3.9.6.2</t>
  </si>
  <si>
    <t>3.9.6.3</t>
  </si>
  <si>
    <t>3.9.6.4</t>
  </si>
  <si>
    <t>3.10</t>
  </si>
  <si>
    <t>3.10.1</t>
  </si>
  <si>
    <t>3.10.2</t>
  </si>
  <si>
    <t>CONJUNTO PARA FUTSAL COM TRAVES OFICIAIS DE 3,00 X 2,00 M EM TUBO DE ACO GALVANIZADO 3" COM REQUADRO EM TUBO DE 1", PINTURA</t>
  </si>
  <si>
    <t xml:space="preserve">COMPOSIÇÃO </t>
  </si>
  <si>
    <t>5.4.4</t>
  </si>
  <si>
    <t>ARENAS ESPORTIVAS</t>
  </si>
  <si>
    <t>(11) 9 50833631</t>
  </si>
  <si>
    <t>vendas@multigrama.com.br</t>
  </si>
  <si>
    <t>TTNR GRAMA SINTÉTICA</t>
  </si>
  <si>
    <t>CNPJ</t>
  </si>
  <si>
    <t>10.226.779.0001-11</t>
  </si>
  <si>
    <t>http://ttnrcomex.com</t>
  </si>
  <si>
    <t>(11) 963549649</t>
  </si>
  <si>
    <t>17.810.925.0001-09</t>
  </si>
  <si>
    <t>31/09/2017</t>
  </si>
  <si>
    <t xml:space="preserve">Lançamento com uso de baldes, adensamento e acabamento de concreto </t>
  </si>
  <si>
    <t>4.3.8</t>
  </si>
  <si>
    <t>Lançamento com uso de baldes, adensamento e acabamento de concreto</t>
  </si>
  <si>
    <t>Concreto fck = 20mpa, traço 1:2,7:3 (cimento/ areia média/ brita 1)  preparo mecânico com betoneira 400 l. af_07/201</t>
  </si>
  <si>
    <t>4.4.6</t>
  </si>
  <si>
    <t>5.3.8</t>
  </si>
  <si>
    <t>5.4.5</t>
  </si>
  <si>
    <t>incluso</t>
  </si>
  <si>
    <t>PRIMEGRASS / GLOBAL</t>
  </si>
  <si>
    <t>12033357/0001-55</t>
  </si>
  <si>
    <t>(11) 3244-7848</t>
  </si>
  <si>
    <t>http://www.primegrass.com.br</t>
  </si>
  <si>
    <t>ceo@globalps.com.br</t>
  </si>
  <si>
    <t>3.9.6.5</t>
  </si>
  <si>
    <t>3.9.6.6</t>
  </si>
  <si>
    <t>3.9.6.7</t>
  </si>
  <si>
    <t>3.9.6.8</t>
  </si>
  <si>
    <t>BDI:</t>
  </si>
  <si>
    <t>Discriminação: VER CROQUI</t>
  </si>
  <si>
    <r>
      <t xml:space="preserve">Discriminação: </t>
    </r>
    <r>
      <rPr>
        <sz val="9"/>
        <color theme="1"/>
        <rFont val="Swis721 LtEx BT"/>
        <family val="2"/>
      </rPr>
      <t xml:space="preserve"> Calçadas 01, 02, 03 , 04 + Área de Circulação + Campo de Futebol 01 e 02 (439,81 + 403,09 + 438,90+ 298,93+ 831,35 + 653,25 + 653,25) </t>
    </r>
  </si>
  <si>
    <t>Área grama 1 -G1</t>
  </si>
  <si>
    <t>Área grama 2 - G2</t>
  </si>
  <si>
    <t>Área grama 3 - G3</t>
  </si>
  <si>
    <t>Área grama 4 -G4</t>
  </si>
  <si>
    <t>Ocultar</t>
  </si>
  <si>
    <t>OCULTAR</t>
  </si>
  <si>
    <t>Limite</t>
  </si>
  <si>
    <t>Contrapartida</t>
  </si>
  <si>
    <t>Total</t>
  </si>
  <si>
    <t>Execução</t>
  </si>
  <si>
    <t>Descição</t>
  </si>
  <si>
    <t>Quant./unid</t>
  </si>
  <si>
    <t>Superior</t>
  </si>
  <si>
    <t>Inferior</t>
  </si>
  <si>
    <t>VERIFIC USO REP</t>
  </si>
  <si>
    <t>SOMENTE CP</t>
  </si>
  <si>
    <t>Próprios       (R$)</t>
  </si>
  <si>
    <t>CONTA PREENCH</t>
  </si>
  <si>
    <t>(%)</t>
  </si>
  <si>
    <t>Outros            (R$)</t>
  </si>
  <si>
    <t>Total %</t>
  </si>
  <si>
    <t xml:space="preserve"> R$</t>
  </si>
  <si>
    <t>EF ou AD</t>
  </si>
  <si>
    <t>OS ou FIN</t>
  </si>
  <si>
    <t>Serviços Preliminares</t>
  </si>
  <si>
    <t>EF</t>
  </si>
  <si>
    <t>FIN</t>
  </si>
  <si>
    <t>Administração da Obra</t>
  </si>
  <si>
    <t>Urbanização</t>
  </si>
  <si>
    <t>Campo de Futebol 01 e 02</t>
  </si>
  <si>
    <t>Quadra de Areia 01 e 02</t>
  </si>
  <si>
    <t xml:space="preserve">Drenagem Superficial </t>
  </si>
  <si>
    <t xml:space="preserve">Limpeza Final </t>
  </si>
  <si>
    <t>Forma de execução: AD = Administração Direta pelo Tomador</t>
  </si>
  <si>
    <t xml:space="preserve">ou EF se execução e/ou fornecimento a contratar/contrado. </t>
  </si>
  <si>
    <t>Tipo de contrapartida: FIN = Financeira; OS = em Obras e Serviços.</t>
  </si>
  <si>
    <t>Local/Data</t>
  </si>
  <si>
    <t>Repasse</t>
  </si>
  <si>
    <t>Belém-PA, 29 de Setembro de 2017</t>
  </si>
  <si>
    <t>QCI - Quadro de Composição do Investimento</t>
  </si>
  <si>
    <t>Proponente/Tomador</t>
  </si>
  <si>
    <t>Município/UF</t>
  </si>
  <si>
    <t>Empreendimento ( nome/apelido)</t>
  </si>
  <si>
    <t>Aprovação  (data)</t>
  </si>
  <si>
    <t>10322331-37</t>
  </si>
  <si>
    <t xml:space="preserve">Secretaria de Estado de Esporte e Lazer </t>
  </si>
  <si>
    <t xml:space="preserve">Marapanim / PA </t>
  </si>
  <si>
    <t xml:space="preserve">Construção de Arenas Esportivas </t>
  </si>
  <si>
    <t>Operação</t>
  </si>
  <si>
    <t>Programa/Modalidade/Ação</t>
  </si>
  <si>
    <t>Financiamento</t>
  </si>
  <si>
    <t>x</t>
  </si>
  <si>
    <t>Repassse</t>
  </si>
  <si>
    <t xml:space="preserve">ESPORTE E GRANDES EVENTOS ESPORTIVOS </t>
  </si>
  <si>
    <t xml:space="preserve"> </t>
  </si>
  <si>
    <t>CADERNO DE COMPOSIÇÕES</t>
  </si>
  <si>
    <t>DESCONTO MATERIAIS E EQUIPAMENTOS</t>
  </si>
  <si>
    <t>CONTROLE DE DESCONTO</t>
  </si>
  <si>
    <t>Obra:</t>
  </si>
  <si>
    <t>EDITAL</t>
  </si>
  <si>
    <t>PROPOSTA</t>
  </si>
  <si>
    <t>DESCONTO</t>
  </si>
  <si>
    <t>&lt;- DESCONTO DESEJADO</t>
  </si>
  <si>
    <t>DESCRIÇÃO DA COMPOSIÇÃO</t>
  </si>
  <si>
    <t>UND</t>
  </si>
  <si>
    <t>M2</t>
  </si>
  <si>
    <t>TABELA</t>
  </si>
  <si>
    <t>TIPO DO ÍTEM</t>
  </si>
  <si>
    <t>COEF.</t>
  </si>
  <si>
    <t>CUSTO UNT.</t>
  </si>
  <si>
    <t>CUSTO TOTAL</t>
  </si>
  <si>
    <t>Composição</t>
  </si>
  <si>
    <t>CARPINTEIRO DE FORMAS COM ENCARGOS COMPLEMENTARES</t>
  </si>
  <si>
    <t>SERVENTE COM ENCARGOS COMPLEMENTARES</t>
  </si>
  <si>
    <t>Insumo</t>
  </si>
  <si>
    <t>KG</t>
  </si>
  <si>
    <t>TOTAL DO ÍTEM</t>
  </si>
  <si>
    <t>SARRAFO DE MADEIRA NAO APARELHADA *2,5 X 7* CM, MACARANDUBA, ANGELIM OU EQUIVALENTE DA REGIAO</t>
  </si>
  <si>
    <t>M</t>
  </si>
  <si>
    <t xml:space="preserve">PREGO DE ACO POLIDO COM CABECA 18 X 30 (2 3/4 X 10)  </t>
  </si>
  <si>
    <t>CONCRETO MAGRO PARA LASTRO, TRAÇO 1:4,5:4,5 (CIMENTO/ AREIA MÉDIA/ BRITA 1)  - PREPARO MECÂNICO COM BETONEIRA 400 L. AF_07/2016</t>
  </si>
  <si>
    <t>M3</t>
  </si>
  <si>
    <t>L</t>
  </si>
  <si>
    <t>PEDREIRO COM ENCARGOS COMPLEMENTARES</t>
  </si>
  <si>
    <t>CHP</t>
  </si>
  <si>
    <t>CHI</t>
  </si>
  <si>
    <t>HORISTA (%)</t>
  </si>
  <si>
    <t>MENSALISTA (%)</t>
  </si>
  <si>
    <t>A1</t>
  </si>
  <si>
    <t>A6</t>
  </si>
  <si>
    <t>Não incide</t>
  </si>
  <si>
    <t>Faltas Justificadas</t>
  </si>
  <si>
    <t>Auxílio Acidente de Trabalho</t>
  </si>
  <si>
    <t>Salário Maternidade</t>
  </si>
  <si>
    <t>Aviso Prévio Indenizado</t>
  </si>
  <si>
    <t>Aviso Prévio Trabalhado</t>
  </si>
  <si>
    <t>Férias Indenizadas</t>
  </si>
  <si>
    <t>Depósito Rescisão Sem Justa Causa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</si>
  <si>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</si>
  <si>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</si>
  <si>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</si>
  <si>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</si>
  <si>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</si>
  <si>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</si>
  <si>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</si>
  <si>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 xml:space="preserve">G - Garantias </t>
  </si>
  <si>
    <t>Sub-total</t>
  </si>
  <si>
    <t>LUCRO</t>
  </si>
  <si>
    <t>E - Lucro Operacional</t>
  </si>
  <si>
    <t>TAXAS E IMPOSTOS</t>
  </si>
  <si>
    <t>F - PIS</t>
  </si>
  <si>
    <t>G - COFINS</t>
  </si>
  <si>
    <t>H - ISSQN</t>
  </si>
  <si>
    <t>Contribuição Previdenciária - Lei N° 13.161/15</t>
  </si>
  <si>
    <t>Ref:</t>
  </si>
  <si>
    <t>PREFEITURA MUNICIPAL DE MARITUBA</t>
  </si>
  <si>
    <t>74209/1</t>
  </si>
  <si>
    <t>COM DESONERAÇÃO</t>
  </si>
  <si>
    <t>8.1</t>
  </si>
  <si>
    <t>PONTALETE DE MADEIRA NAO APARELHADA *7,5 X 7,5* CM (3 X 3 ") PINUS, MISTA OU EQUIVALENTE DA REGIAO</t>
  </si>
  <si>
    <t xml:space="preserve">PREGO DE ACO POLIDO COM CABECA 18 X 27 (2 1/2 X 10)  </t>
  </si>
  <si>
    <t>AJUDANTE DE CARPINTEIRO COM ENCARGOS COMPLEMENTARES</t>
  </si>
  <si>
    <t>SERRA CIRCULAR DE BANCADA COM MOTOR ELÉTRICO POTÊNCIA DE 5HP, COM COIFA PARA DISCO 10" - CHP DIURNO. AF_08/2015</t>
  </si>
  <si>
    <t>SERRA CIRCULAR DE BANCADA COM MOTOR ELÉTRICO POTÊNCIA DE 5HP, COM COIFA PARA DISCO 10" - CHI DIURNO. AF_08/2015</t>
  </si>
  <si>
    <t>VIGA DE MADEIRA NAO APARELHADA 6 X 12 CM, MACARANDUBA, ANGELIM OU EQUIVALENTE DA REGIAO</t>
  </si>
  <si>
    <t>GUINCHO ELÉTRICO DE COLUNA, CAPACIDADE 400 KG, COM MOTO FREIO, MOTOR TRIFÁSICO DE 1,25 CV - CHP DIURNO. AF_03/2016</t>
  </si>
  <si>
    <t>GUINCHO ELÉTRICO DE COLUNA, CAPACIDADE 400 KG, COM MOTO FREIO, MOTOR TRIFÁSICO DE 1,25 CV - CHI DIURNO. AF_03/2016</t>
  </si>
  <si>
    <t>CONJUNTO ARRUELAS DE VEDACAO 5/16" PARA TELHA FIBROCIMENTO (UMA ARRUELA METALICA E UMA ARRUELA PVC - CONICAS)</t>
  </si>
  <si>
    <t>CJ</t>
  </si>
  <si>
    <t>PARAFUSO ZINCADO ROSCA SOBERBA, CABECA SEXTAVADA, 5/16 " X 250 MM, PARA FIXACAO DE TELHA EM MADEIRA</t>
  </si>
  <si>
    <t>TELHADISTA COM ENCARGOS COMPLEMENTARES</t>
  </si>
  <si>
    <t>ESPACADOR / DISTANCIADOR CIRCULAR COM ENTRADA LATERAL, EM PLASTICO, PARA VERGALHAO *4,2 A 12,5* MM, COBRIMENTO 20 MM</t>
  </si>
  <si>
    <t xml:space="preserve">PINO DE ACO COM FURO, HASTE = 27 MM (ACAO DIRETA)  </t>
  </si>
  <si>
    <t>CENTO</t>
  </si>
  <si>
    <t>ARGAMASSA TRAÇO 1:2:8 (CIMENTO, CAL E AREIA MÉDIA) PARA EMBOÇO/MASSA ÚNICA/ASSENTAMENTO DE ALVENARIA DE VEDAÇÃO, PREPARO MANUAL. AF_06/2014</t>
  </si>
  <si>
    <t xml:space="preserve">SELANTE ELASTICO MONOCOMPONENTE A BASE DE POLIURETANO PARA JUNTAS DIVERSAS  </t>
  </si>
  <si>
    <t>310ML</t>
  </si>
  <si>
    <t xml:space="preserve">ADESIVO PLASTICO PARA PVC, FRASCO COM 850 GR  </t>
  </si>
  <si>
    <t xml:space="preserve">SOLUCAO LIMPADORA PARA PVC, FRASCO COM 1000 CM3  </t>
  </si>
  <si>
    <t xml:space="preserve">LIXA D'AGUA EM FOLHA, GRAO 100 </t>
  </si>
  <si>
    <t>AUXILIAR DE ENCANADOR OU BOMBEIRO HIDRÁULICO COM ENCARGOS COMPLEMENTARES</t>
  </si>
  <si>
    <t>ENCANADOR OU BOMBEIRO HIDRÁULICO COM ENCARGOS COMPLEMENTARES</t>
  </si>
  <si>
    <t xml:space="preserve">REBITE DE ALUMINIO VAZADO DE REPUXO, 3,2 X 8 MM (1KG = 1025 UNIDADES)  </t>
  </si>
  <si>
    <t>SOLDA EM BARRA DE ESTANHO-CHUMBO 50/50</t>
  </si>
  <si>
    <t>ARGAMASSA TRAÇO 1:2:8 (CIMENTO, CAL E AREIA MÉDIA) PARA EMBOÇO/MASSA ÚNICA/ASSENTAMENTO DE ALVENARIA DE VEDAÇÃO, PREPARO MECÂNICO COM BETONEIRA 400 L. AF_06/2014</t>
  </si>
  <si>
    <t xml:space="preserve">REJUNTE COLORIDO, CIMENTICIO  </t>
  </si>
  <si>
    <t>AZULEJISTA OU LADRILHISTA COM ENCARGOS COMPLEMENTARES</t>
  </si>
  <si>
    <t xml:space="preserve">ARGAMASSA COLANTE AC I PARA CERAMICAS  </t>
  </si>
  <si>
    <t>PINTOR COM ENCARGOS COMPLEMENTARES</t>
  </si>
  <si>
    <t>ESQUADRIAS</t>
  </si>
  <si>
    <t>9.1</t>
  </si>
  <si>
    <t xml:space="preserve">ACIDO MURIATICO, DILUICAO 10% A 12% PARA USO EM LIMPEZA  </t>
  </si>
  <si>
    <t>PRÓPRIO</t>
  </si>
  <si>
    <t>COTAÇÃO</t>
  </si>
  <si>
    <t>***</t>
  </si>
  <si>
    <t>10.1</t>
  </si>
  <si>
    <t>10.2</t>
  </si>
  <si>
    <t>10.3</t>
  </si>
  <si>
    <t>10.4</t>
  </si>
  <si>
    <t>COD. SINAPI</t>
  </si>
  <si>
    <t>SERVIÇO</t>
  </si>
  <si>
    <t>UND.</t>
  </si>
  <si>
    <t>QUANT.</t>
  </si>
  <si>
    <t>P. UNIT.</t>
  </si>
  <si>
    <t>P. UNIT. EMPRESA</t>
  </si>
  <si>
    <t>P. TOTAL</t>
  </si>
  <si>
    <t>74077/3</t>
  </si>
  <si>
    <t>LOCACAO CONVENCIONAL DE OBRA, ATRAVÉS DE GABARITO DE TABUAS CORRIDAS PONTALETADAS, COM REAPROVEITAMENTO DE 3 VEZES.</t>
  </si>
  <si>
    <t>FUNDAÇÕES</t>
  </si>
  <si>
    <t>ESCAVAÇÃO MANUAL DE VALA COM PROFUNDIDADE MENOR OU IGUAL A 1,30 M. AF_ 03/2016</t>
  </si>
  <si>
    <t>CONCRETO CICLOPICO FCK=10MPA 30% PEDRA DE MAO INCLUSIVE LANCAMENTO</t>
  </si>
  <si>
    <t>SUBTOTAL DO ITEM 2.0</t>
  </si>
  <si>
    <t>ALVENARIA</t>
  </si>
  <si>
    <t>ALVENARIA DE VEDAÇÃO DE BLOCOS CERÂMICOS FURADOS NA HORIZONTAL DE 11,5X19X19CM (ESPESSURA 11,5M) DE PAREDES COM ÁREA LÍQUIDA MAIOR OU IGUAL A 6M² SEM VÃOS E ARGAMASSA DE ASSENTAMENTO COM PREPARO MANUAL. AF_06/2014</t>
  </si>
  <si>
    <t>COBOGO CERAMICO (ELEMENTO VAZADO), 9X20X20CM, ASSENTADO COM ARGAMASSA TRACO 1:4 DE CIMENTO E AREIA</t>
  </si>
  <si>
    <t>SUBTOTAL DO ITEM 3.0</t>
  </si>
  <si>
    <t>REVESTIMENTO</t>
  </si>
  <si>
    <t>CHAPISCO APLICADO EM ALVENARIAS E ESTRUTURAS DE CONCRETO INTERNAS, COM COLHER DE PEDREIRO. ARGAMASSA TRAÇO 1:3 COM PREPARO COM PREPARO MANUAL. AF_06/2014</t>
  </si>
  <si>
    <t>MASSA ÚNICA, PARA RECEBIMENTO DE PINTURA, EM ARGAMASSA TRAÇO 1:2:8, PREPARO MANUAL, APLICADA MANUALMENTE EM FACES INTERNAS DE PAREDES, ESPESSURA DE 20MM, COM EXECUÇÃO DE TALISCAS. AF_06/2014</t>
  </si>
  <si>
    <t>EMBOÇO OU MASSA ÚNICA EM ARGAMASSA TRAÇO 1:2:8, PREPARO MANUAL, APLICADA MANUALMENTE EM PANOS DE FACHADA COM PRESENÇA DE VÃOS, ESPESSURA DE 25 MM. AF_06/2014</t>
  </si>
  <si>
    <t>REVESTIMENTO CERÂMICO PARA PISO COM PLACAS TIPO ESMALTADA EXTRA DE DIMENSÕES 45X45 CM APLICADA EM AMBIENTES DE ÁREA MAIOR QUE 10 M2. AF_06/2014</t>
  </si>
  <si>
    <t>SUBTOTAL DO ITEM 4.0</t>
  </si>
  <si>
    <t>REATERRO MANUAL APILOADO COM SOQUETE. AF_10/2017 (Aterro interno)</t>
  </si>
  <si>
    <t>CONTRAPISO EM ARGAMASSA TRAÇO 1:4 (CIMENTO E AREIA), PREPARO MANUAL, APLICADO EM ÁREAS MOLHADAS SOBRE IMPERMEABILIZAÇÃO, ESPESSURA 3CM. AF_06/2014</t>
  </si>
  <si>
    <t>EXECUÇÃO DE PASSEIO (CALÇADA) OU PISO DE CONCRETO COM CONCRETO MOLDADO IN LOCO, FEITO EM OBRA, ACABAMENTO CONVENCIONAL, NÃO ARMADO. AF_07/2016</t>
  </si>
  <si>
    <t>SUBTOTAL DO ITEM 5.0</t>
  </si>
  <si>
    <t>COBERTURA</t>
  </si>
  <si>
    <t>ESTRUTURA E TELHAMENTO</t>
  </si>
  <si>
    <t>COMPOSIÇÃO 01</t>
  </si>
  <si>
    <t>TRAMA DE MADEIRA COMPOSTA POR TERÇAS PARA TELHADOS DE ATÉ 2 ÁGUAS PARA TELHA ONDULADA DE FIBROCIMENTO.</t>
  </si>
  <si>
    <t>COMPOSIÇÃO 02</t>
  </si>
  <si>
    <t>TELHAMENTO COM TELHA ONDULADA DE FIBROCIMENTO E = 6 MM, COM RECOBRIMENTO LATERAL DE 1/4 DE ONDA, COM ATÉ 2 ÁGUAS</t>
  </si>
  <si>
    <t>LAJE DA CAIXA D'ÁGUA</t>
  </si>
  <si>
    <t>ARMAÇÃO DE LAJE DE UMA ESTRUTURA CONVENCIONAL DE CONCRETO ARMADO EM UMA EDIFICAÇÃO TÉRREA OU SOBRADO UTILIZANDO AÇO CA-50 DE 6,3 MM - MONTAGEM. AF_12/2015</t>
  </si>
  <si>
    <t>6.2.2</t>
  </si>
  <si>
    <t>CONCRETO FCK = 15MPA, TRAÇO 1:3,4:3,5 (CIMENTO/ AREIA MÉDIA/ BRITA 1)  - PREPARO MANUAL. AF_07/2016 (TAMPA DA CAIXA)</t>
  </si>
  <si>
    <t>6.2.3</t>
  </si>
  <si>
    <t>FABRICAÇÃO DE FÔRMA PARA LAJES, EM MADEIRA SERRADA, E=25 MM. AF_12/2015</t>
  </si>
  <si>
    <t>RUFO</t>
  </si>
  <si>
    <t>RUFO EM CHAPA DE AÇO GALVANIZADO NÚMERO 24, CORTE DE 25 CM, INCLUSO TRANSPORTE VERTICAL. AF_06/2016</t>
  </si>
  <si>
    <t>SUBTOTAL DO ITEM 6.0</t>
  </si>
  <si>
    <t>PORTA EM ALUMÍNIO DE ABRIR TIPO VENEZIANA COM GUARNIÇÃO, FIXAÇÃO COM PARAFUSOS - FORNECIMENTO E INSTALAÇÃO. AF_08/2015</t>
  </si>
  <si>
    <t>SUBTOTAL DO ITEM 7.0</t>
  </si>
  <si>
    <t>8.0</t>
  </si>
  <si>
    <t>PINTURA</t>
  </si>
  <si>
    <t xml:space="preserve"> APLICAÇÃO MANUAL DE PINTURA COM TINTA LÁTEX PVA EM PAREDES, DUAS DEMÃOS</t>
  </si>
  <si>
    <t>SUBTOTAL DO ITEM 8.0</t>
  </si>
  <si>
    <t>9.0</t>
  </si>
  <si>
    <t>INTERLIGAÇÃO A REDE EXISTENTE - ENTRADA DE ÁGUA NA CAIXA</t>
  </si>
  <si>
    <t>TUBO, PVC, SOLDÁVEL, DN 20MM, INSTALADO EM RAMAL DE DISTRIBUIÇÃO DE ÁGUA - FORNECIMENTO E INSTALAÇÃO.</t>
  </si>
  <si>
    <t>9.2</t>
  </si>
  <si>
    <t>JOELHO 90 GRAUS, PVC, SOLDÁVEL, DN 20MM, INSTALADO EM RAMAL OU SUB-RAMAL DE ÁGUA - FORNECIMENTO E INSTALAÇÃO.</t>
  </si>
  <si>
    <t>9.3</t>
  </si>
  <si>
    <t>ADAPTADOR COM FLANGE E ANEL DE VEDAÇÃO, PVC, SOLDÁVEL, DN 20 MM X 1/2  , INSTALADO EM RESERVAÇÃO DE ÁGUA DE EDIFICAÇÃO QUE POSSUA RESERVATÓRIO DE FIBRA/FIBROCIMENTO FORNECIMENTO E INSTALAÇÃO. AF_06/2016</t>
  </si>
  <si>
    <t>9.4</t>
  </si>
  <si>
    <t>INSUMO - 11673</t>
  </si>
  <si>
    <t>REGISTRO DE ESFERA, PVC, COM VOLANTE, VS, SOLDAVEL, DN 20 MM, COM CORPO DIVIDIDO</t>
  </si>
  <si>
    <t>SUBTOTAL DO ITEM 9.0</t>
  </si>
  <si>
    <t>10.0</t>
  </si>
  <si>
    <t>INSTALAÇÕES HIDRÁULICAS - DESCIDA E DISTRIBUIÇÃO/LIMPEZA/EXTRAVASOR</t>
  </si>
  <si>
    <t>TUBO, PVC, SOLDÁVEL, DN 25MM, INSTALADO EM PRUMADA DE ÁGUA - FORNECIMENTO E INSTALAÇÃO.</t>
  </si>
  <si>
    <t>TUBO, PVC, SOLDÁVEL, DN 20MM, INSTALADO EM RAMAL DE DISTRIBUIÇÃO DE ÁGUA - FORNECIMENTO E INSTALAÇÃO</t>
  </si>
  <si>
    <t>TE, PVC, SOLDÁVEL, DN 20MM, INSTALADO EM RAMAL OU SUB-RAMAL DE ÁGUA -FORNECIMENTO E INSTALAÇÃO.</t>
  </si>
  <si>
    <t>TE, PVC, SOLDÁVEL, DN 25MM, INSTALADO EM RAMAL OU SUB-RAMAL DE ÁGUA -FORNECIMENTO E INSTALAÇÃO. AF_12/2014_P</t>
  </si>
  <si>
    <t>10.5</t>
  </si>
  <si>
    <t>JOELHO 90 GRAUS, PVC, SOLDÁVEL, DN 25MM, INSTALADO EM PRUMADA DE ÁGUA- FORNECIMENTO E INSTALAÇÃO</t>
  </si>
  <si>
    <t>10.6</t>
  </si>
  <si>
    <t>JOELHO 90 GRAUS, PVC, SOLDÁVEL, DN 20MM, INSTALADO EM RAMAL DE DISTRIBUIÇÃO DE ÁGUA - FORNECIMENTO E INSTALAÇÃO.</t>
  </si>
  <si>
    <t>10.7</t>
  </si>
  <si>
    <t>INSUMO - 3515</t>
  </si>
  <si>
    <t>JOELHO PVC SOLD 90G C/BUCHA DE LATAO 20MM X 1/2" PARA AGUA FRIA PREDIAL</t>
  </si>
  <si>
    <t>10.8</t>
  </si>
  <si>
    <t xml:space="preserve"> LUVA DE REDUÇÃO, PVC, SOLDÁVEL, DN 25MM X 20MM, INSTALADO EM RAMAL OU SUB-RAMAL DE ÁGUA - FORNECIMENTO E INSTALAÇÃO.</t>
  </si>
  <si>
    <t>10.9</t>
  </si>
  <si>
    <t>ADAPTADOR COM FLANGES LIVRES, PVC, SOLDÁVEL LONGO, DN 25 MM X 3/4 , I NSTALADO EM RESERVAÇÃO DE ÁGUA DE EDIFICAÇÃO QUE POSSUA RESERVATÓRIO DE FIBRA/FIBROCIMENTO FORNECIMENTO E INSTALAÇÃO. AF_06/2016</t>
  </si>
  <si>
    <t>10.10</t>
  </si>
  <si>
    <t>INSUMO - 11674</t>
  </si>
  <si>
    <t>REGISTRO DE ESFERA, PVC, COM VOLANTE, VS, SOLDAVEL, DN 25 MM, COM CORPO DIVIDIDO</t>
  </si>
  <si>
    <t>10.11</t>
  </si>
  <si>
    <t>INSUMO - 6038</t>
  </si>
  <si>
    <t xml:space="preserve">REGISTRO DE PRESSAO PVC, ROSCAVEL, VOLANTE SIMPLES, DE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</si>
  <si>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10.12</t>
  </si>
  <si>
    <t>INSUMO - 11829</t>
  </si>
  <si>
    <t>TORNEIRA METALICA DE BOIA CONVENCIONAL PARA CAIXA D'AGUA, 1/2", COM HASTE METALICA E BALAO PLASTICO</t>
  </si>
  <si>
    <t>10.13</t>
  </si>
  <si>
    <t>TÊ COM BUCHA DE LATÃO NA BOLSA CENTRAL, PVC, SOLDÁVEL, DN 20MM X 1/2", INSTALADO EM RAMAL OU SUB-RAMAL DE ÁGUA - FORNECIMENTO E INSTALAÇÃO.</t>
  </si>
  <si>
    <t>10.14</t>
  </si>
  <si>
    <t>INSUMOO - 3148</t>
  </si>
  <si>
    <t>FITA VEDA ROSCA EM ROLOS DE 18 MM X 50 M (L X C)</t>
  </si>
  <si>
    <t>SUBTOTAL DO ITEM 10.0</t>
  </si>
  <si>
    <t>11.0</t>
  </si>
  <si>
    <t>LOUÇAS E ACESSÓRIOS</t>
  </si>
  <si>
    <t>11.1</t>
  </si>
  <si>
    <t>INSUMO - 36790</t>
  </si>
  <si>
    <t>TANQUE DUPLO EM MARMORE SINTETICO COM CUBA LISA E ESFREGADOR, *110 X 60* CM</t>
  </si>
  <si>
    <t>11.2</t>
  </si>
  <si>
    <t>LAVATÓRIO LOUÇA BRANCA COM COLUNA, *44 X 35,5* CM, PADRÃO POPULAR, INCLUSO SIFÃO FLEXÍVEL EM PVC, VÁLVULA E ENGATE FLEXÍVEL 30CM EM PLÁSTICO E COM TORNEIRA CROMADA PADRÃO POPULAR - FORNECIMENTO E INSTALAÇÃO. AF_12/2013</t>
  </si>
  <si>
    <t>11.3</t>
  </si>
  <si>
    <t>VASO SANITARIO SIFONADO CONVENCIONAL COM LOUÇA BRANCA - FORNECIMENTO E INSTALAÇÃO. AF_10/2016</t>
  </si>
  <si>
    <t>11.4</t>
  </si>
  <si>
    <t>INSUMO - 00377</t>
  </si>
  <si>
    <t>ASSENTO SANITARIO DE PLASTICO, TIPO CONVENCIONAL</t>
  </si>
  <si>
    <t>11.5</t>
  </si>
  <si>
    <t>INSUMO - 1030</t>
  </si>
  <si>
    <t>CAIXA DE DESCARGA DE PLASTICO EXTERNA, DE *9* L, PUXADOR FIO DE NYLON, NAO INCLUSO CANO, BOLSA, ENGATE</t>
  </si>
  <si>
    <t>11.6</t>
  </si>
  <si>
    <t>INSUMO - 1031</t>
  </si>
  <si>
    <t>TUBO DE DESCIDA EXTERNO DE PVC PARA CAIXA DE DESCARGA EXTERNA ALTA - 40 MM X 1,60 M</t>
  </si>
  <si>
    <t>11.7</t>
  </si>
  <si>
    <t>INSUMO - 11681</t>
  </si>
  <si>
    <t>ENGATE/RABICHO FLEXIVEL PLASTICO (PVC OU ABS) BRANCO 1/2 " X 40 CM</t>
  </si>
  <si>
    <t>11.8</t>
  </si>
  <si>
    <t>INSUMO - 6140</t>
  </si>
  <si>
    <t>BOLSA DE LIGACAO EM PVC FLEXIVEL PARA VASO SANITARIO 1.1/2 " (40 MM)</t>
  </si>
  <si>
    <t>11.9</t>
  </si>
  <si>
    <t>SABONETEIRA DE PAREDE EM METAL CROMADO, INCLUSO FIXAÇÃO. AF_10/2016</t>
  </si>
  <si>
    <t>11.10</t>
  </si>
  <si>
    <t>PAPELEIRA DE PAREDE EM METAL CROMADO SEM TAMPA, INCLUSO FIXAÇÃO. AF_10/2016</t>
  </si>
  <si>
    <t>11.11</t>
  </si>
  <si>
    <t>INSUMO - 11680</t>
  </si>
  <si>
    <t>BRACO OU HASTE COM CANOPLA PLASTICA, 1/2", PARA CHUVEIRO SIMPLES</t>
  </si>
  <si>
    <t>11.12</t>
  </si>
  <si>
    <t>INSUMO - 7608</t>
  </si>
  <si>
    <t>CHUVEIRO PLASTICO BRANCO SIMPLES 5 '' PARA ACOPLAR EM HASTE 1/2 ", AGUA FRIA</t>
  </si>
  <si>
    <t>11.13</t>
  </si>
  <si>
    <t>TORNEIRA CROMADA 1/2" OU 3/4" PARA TANQUE, PADRÃO MÉDIO - FORNECIMENTO E INSTALAÇÃO. AF_12/2013</t>
  </si>
  <si>
    <t>11.14</t>
  </si>
  <si>
    <t>INSUMO - 34637</t>
  </si>
  <si>
    <t>CAIXA D'AGUA EM POLIETILENO 500 LITROS, COM TAMPA</t>
  </si>
  <si>
    <t>SUBTOTAL DO ITEM 11.0</t>
  </si>
  <si>
    <t>12.0</t>
  </si>
  <si>
    <t>INSTALAÇÕES SANITÁRIAS</t>
  </si>
  <si>
    <t>12.1</t>
  </si>
  <si>
    <t xml:space="preserve"> TUBO PVC, SERIE NORMAL, ESGOTO PREDIAL, DN 100 MM, FORNECIDO E INSTALADO EM RAMAL DE DESCARGA OU RAMAL DE ESGOTO SANITÁRIO. </t>
  </si>
  <si>
    <t>12.2</t>
  </si>
  <si>
    <t xml:space="preserve"> TUBO PVC, SERIE NORMAL, ESGOTO PREDIAL, DN 50 MM, FORNECIDO E INSTALADO EM PRUMADA DE ESGOTO SANITÁRIO OU VENTILAÇÃO. </t>
  </si>
  <si>
    <t>12.3</t>
  </si>
  <si>
    <t xml:space="preserve"> TUBO PVC, SERIE NORMAL, ESGOTO PREDIAL, DN 40 MM, FORNECIDO E INSTALADO EM RAMAL DE DESCARGA OU RAMAL DE ESGOTO SANITÁRIO. </t>
  </si>
  <si>
    <t>12.4</t>
  </si>
  <si>
    <t>JOELHO 90 GRAUS, PVC, SERIE NORMAL, ESGOTO PREDIAL, DN 100 MM, JUNTA ELÁSTICA, FORNECIDO E INSTALADO EM RAMAL DE DESCARGA OU RAMAL DE ESGOTO SANITÁRIO.</t>
  </si>
  <si>
    <t>12.5</t>
  </si>
  <si>
    <t xml:space="preserve"> JOELHO 90 GRAUS, PVC, SERIE NORMAL, ESGOTO PREDIAL, DN 50 MM, JUNTA ELÁSTICA, FORNECIDO E INSTALADO EM RAMAL DE DESCARGA OU RAMAL DE ESGOTO SANITÁRIO.</t>
  </si>
  <si>
    <t>12.6</t>
  </si>
  <si>
    <t xml:space="preserve">JOELHO 45 GRAUS, PVC, SERIE NORMAL, ESGOTO PREDIAL, DN 50 MM, JUNTA ELÁSTICA, FORNECIDO E INSTALADO EM RAMAL DE DESCARGA OU RAMAL DE ESGOTO SANITÁRIO. </t>
  </si>
  <si>
    <t>12.7</t>
  </si>
  <si>
    <t xml:space="preserve"> JOELHO 90 GRAUS, PVC, SERIE NORMAL, ESGOTO PREDIAL, DN 40 MM, JUNTA SOLDÁVEL, FORNECIDO E INSTALADO EM RAMAL DE DESCARGA OU RAMAL DE ESGOTO SANITÁRIO.</t>
  </si>
  <si>
    <t>12.8</t>
  </si>
  <si>
    <t xml:space="preserve"> JOELHO 45 GRAUS, PVC, SERIE NORMAL, ESGOTO PREDIAL, DN 40 MM, JUNTA SOLDÁVEL, FORNECIDO E INSTALADO EM RAMAL DE DESCARGA OU RAMAL DE ESGOTO  SANITARIO.</t>
  </si>
  <si>
    <t>12.9</t>
  </si>
  <si>
    <t>TE, PVC, SERIE NORMAL, ESGOTO PREDIAL, DN 100 X 100 MM, JUNTA ELÁSTICA, FORNECIDO E INSTALADO EM RAMAL DE DESCARGA OU RAMAL DE ESGOTO SANITÁRIO</t>
  </si>
  <si>
    <t>12.11</t>
  </si>
  <si>
    <t>CAIXA DE INSPEÇÃO 40X40X40CM</t>
  </si>
  <si>
    <t>12.11.1</t>
  </si>
  <si>
    <t>INFRAESTRUTURA</t>
  </si>
  <si>
    <t>12.11.1.1</t>
  </si>
  <si>
    <t>ESCAVAÇÃO MANUAL DE VALAS. AF_03/2016</t>
  </si>
  <si>
    <t>12.11.1.2</t>
  </si>
  <si>
    <t>ALVENARIA DE VEDAÇÃO DE BLOCOS CERÂMICOS FURADOS NA HORIZONTAL DE 11,5X19X19CM (ESPESSURA 11,5CM) DE PAREDES COM ÁREA LÍQUIDA MAIOR OU IGUAL A 6M² SEM VÃOS E ARGAMASSA DE ASSENTAMENTO COM PREPARO MANUAL. AF_06/2014</t>
  </si>
  <si>
    <t>12.11.1.3</t>
  </si>
  <si>
    <t>MASSA ÚNICA, PARA RECEBIMENTO DE PINTURA, EM ARGAMASSA TRAÇO 1:2:8, PREPARO MECÂNICO COM BETONEIRA 400L, APLICADA MANUALMENTE EM FACES INTERNAS DE PAREDES, ESPESSURA DE 10MM, COM EXECUÇÃO DE TALISCAS. AF_06/2014 - REBOCO</t>
  </si>
  <si>
    <t>12.11.1.4</t>
  </si>
  <si>
    <t>CONCRETO CICLOPICO FCK=10MPA 30% PEDRA DE MAO INCLUSIVE LANCAMENTO (FUNDO DA CAIXA)</t>
  </si>
  <si>
    <t>12.11.1.5</t>
  </si>
  <si>
    <t>CONCRETO MAGRO PARA LASTRO, TRAÇO 1:4,5:4,5 (CIMENTO/ AREIA MÉDIA/ BRITA 1) - PREPARO MANUAL. AF_07/2016 (FUNDO DA CAIXA)</t>
  </si>
  <si>
    <t>12.11.2</t>
  </si>
  <si>
    <t>TAMPA</t>
  </si>
  <si>
    <t>12.11.2.1</t>
  </si>
  <si>
    <t>12.11.2.2</t>
  </si>
  <si>
    <t>12.11.2.3</t>
  </si>
  <si>
    <t>ARMAÇÃO DE LAJE DE UMA ESTRUTURA CONVENCIONAL DE CONCRETO ARMADO EM UMA EDIFICAÇÃO TÉRREA OU SOBRADO UTILIZANDO AÇO CA-50 DE 6,3 MM - MONTAGEM. AF_12/2015 (TAMPA DA CAIXA)</t>
  </si>
  <si>
    <t>12.11.2.4</t>
  </si>
  <si>
    <t>COMPOSIÇÃO 03</t>
  </si>
  <si>
    <t>ALÇAS DE AÇO</t>
  </si>
  <si>
    <t>12.12</t>
  </si>
  <si>
    <t>CAIXA DE GORDURA 40X40X40CM</t>
  </si>
  <si>
    <t>12.12.1</t>
  </si>
  <si>
    <t>12.12.1.1</t>
  </si>
  <si>
    <t>12.12.1.2</t>
  </si>
  <si>
    <t>12.12.1.3</t>
  </si>
  <si>
    <t>12.12.1.4</t>
  </si>
  <si>
    <t>12.12.1.5</t>
  </si>
  <si>
    <t>12.12.2</t>
  </si>
  <si>
    <t>12.12.2.1</t>
  </si>
  <si>
    <t>FABRICAÇÃO DE FÔRMA PARA LAJES, EM CHAPA DE MADEIRA COMPENSADA RESINADA, E = 17 MM. AF_12/2015</t>
  </si>
  <si>
    <t>12.12.2.2</t>
  </si>
  <si>
    <t>12.12.2.3</t>
  </si>
  <si>
    <t>12.12.2.4</t>
  </si>
  <si>
    <t>12.13</t>
  </si>
  <si>
    <t>CAIXA SIFONADA, PVC, DN 100 X 100 X 50 MM, FORNECIDA E INSTALADA EM RA MAIS DE ENCAMINHAMENTO DE ÁGUA PLUVIAL. AF_12/2014_P</t>
  </si>
  <si>
    <t>SUBTOTAL DO ITEM 12.0</t>
  </si>
  <si>
    <t>13.0</t>
  </si>
  <si>
    <t>FOSSA SÉPTICA</t>
  </si>
  <si>
    <t>13.1</t>
  </si>
  <si>
    <t>13.1.1</t>
  </si>
  <si>
    <t>13.1.2</t>
  </si>
  <si>
    <t>13.1.3</t>
  </si>
  <si>
    <t>CHAPISCO APLICADO EM ALVENARIAS E ESTRUTURAS DE CONCRETO INTERNAS, COM COLHER DE PEDREIRO.  ARGAMASSA TRAÇO 1:3 COM PREPARO MANUAL. AF_06/2014</t>
  </si>
  <si>
    <t>13.1.4</t>
  </si>
  <si>
    <t>13.1.5</t>
  </si>
  <si>
    <t>13.1.6</t>
  </si>
  <si>
    <t>13.2</t>
  </si>
  <si>
    <t>13.2.1</t>
  </si>
  <si>
    <t>13.2.2</t>
  </si>
  <si>
    <t>13.2.3</t>
  </si>
  <si>
    <t>13.2.4</t>
  </si>
  <si>
    <t>SUBTOTAL DO ITEM 13.0</t>
  </si>
  <si>
    <t>14.0</t>
  </si>
  <si>
    <t>FILTRO ANAEROBICO</t>
  </si>
  <si>
    <t>14.1</t>
  </si>
  <si>
    <t>14.1.1</t>
  </si>
  <si>
    <t>14.1.2</t>
  </si>
  <si>
    <t>INSUMO - 4721</t>
  </si>
  <si>
    <t>PEDRA BRITADA N. 1 (9,5 a 19 MM) POSTO PEDREIRA/FORNECEDOR, SEM FRETE</t>
  </si>
  <si>
    <t>14.1.3</t>
  </si>
  <si>
    <t>ALVENARIA DE VEDAÇÃO DE BLOCOS CERÂMICOS FURADOS NA HORIZONTAL DE 11,5X19X19CM (ESPESSURA 11,5 CM) DE PAREDES COM ÁREA LÍQUIDA MAIOR OU IGUAL A 6M² SEM VÃOS E ARGAMASSA DE ASSENTAMENTO COM PREPARO MANUAL. AF_06/2014</t>
  </si>
  <si>
    <t>14.1.4</t>
  </si>
  <si>
    <t>14.1.5</t>
  </si>
  <si>
    <t>MASSA ÚNICA, PARA RECEBIMENTO DE PINTURA, EM ARGAMASSA TRAÇO 1:2:8, PREPARO MANUAL, APLICADA MANUALMENTE EM FACES INTERNAS DE PAREDES, ESPESSURA DE 20MM, COM EXECUÇÃO DE TALISCAS. AF_06/2014 - REBOCO</t>
  </si>
  <si>
    <t>14.1.6</t>
  </si>
  <si>
    <t>ARMAÇÃO DE LAJE DE UMA ESTRUTURA CONVENCIONAL DE CONCRETO ARMADO EM UMA EDIFICAÇÃO TÉRREA OU SOBRADO UTILIZANDO AÇO CA-50 DE 6,3 MM - MONTAGEM. AF_12/2015 (FUNDO FALSO)</t>
  </si>
  <si>
    <t>14.1.7</t>
  </si>
  <si>
    <t>14.1.8</t>
  </si>
  <si>
    <t>CONCRETO FCK = 15MPA, TRAÇO 1:3,4:3,5 (CIMENTO/ AREIA MÉDIA/ BRITA 1)  - PREPARO MANUAL. AF_07/2016 (FUNDO FALSO)</t>
  </si>
  <si>
    <t>14.1.9</t>
  </si>
  <si>
    <t>CONCRETO CICLOPICO FCK=10MPA 30% PEDRA DE MAO INCLUSIVE LANCAMENTO (FUNDO)</t>
  </si>
  <si>
    <t>14.1.10</t>
  </si>
  <si>
    <t>CONCRETO MAGRO PARA LASTRO, TRAÇO 1:4,5:4,5 (CIMENTO/ AREIA MÉDIA/ BRITA 1) - PREPARO MANUAL. AF_07/2016 (FUNDO)</t>
  </si>
  <si>
    <t>14.2</t>
  </si>
  <si>
    <t>14.2.1</t>
  </si>
  <si>
    <t>14.2.2</t>
  </si>
  <si>
    <t>14.2.3</t>
  </si>
  <si>
    <t>14.2.4</t>
  </si>
  <si>
    <t>SUBTOTAL DO ITEM 14.0</t>
  </si>
  <si>
    <t>15.0</t>
  </si>
  <si>
    <t>SUMIDOURO</t>
  </si>
  <si>
    <t>15.1</t>
  </si>
  <si>
    <t>15.1.1</t>
  </si>
  <si>
    <t>15.1.2</t>
  </si>
  <si>
    <t>15.1.3</t>
  </si>
  <si>
    <t>15.2</t>
  </si>
  <si>
    <t>15.2.1</t>
  </si>
  <si>
    <t>15.2.2</t>
  </si>
  <si>
    <t>15.2.3</t>
  </si>
  <si>
    <t>SUBTOTAL DO ITEM 15.0</t>
  </si>
  <si>
    <t>16.0</t>
  </si>
  <si>
    <t>INSTALAÇÕES ELÉTRICAS</t>
  </si>
  <si>
    <t>16.1</t>
  </si>
  <si>
    <t>INTERRUPTOR PARALELO (1 MÓDULO) COM 1 TOMADA DE EMBUTIR 2P+T 10 A,  INCLUINDO SUPORTE E PLACA - FORNECIMENTO E INSTALAÇÃO. AF_12/2015</t>
  </si>
  <si>
    <t>16.2</t>
  </si>
  <si>
    <t>LÂMPADA FLUORESCENTE COMPACTA 15 W 2U, BASE E27 - FORNECIMENTO E INSTALAÇÃO</t>
  </si>
  <si>
    <t>16.3</t>
  </si>
  <si>
    <t>CABO DE COBRE FLEXÍVEL ISOLADO, 6 MM², ANTI-CHAMA 0,6/1,0 KV, PARA CIRCUITOS TERMINAIS - FORNECIMENTO E INSTALAÇÃO. AF_12/2015</t>
  </si>
  <si>
    <t>16.4</t>
  </si>
  <si>
    <t>ELETRODUTO RÍGIDO ROSCÁVEL, PVC, DN 40 MM (1 1/4"), PARA CIRCUITOS TERMINAIS, INSTALADO EM PAREDE - FORNECIMENTO E INSTALAÇÃO. AF_12/2015</t>
  </si>
  <si>
    <t>16.5</t>
  </si>
  <si>
    <t>INSUMO - 14543</t>
  </si>
  <si>
    <t>SOQUETE DE PVC / TERMOPLASTICO BASE E27, COM CHAVE, PARA LAMPADAS</t>
  </si>
  <si>
    <t xml:space="preserve">UN    </t>
  </si>
  <si>
    <t>SUBTOTAL DO ITEM 16.0</t>
  </si>
  <si>
    <t>17.0</t>
  </si>
  <si>
    <t>17.1</t>
  </si>
  <si>
    <t>LIMPEZA FINAL DA OBRA</t>
  </si>
  <si>
    <t>SUBTOTAL DO ITEM 17.0</t>
  </si>
  <si>
    <t>TOTAL DO MÓDULO</t>
  </si>
  <si>
    <t>B.D.I.</t>
  </si>
  <si>
    <t>TOTAL DO MÓDULO COM B.D.I.</t>
  </si>
  <si>
    <t>TOTAL DO PROJETO (MSD)</t>
  </si>
  <si>
    <t>18.0</t>
  </si>
  <si>
    <t>DIVERSOS</t>
  </si>
  <si>
    <t>18.1</t>
  </si>
  <si>
    <t xml:space="preserve">PLACA DE OBRA EM CHAPA DE ACO GALVANIZADO </t>
  </si>
  <si>
    <t>TOTAL COM B.D.I.</t>
  </si>
  <si>
    <t>VALOR TOTAL DO PROJETO (UNIDADES DE MÓDULOS + PLACA DE OBRA)</t>
  </si>
  <si>
    <t>Construção de 36 Módulos de Melhorias Sanitárias Domiciliares (MSD)</t>
  </si>
  <si>
    <t>Sinapi 09/2018 - Desonerado</t>
  </si>
  <si>
    <t xml:space="preserve">ARAME RECOZIDO 18 BWG, 1,25 MM (0,01 KG/M)  </t>
  </si>
  <si>
    <t>TABUA DE MADEIRA NAO APARELHADA *2,5 X 23* CM (1 x 9 ") PINUS, MISTA OU EQUIVALENTE DA REGIAO</t>
  </si>
  <si>
    <t>PEDRA DE MAO OU PEDRA RACHAO PARA ARRIMO/FUNDACAO (POSTO PEDREIRA/FORNECEDOR, SEM FRETE)</t>
  </si>
  <si>
    <t>VIBRADOR DE IMERSÃO, DIÂMETRO DE PONTEIRA 45MM, MOTOR ELÉTRICO TRIFÁSICO POTÊNCIA DE 2 CV - CHP DIURNO. AF_06/2015</t>
  </si>
  <si>
    <t>VIBRADOR DE IMERSÃO, DIÂMETRO DE PONTEIRA 45MM, MOTOR ELÉTRICO TRIFÁSICO POTÊNCIA DE 2 CV - CHI DIURNO. AF_06/2015</t>
  </si>
  <si>
    <t>TELA DE ACO SOLDADA GALVANIZADA/ZINCADA PARA ALVENARIA, FIO D = *1,20 A 1,70* MM, MALHA 15 X 15 MM, (C X L) *50 X 10,5* CM</t>
  </si>
  <si>
    <t>BLOCO CERAMICO DE VEDACAO COM FUROS NA HORIZONTAL, 11,5 X 19 X 19 CM - 4,5 MPA (NBR 15270)</t>
  </si>
  <si>
    <t xml:space="preserve">AREIA MEDIA - POSTO JAZIDA/FORNECEDOR (RETIRADO NA JAZIDA, SEM TRANSPORTE)  </t>
  </si>
  <si>
    <t xml:space="preserve">CIMENTO PORTLAND COMPOSTO CP II-32  </t>
  </si>
  <si>
    <t>ARGAMASSA TRAÇO 1:3 (CIMENTO E AREIA GROSSA) PARA CHAPISCO CONVENCIONAL, PREPARO MANUAL. AF_06/2014</t>
  </si>
  <si>
    <t>TELA DE ACO SOLDADA GALVANIZADA/ZINCADA PARA ALVENARIA, FIO  D = *1,24 MM, MALHA 25 X 25 MM</t>
  </si>
  <si>
    <t>ARGAMASSA TRAÇO 1:4 (CIMENTO E AREIA MÉDIA) PARA CONTRAPISO, PREPARO MANUAL. AF_06/2014</t>
  </si>
  <si>
    <t>SARRAFO DE MADEIRA NAO APARELHADA *2,5 X 10 CM, MACARANDUBA, ANGELIM OU EQUIVALENTE DA REGIAO</t>
  </si>
  <si>
    <t>SARRAFO DE MADEIRA NAO APARELHADA *2,5 X 7,5* CM (1 X 3 ") PINUS, MISTA OU EQUIVALENTE DA REGIAO</t>
  </si>
  <si>
    <t>CONCRETO FCK = 20MPA, TRAÇO 1:2,7:3 (CIMENTO/ AREIA MÉDIA/ BRITA 1)  - PREPARO MECÂNICO COM BETONEIRA 400 L. AF_07/2016</t>
  </si>
  <si>
    <t>PREGO DE ACO POLIDO COM CABECA 22 X 48 (4 1/4 X 5)</t>
  </si>
  <si>
    <t>TELHA DE FIBROCIMENTO ONDULADA E = 6 MM, DE 2,44 X 1,10 M (SEM AMIANTO)</t>
  </si>
  <si>
    <t>AJUDANTE DE ARMADOR COM ENCARGOS COMPLEMENTARES</t>
  </si>
  <si>
    <t>ARMADOR COM ENCARGOS COMPLEMENTARES</t>
  </si>
  <si>
    <t>CORTE E DOBRA DE AÇO CA-50, DIÂMETRO DE 6,3 MM, UTILIZADO EM LAJE. AF_12/2015</t>
  </si>
  <si>
    <t xml:space="preserve">PEDRA BRITADA N. 1 (9,5 a 19 MM) POSTO PEDREIRA/FORNECEDOR, SEM FRETE  </t>
  </si>
  <si>
    <t>TABUA DE MADEIRA NAO APARELHADA *2,5 X 30* CM, CEDRINHO OU EQUIVALENTE DA REGIAO</t>
  </si>
  <si>
    <t>BUCHA DE NYLON SEM ABA S10, COM PARAFUSO DE 6,10 X 65 MM EM ACO ZINCADO COM ROSCA SOBERBA, CABECA CHATA E FENDA PHILLIPS</t>
  </si>
  <si>
    <t xml:space="preserve">GUARNICAO/MOLDURA DE ACABAMENTO PARA ESQUADRIA DE ALUMINIO ANODIZADO NATURAL, PARA 1 FACE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</si>
  <si>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PORTA DE ABRIR EM ALUMINIO TIPO VENEZIANA, ACABAMENTO ANODIZADO NATURAL, SEM GUARNICAO/ALIZAR/VISTA, 87 X 210 CM</t>
  </si>
  <si>
    <t xml:space="preserve">TINTA LATEX PVA PREMIUM, COR BRANCA  </t>
  </si>
  <si>
    <t xml:space="preserve">TUBO PVC, SOLDAVEL, DN 20 MM, AGUA FRIA (NBR-5648)  </t>
  </si>
  <si>
    <t xml:space="preserve">JOELHO PVC, SOLDAVEL, 90 GRAUS, 20 MM, PARA AGUA FRIA PREDIAL  </t>
  </si>
  <si>
    <t>ADAPTADOR PVC SOLDAVEL, COM FLANGE E ANEL DE VEDACAO, 20 MM X 1/2", PARA CAIXA D'AGUA</t>
  </si>
  <si>
    <t xml:space="preserve">ADESIVO PLASTICO PARA PVC, FRASCO COM 175 GR  </t>
  </si>
  <si>
    <t xml:space="preserve">TUBO PVC, SOLDAVEL, DN 25 MM, AGUA FRIA (NBR-5648)  </t>
  </si>
  <si>
    <t xml:space="preserve">TE SOLDAVEL, PVC, 90 GRAUS, 20 MM, PARA AGUA FRIA PREDIAL (NBR 5648)  </t>
  </si>
  <si>
    <t xml:space="preserve">TE SOLDAVEL, PVC, 90 GRAUS, 25 MM, PARA AGUA FRIA PREDIAL (NBR 5648)  </t>
  </si>
  <si>
    <t xml:space="preserve">JOELHO PVC, SOLDAVEL, 90 GRAUS, 25 MM, PARA AGUA FRIA PREDIAL  </t>
  </si>
  <si>
    <t xml:space="preserve">LUVA DE REDUCAO SOLDAVEL, PVC, 25 MM X 20 MM, PARA AGUA FRIA PREDIAL  </t>
  </si>
  <si>
    <t>ADAPTADOR PVC SOLDAVEL, LONGO, COM FLANGE LIVRE,  25 MM X 3/4", PARA CAIXA D' AGUA</t>
  </si>
  <si>
    <t>TE PVC, SOLDAVEL, COM BUCHA DE LATAO NA BOLSA CENTRAL, 90 GRAUS, 20 MM X 1/2", PARA AGUA FRIA PREDIAL</t>
  </si>
  <si>
    <t>VÁLVULA EM PLÁSTICO 1" PARA PIA, TANQUE OU LAVATÓRIO, COM OU SEM LADRÃO - FORNECIMENTO E INSTALAÇÃO. AF_12/2013</t>
  </si>
  <si>
    <t>SIFÃO DO TIPO FLEXÍVEL EM PVC 1 X 1.1/2 - FORNECIMENTO E INSTALAÇÃO. AF_12/2013</t>
  </si>
  <si>
    <t>ENGATE FLEXÍVEL EM PLÁSTICO BRANCO, 1/2" X 30CM - FORNECIMENTO E INSTALAÇÃO. AF_12/2013</t>
  </si>
  <si>
    <t>LAVATÓRIO LOUÇA BRANCA COM COLUNA, *44 X 35,5* CM, PADRÃO POPULAR - FORNECIMENTO E INSTALAÇÃO. AF_12/2013</t>
  </si>
  <si>
    <t>TORNEIRA CROMADA DE MESA, 1/2" OU 3/4", PARA LAVATÓRIO, PADRÃO POPULAR - FORNECIMENTO E INSTALAÇÃO. AF_12/2013</t>
  </si>
  <si>
    <t>PARAFUSO NIQUELADO COM ACABAMENTO CROMADO PARA FIXAR PECA SANITARIA, INCLUI PORCA CEGA, ARRUELA E BUCHA DE NYLON TAMANHO S-10</t>
  </si>
  <si>
    <t xml:space="preserve">VEDACAO PVC, 100 MM, PARA SAIDA VASO SANITARIO  </t>
  </si>
  <si>
    <t xml:space="preserve">BACIA SANITARIA (VASO) CONVENCIONAL DE LOUCA BRANCA  </t>
  </si>
  <si>
    <t xml:space="preserve">REJUNTE EPOXI BRANCO  </t>
  </si>
  <si>
    <t xml:space="preserve">BOLSA DE LIGACAO EM PVC FLEXIVEL PARA VASO SANITARIO 1.1/2 " (40 MM)  </t>
  </si>
  <si>
    <t xml:space="preserve">SABONETEIRA DE PAREDE EM METAL CROMADO  </t>
  </si>
  <si>
    <t>FIXAÇÃO UTILIZANDO PARAFUSO E BUCHA DE NYLON, SOMENTE MÃO DE OBRA. AF_10/2016</t>
  </si>
  <si>
    <t xml:space="preserve">PAPELEIRA DE PAREDE EM METAL CROMADO SEM TAMPA  </t>
  </si>
  <si>
    <t xml:space="preserve">FITA VEDA ROSCA EM ROLOS DE 18 MM X 10 M (L X C)  </t>
  </si>
  <si>
    <t xml:space="preserve">TORNEIRA CROMADA SEM BICO PARA TANQUE 1/2 " OU 3/4 " (REF 1143)  </t>
  </si>
  <si>
    <t xml:space="preserve">TUBO PVC  SERIE NORMAL, DN 100 MM, PARA ESGOTO  PREDIAL (NBR 5688)  </t>
  </si>
  <si>
    <t xml:space="preserve">TUBO PVC SERIE NORMAL, DN 50 MM, PARA ESGOTO PREDIAL (NBR 5688)  </t>
  </si>
  <si>
    <t xml:space="preserve">TUBO PVC  SERIE NORMAL, DN 40 MM, PARA ESGOTO  PREDIAL (NBR 5688)  </t>
  </si>
  <si>
    <t xml:space="preserve">ANEL BORRACHA PARA TUBO ESGOTO PREDIAL, DN 100 MM (NBR 5688)  </t>
  </si>
  <si>
    <t xml:space="preserve">JOELHO PVC, SOLDAVEL, PB, 90 GRAUS, DN 100 MM, PARA ESGOTO PREDIAL  </t>
  </si>
  <si>
    <t>PASTA LUBRIFICANTE PARA TUBOS E CONEXOES COM JUNTA ELASTICA (USO EM PVC, ACO, POLIETILENO E OUTROS) ( DE *400* G)</t>
  </si>
  <si>
    <t xml:space="preserve">ANEL BORRACHA PARA TUBO ESGOTO PREDIAL DN 50 MM (NBR 5688)  </t>
  </si>
  <si>
    <t xml:space="preserve">JOELHO PVC, SOLDAVEL, PB, 90 GRAUS, DN 50 MM, PARA ESGOTO PREDIAL  </t>
  </si>
  <si>
    <t xml:space="preserve">JOELHO PVC, SOLDAVEL, PB, 45 GRAUS, DN 50 MM, PARA ESGOTO PREDIAL  </t>
  </si>
  <si>
    <t xml:space="preserve">JOELHO PVC, SOLDAVEL, BB, 90 GRAUS, DN 40 MM, PARA ESGOTO PREDIAL  </t>
  </si>
  <si>
    <t xml:space="preserve">JOELHO PVC, SOLDAVEL, BB, 45 GRAUS, DN 40 MM, PARA ESGOTO PREDIAL  </t>
  </si>
  <si>
    <t xml:space="preserve">TE SANITARIO, PVC, DN 100 X 100 MM, SERIE NORMAL, PARA ESGOTO PREDIAL  </t>
  </si>
  <si>
    <t>CHAPA DE MADEIRA COMPENSADA RESINADA PARA FORMA DE CONCRETO, DE *2,2 X 1,1* M, E = 17 MM</t>
  </si>
  <si>
    <t>TUBO PVC, SOLDAVEL, DN 20 MM, AGUA FRIA (NBR-5648)</t>
  </si>
  <si>
    <t>ACO CA-60, 8,0 MM, VERGALHAO</t>
  </si>
  <si>
    <t xml:space="preserve">ANEL BORRACHA, DN 50 MM, PARA TUBO SERIE REFORCADA ESGOTO PREDIAL  </t>
  </si>
  <si>
    <t>AUXILIAR DE ELETRICISTA COM ENCARGOS COMPLEMENTARES</t>
  </si>
  <si>
    <t>CABO DE COBRE, FLEXIVEL, CLASSE 4 OU 5, ISOLACAO EM PVC/A, ANTICHAMA BWF-B, COBERTURA PVC-ST1, ANTICHAMA BWF-B, 1 CONDUTOR, 0,6/1 KV, SECAO NOMINAL 6 MM2</t>
  </si>
  <si>
    <t xml:space="preserve">FITA ISOLANTE ADESIVA ANTICHAMA, USO ATE 750 V, EM ROLO DE 19 MM X 5 M  </t>
  </si>
  <si>
    <t>ELETRICISTA COM ENCARGOS COMPLEMENTARES</t>
  </si>
  <si>
    <t xml:space="preserve">ELETRODUTO DE PVC RIGIDO ROSCAVEL DE 1 1/4 ", SEM LUVA  </t>
  </si>
  <si>
    <t>próprio</t>
  </si>
  <si>
    <t>cotação</t>
  </si>
  <si>
    <t>P. TOTAL EMPRESA</t>
  </si>
  <si>
    <t>MERCADO E Sinapi 09/2018 - Desonerado</t>
  </si>
  <si>
    <t>QTD</t>
  </si>
  <si>
    <t>ENCARGOS SOCIAIS</t>
  </si>
  <si>
    <t>SEM DESONERAÇÃO</t>
  </si>
  <si>
    <t xml:space="preserve">SESI </t>
  </si>
  <si>
    <t xml:space="preserve">INCRA </t>
  </si>
  <si>
    <t xml:space="preserve">SEBRAE </t>
  </si>
  <si>
    <t xml:space="preserve">Salário Educação </t>
  </si>
  <si>
    <t xml:space="preserve">FGTS </t>
  </si>
  <si>
    <t xml:space="preserve">SECONCI </t>
  </si>
  <si>
    <t xml:space="preserve">Repouso Semanal Remunerado </t>
  </si>
  <si>
    <t xml:space="preserve">Auxílio - Enfermidade </t>
  </si>
  <si>
    <t xml:space="preserve">13º Salário </t>
  </si>
  <si>
    <t xml:space="preserve">Dias de Chuvas </t>
  </si>
  <si>
    <t xml:space="preserve">Férias Gozadas </t>
  </si>
  <si>
    <t xml:space="preserve">Indenização Adicional </t>
  </si>
  <si>
    <t xml:space="preserve">Reincidência de Grupo A sobre Grupo B </t>
  </si>
  <si>
    <t>Reincidência de Grupo A sobre Aviso Prévio Trabalhado e Reincidência do FGTS sobre Aviso Prévio Indenizado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</si>
</sst>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R$ &quot;* #,##0.00_-;&quot;-R$ &quot;* #,##0.00_-;_-&quot;R$ &quot;* \-??_-;_-@_-"/>
    <numFmt numFmtId="166" formatCode="#,##0.00_ ;[Red]\-#,##0.00\ "/>
    <numFmt numFmtId="167" formatCode="_(* #,##0.000_);_(* \(#,##0.000\);_(* &quot;-&quot;??_);_(@_)"/>
    <numFmt numFmtId="168" formatCode="_(* #,##0.00_);_(* \(#,##0.00\);_(* \-??_);_(@_)"/>
    <numFmt numFmtId="169" formatCode="#,##0.000"/>
    <numFmt numFmtId="170" formatCode="0.000000%"/>
    <numFmt numFmtId="171" formatCode="_(* #,##0.0_);_(* \(#,##0.0\);_(* &quot;-&quot;??_);_(@_)"/>
    <numFmt numFmtId="172" formatCode="0.000000000%"/>
    <numFmt numFmtId="173" formatCode="0.0000000000%"/>
    <numFmt numFmtId="174" formatCode="0.0000"/>
    <numFmt numFmtId="175" formatCode="&quot;R$&quot;\ #,##0.00"/>
    <numFmt numFmtId="176" formatCode="&quot;R$ &quot;#,##0.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wis721 LtEx BT"/>
      <family val="2"/>
    </font>
    <font>
      <sz val="10"/>
      <color theme="1"/>
      <name val="Swis721 LtEx BT"/>
      <family val="2"/>
    </font>
    <font>
      <sz val="10"/>
      <name val="Swis721 LtEx BT"/>
      <family val="2"/>
    </font>
    <font>
      <b/>
      <sz val="10"/>
      <color theme="1"/>
      <name val="Swis721 LtEx B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10"/>
      <name val="Swis721 LtEx BT"/>
      <family val="2"/>
    </font>
    <font>
      <strike/>
      <sz val="10"/>
      <name val="Swis721 LtEx BT"/>
      <family val="2"/>
    </font>
    <font>
      <b/>
      <sz val="9"/>
      <color theme="1"/>
      <name val="Swis721 LtEx BT"/>
      <family val="2"/>
    </font>
    <font>
      <sz val="9"/>
      <color theme="1"/>
      <name val="Swis721 LtEx BT"/>
      <family val="2"/>
    </font>
    <font>
      <b/>
      <sz val="9"/>
      <name val="Swis721 LtEx BT"/>
      <family val="2"/>
    </font>
    <font>
      <sz val="9"/>
      <name val="Swis721 LtEx BT"/>
      <family val="2"/>
    </font>
    <font>
      <sz val="10"/>
      <color rgb="FFFF0000"/>
      <name val="Swis721 LtEx BT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Swis721 LtEx BT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Swis721 LtEx BT"/>
      <family val="2"/>
    </font>
    <font>
      <sz val="8"/>
      <color theme="1"/>
      <name val="Swis721 LtEx B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Swis721 LtEx BT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sz val="9"/>
      <color indexed="22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4"/>
      <name val="Swis721 Md BT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sz val="10"/>
      <color rgb="FF000000"/>
      <name val="Times New Roman"/>
      <family val="1"/>
    </font>
    <font>
      <b/>
      <sz val="9"/>
      <name val="Calibri Light"/>
      <family val="2"/>
    </font>
    <font>
      <b/>
      <sz val="10"/>
      <color theme="0"/>
      <name val="Calibri Light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2"/>
      <color theme="0"/>
      <name val="Calibri Light"/>
      <family val="2"/>
    </font>
    <font>
      <i/>
      <sz val="8"/>
      <color theme="1"/>
      <name val="Calibri Light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  <xf numFmtId="0" fontId="1" fillId="0" borderId="0"/>
    <xf numFmtId="168" fontId="2" fillId="0" borderId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68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0" borderId="0" xfId="0" applyFont="1"/>
    <xf numFmtId="0" fontId="3" fillId="2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167" fontId="3" fillId="0" borderId="1" xfId="9" applyNumberFormat="1" applyFont="1" applyFill="1" applyBorder="1" applyAlignment="1">
      <alignment horizontal="centerContinuous" vertical="center"/>
    </xf>
    <xf numFmtId="164" fontId="3" fillId="0" borderId="1" xfId="9" applyFont="1" applyFill="1" applyBorder="1" applyAlignment="1">
      <alignment horizontal="centerContinuous" vertical="center"/>
    </xf>
    <xf numFmtId="164" fontId="5" fillId="0" borderId="1" xfId="9" applyFont="1" applyFill="1" applyBorder="1" applyAlignment="1">
      <alignment horizontal="centerContinuous" vertical="center"/>
    </xf>
    <xf numFmtId="164" fontId="3" fillId="0" borderId="1" xfId="9" quotePrefix="1" applyFont="1" applyFill="1" applyBorder="1" applyAlignment="1">
      <alignment horizontal="left" vertical="center"/>
    </xf>
    <xf numFmtId="49" fontId="3" fillId="0" borderId="1" xfId="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7" fontId="3" fillId="0" borderId="1" xfId="9" applyNumberFormat="1" applyFont="1" applyFill="1" applyBorder="1" applyAlignment="1">
      <alignment horizontal="center" vertical="center"/>
    </xf>
    <xf numFmtId="164" fontId="3" fillId="0" borderId="1" xfId="9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167" fontId="5" fillId="0" borderId="9" xfId="9" applyNumberFormat="1" applyFont="1" applyFill="1" applyBorder="1" applyAlignment="1">
      <alignment vertical="center"/>
    </xf>
    <xf numFmtId="164" fontId="5" fillId="0" borderId="9" xfId="9" applyFont="1" applyFill="1" applyBorder="1" applyAlignment="1">
      <alignment horizontal="center" vertical="center"/>
    </xf>
    <xf numFmtId="164" fontId="5" fillId="0" borderId="9" xfId="9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7" fontId="5" fillId="0" borderId="2" xfId="9" applyNumberFormat="1" applyFont="1" applyFill="1" applyBorder="1" applyAlignment="1">
      <alignment vertical="center"/>
    </xf>
    <xf numFmtId="164" fontId="5" fillId="0" borderId="2" xfId="9" applyFont="1" applyFill="1" applyBorder="1" applyAlignment="1">
      <alignment horizontal="center" vertical="center"/>
    </xf>
    <xf numFmtId="164" fontId="5" fillId="0" borderId="2" xfId="9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167" fontId="5" fillId="0" borderId="10" xfId="9" applyNumberFormat="1" applyFont="1" applyFill="1" applyBorder="1" applyAlignment="1">
      <alignment vertical="center"/>
    </xf>
    <xf numFmtId="164" fontId="5" fillId="0" borderId="10" xfId="9" applyFont="1" applyFill="1" applyBorder="1" applyAlignment="1">
      <alignment horizontal="center" vertical="center"/>
    </xf>
    <xf numFmtId="164" fontId="5" fillId="0" borderId="10" xfId="9" applyFont="1" applyFill="1" applyBorder="1" applyAlignment="1">
      <alignment vertical="center"/>
    </xf>
    <xf numFmtId="167" fontId="5" fillId="0" borderId="1" xfId="9" applyNumberFormat="1" applyFont="1" applyFill="1" applyBorder="1" applyAlignment="1">
      <alignment vertical="center"/>
    </xf>
    <xf numFmtId="164" fontId="5" fillId="0" borderId="1" xfId="9" applyFont="1" applyFill="1" applyBorder="1" applyAlignment="1">
      <alignment horizontal="center" vertical="center"/>
    </xf>
    <xf numFmtId="164" fontId="3" fillId="0" borderId="1" xfId="9" applyFont="1" applyFill="1" applyBorder="1" applyAlignment="1">
      <alignment vertical="center"/>
    </xf>
    <xf numFmtId="164" fontId="5" fillId="0" borderId="1" xfId="9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left" vertical="center"/>
    </xf>
    <xf numFmtId="10" fontId="5" fillId="0" borderId="1" xfId="10" applyNumberFormat="1" applyFont="1" applyFill="1" applyBorder="1" applyAlignment="1">
      <alignment vertical="center"/>
    </xf>
    <xf numFmtId="167" fontId="11" fillId="0" borderId="1" xfId="9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/>
    </xf>
    <xf numFmtId="167" fontId="11" fillId="0" borderId="0" xfId="9" applyNumberFormat="1" applyFont="1" applyFill="1" applyBorder="1" applyAlignment="1">
      <alignment vertical="center"/>
    </xf>
    <xf numFmtId="164" fontId="5" fillId="0" borderId="0" xfId="9" applyFont="1" applyFill="1" applyBorder="1" applyAlignment="1">
      <alignment horizontal="center" vertical="center"/>
    </xf>
    <xf numFmtId="164" fontId="5" fillId="0" borderId="0" xfId="9" applyFont="1" applyFill="1" applyBorder="1" applyAlignment="1">
      <alignment vertical="center"/>
    </xf>
    <xf numFmtId="7" fontId="5" fillId="0" borderId="2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Fill="1" applyBorder="1"/>
    <xf numFmtId="4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0" xfId="11"/>
    <xf numFmtId="0" fontId="18" fillId="0" borderId="0" xfId="11" applyFont="1" applyAlignment="1">
      <alignment vertical="center"/>
    </xf>
    <xf numFmtId="0" fontId="6" fillId="0" borderId="14" xfId="8" applyFont="1" applyFill="1" applyBorder="1" applyAlignment="1">
      <alignment horizontal="center" vertical="center" wrapText="1"/>
    </xf>
    <xf numFmtId="0" fontId="6" fillId="5" borderId="14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0" fontId="6" fillId="0" borderId="16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17" fontId="6" fillId="0" borderId="1" xfId="8" applyNumberFormat="1" applyFont="1" applyFill="1" applyBorder="1" applyAlignment="1">
      <alignment horizontal="center" vertical="center" wrapText="1"/>
    </xf>
    <xf numFmtId="43" fontId="5" fillId="0" borderId="1" xfId="14" applyNumberFormat="1" applyFont="1" applyBorder="1" applyAlignment="1">
      <alignment horizontal="center" vertical="center"/>
    </xf>
    <xf numFmtId="7" fontId="5" fillId="0" borderId="1" xfId="8" applyNumberFormat="1" applyFont="1" applyFill="1" applyBorder="1" applyAlignment="1">
      <alignment horizontal="center" vertical="center" wrapText="1"/>
    </xf>
    <xf numFmtId="7" fontId="5" fillId="0" borderId="1" xfId="8" applyNumberFormat="1" applyFont="1" applyBorder="1" applyAlignment="1">
      <alignment horizontal="center" vertical="center" wrapText="1"/>
    </xf>
    <xf numFmtId="43" fontId="5" fillId="0" borderId="22" xfId="14" applyNumberFormat="1" applyFont="1" applyBorder="1" applyAlignment="1">
      <alignment horizontal="center" vertical="center"/>
    </xf>
    <xf numFmtId="7" fontId="3" fillId="0" borderId="22" xfId="8" applyNumberFormat="1" applyFont="1" applyFill="1" applyBorder="1" applyAlignment="1">
      <alignment horizontal="center" vertical="center" wrapText="1"/>
    </xf>
    <xf numFmtId="7" fontId="3" fillId="0" borderId="22" xfId="8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6" fillId="4" borderId="1" xfId="0" applyNumberFormat="1" applyFont="1" applyFill="1" applyBorder="1"/>
    <xf numFmtId="4" fontId="4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2" fontId="6" fillId="4" borderId="1" xfId="0" applyNumberFormat="1" applyFont="1" applyFill="1" applyBorder="1"/>
    <xf numFmtId="4" fontId="3" fillId="4" borderId="1" xfId="0" applyNumberFormat="1" applyFont="1" applyFill="1" applyBorder="1"/>
    <xf numFmtId="4" fontId="6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/>
    <xf numFmtId="4" fontId="16" fillId="0" borderId="1" xfId="0" applyNumberFormat="1" applyFont="1" applyBorder="1"/>
    <xf numFmtId="4" fontId="6" fillId="2" borderId="1" xfId="0" applyNumberFormat="1" applyFont="1" applyFill="1" applyBorder="1"/>
    <xf numFmtId="0" fontId="13" fillId="0" borderId="1" xfId="0" applyFont="1" applyBorder="1"/>
    <xf numFmtId="0" fontId="22" fillId="0" borderId="0" xfId="0" applyFont="1"/>
    <xf numFmtId="4" fontId="5" fillId="0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0" borderId="1" xfId="0" applyNumberFormat="1" applyFont="1" applyBorder="1"/>
    <xf numFmtId="4" fontId="12" fillId="0" borderId="1" xfId="0" applyNumberFormat="1" applyFont="1" applyFill="1" applyBorder="1"/>
    <xf numFmtId="0" fontId="22" fillId="0" borderId="1" xfId="0" applyFont="1" applyBorder="1"/>
    <xf numFmtId="4" fontId="22" fillId="0" borderId="0" xfId="0" applyNumberFormat="1" applyFont="1"/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0" fontId="7" fillId="0" borderId="0" xfId="0" applyFont="1"/>
    <xf numFmtId="0" fontId="24" fillId="0" borderId="1" xfId="0" applyFont="1" applyBorder="1" applyAlignment="1">
      <alignment horizontal="center"/>
    </xf>
    <xf numFmtId="4" fontId="24" fillId="0" borderId="1" xfId="0" applyNumberFormat="1" applyFont="1" applyBorder="1"/>
    <xf numFmtId="4" fontId="23" fillId="0" borderId="1" xfId="0" applyNumberFormat="1" applyFont="1" applyBorder="1"/>
    <xf numFmtId="0" fontId="2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24" fillId="0" borderId="8" xfId="0" applyFont="1" applyBorder="1"/>
    <xf numFmtId="43" fontId="6" fillId="4" borderId="1" xfId="17" applyFont="1" applyFill="1" applyBorder="1"/>
    <xf numFmtId="4" fontId="24" fillId="0" borderId="1" xfId="0" applyNumberFormat="1" applyFont="1" applyFill="1" applyBorder="1"/>
    <xf numFmtId="43" fontId="4" fillId="0" borderId="1" xfId="17" applyFont="1" applyFill="1" applyBorder="1"/>
    <xf numFmtId="0" fontId="24" fillId="0" borderId="1" xfId="0" applyNumberFormat="1" applyFont="1" applyBorder="1"/>
    <xf numFmtId="4" fontId="16" fillId="0" borderId="1" xfId="0" applyNumberFormat="1" applyFont="1" applyFill="1" applyBorder="1"/>
    <xf numFmtId="0" fontId="22" fillId="0" borderId="1" xfId="0" applyFont="1" applyBorder="1" applyAlignment="1"/>
    <xf numFmtId="0" fontId="6" fillId="9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/>
    <xf numFmtId="4" fontId="0" fillId="2" borderId="0" xfId="0" applyNumberFormat="1" applyFill="1"/>
    <xf numFmtId="0" fontId="0" fillId="2" borderId="0" xfId="0" applyFill="1"/>
    <xf numFmtId="0" fontId="27" fillId="0" borderId="0" xfId="0" applyFont="1"/>
    <xf numFmtId="0" fontId="24" fillId="0" borderId="6" xfId="0" applyFont="1" applyFill="1" applyBorder="1" applyAlignment="1">
      <alignment horizontal="center" vertical="center"/>
    </xf>
    <xf numFmtId="7" fontId="3" fillId="2" borderId="2" xfId="1" applyNumberFormat="1" applyFont="1" applyFill="1" applyBorder="1" applyAlignment="1">
      <alignment horizontal="right" vertical="center"/>
    </xf>
    <xf numFmtId="4" fontId="12" fillId="10" borderId="1" xfId="0" applyNumberFormat="1" applyFont="1" applyFill="1" applyBorder="1"/>
    <xf numFmtId="0" fontId="20" fillId="0" borderId="1" xfId="12" applyFont="1" applyFill="1" applyBorder="1" applyAlignment="1">
      <alignment horizontal="center" vertical="center" wrapText="1"/>
    </xf>
    <xf numFmtId="0" fontId="28" fillId="0" borderId="1" xfId="13" applyFont="1" applyBorder="1" applyAlignment="1">
      <alignment horizontal="center" vertical="center" wrapText="1"/>
    </xf>
    <xf numFmtId="0" fontId="19" fillId="0" borderId="1" xfId="12" applyFill="1" applyBorder="1" applyAlignment="1">
      <alignment horizontal="center" vertical="center" wrapText="1"/>
    </xf>
    <xf numFmtId="49" fontId="4" fillId="0" borderId="1" xfId="8" applyNumberFormat="1" applyFont="1" applyFill="1" applyBorder="1" applyAlignment="1">
      <alignment horizontal="center" vertical="center" wrapText="1"/>
    </xf>
    <xf numFmtId="0" fontId="4" fillId="0" borderId="27" xfId="8" applyFont="1" applyFill="1" applyBorder="1" applyAlignment="1">
      <alignment horizontal="center" vertical="center"/>
    </xf>
    <xf numFmtId="0" fontId="4" fillId="0" borderId="28" xfId="8" applyFont="1" applyFill="1" applyBorder="1" applyAlignment="1">
      <alignment horizontal="center" vertical="center"/>
    </xf>
    <xf numFmtId="0" fontId="4" fillId="0" borderId="24" xfId="8" applyFont="1" applyFill="1" applyBorder="1" applyAlignment="1">
      <alignment horizontal="center" vertical="center"/>
    </xf>
    <xf numFmtId="0" fontId="6" fillId="0" borderId="29" xfId="8" applyFont="1" applyFill="1" applyBorder="1" applyAlignment="1">
      <alignment horizontal="center" vertical="center" wrapText="1"/>
    </xf>
    <xf numFmtId="0" fontId="6" fillId="5" borderId="29" xfId="8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9" applyNumberFormat="1" applyFont="1" applyFill="1" applyBorder="1" applyAlignment="1">
      <alignment vertical="center"/>
    </xf>
    <xf numFmtId="17" fontId="3" fillId="8" borderId="1" xfId="9" applyNumberFormat="1" applyFont="1" applyFill="1" applyBorder="1" applyAlignment="1">
      <alignment horizontal="center" vertical="center"/>
    </xf>
    <xf numFmtId="0" fontId="5" fillId="8" borderId="1" xfId="0" applyFont="1" applyFill="1" applyBorder="1"/>
    <xf numFmtId="0" fontId="3" fillId="8" borderId="1" xfId="0" applyFont="1" applyFill="1" applyBorder="1" applyAlignment="1">
      <alignment horizontal="center" vertical="center"/>
    </xf>
    <xf numFmtId="164" fontId="3" fillId="8" borderId="1" xfId="9" quotePrefix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2" fontId="7" fillId="0" borderId="0" xfId="0" applyNumberFormat="1" applyFont="1"/>
    <xf numFmtId="0" fontId="4" fillId="0" borderId="29" xfId="0" applyFont="1" applyFill="1" applyBorder="1" applyAlignment="1">
      <alignment horizontal="center" vertical="center"/>
    </xf>
    <xf numFmtId="4" fontId="4" fillId="4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9" fillId="11" borderId="25" xfId="0" applyFont="1" applyFill="1" applyBorder="1" applyAlignment="1">
      <alignment horizontal="center" vertical="center"/>
    </xf>
    <xf numFmtId="0" fontId="29" fillId="11" borderId="30" xfId="0" applyFont="1" applyFill="1" applyBorder="1" applyAlignment="1">
      <alignment horizontal="left" vertical="center"/>
    </xf>
    <xf numFmtId="0" fontId="29" fillId="11" borderId="30" xfId="0" applyFont="1" applyFill="1" applyBorder="1" applyAlignment="1">
      <alignment horizontal="center" vertical="center"/>
    </xf>
    <xf numFmtId="0" fontId="29" fillId="11" borderId="30" xfId="0" applyFont="1" applyFill="1" applyBorder="1" applyAlignment="1">
      <alignment vertical="center"/>
    </xf>
    <xf numFmtId="0" fontId="29" fillId="11" borderId="26" xfId="0" applyFont="1" applyFill="1" applyBorder="1" applyAlignment="1">
      <alignment horizontal="center" vertical="center" wrapText="1"/>
    </xf>
    <xf numFmtId="0" fontId="31" fillId="11" borderId="0" xfId="0" applyFont="1" applyFill="1" applyBorder="1" applyAlignment="1">
      <alignment horizontal="left" vertical="center"/>
    </xf>
    <xf numFmtId="0" fontId="29" fillId="12" borderId="32" xfId="0" applyFont="1" applyFill="1" applyBorder="1" applyAlignment="1">
      <alignment horizontal="center" vertical="center"/>
    </xf>
    <xf numFmtId="0" fontId="29" fillId="12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29" fillId="11" borderId="29" xfId="0" applyFont="1" applyFill="1" applyBorder="1" applyAlignment="1">
      <alignment horizontal="center" vertical="center"/>
    </xf>
    <xf numFmtId="0" fontId="29" fillId="11" borderId="24" xfId="0" applyFont="1" applyFill="1" applyBorder="1" applyAlignment="1">
      <alignment horizontal="center" vertical="center"/>
    </xf>
    <xf numFmtId="0" fontId="29" fillId="11" borderId="28" xfId="0" applyFont="1" applyFill="1" applyBorder="1" applyAlignment="1">
      <alignment horizontal="right" vertical="center"/>
    </xf>
    <xf numFmtId="0" fontId="29" fillId="12" borderId="34" xfId="0" applyFont="1" applyFill="1" applyBorder="1" applyAlignment="1">
      <alignment horizontal="left" vertical="center"/>
    </xf>
    <xf numFmtId="0" fontId="29" fillId="12" borderId="24" xfId="0" applyFont="1" applyFill="1" applyBorder="1" applyAlignment="1">
      <alignment horizontal="left" vertical="center"/>
    </xf>
    <xf numFmtId="0" fontId="29" fillId="13" borderId="29" xfId="0" applyFont="1" applyFill="1" applyBorder="1" applyAlignment="1">
      <alignment horizontal="center" vertical="center"/>
    </xf>
    <xf numFmtId="0" fontId="29" fillId="14" borderId="23" xfId="0" applyFont="1" applyFill="1" applyBorder="1" applyAlignment="1">
      <alignment horizontal="left" vertical="center"/>
    </xf>
    <xf numFmtId="0" fontId="29" fillId="14" borderId="28" xfId="0" applyFont="1" applyFill="1" applyBorder="1" applyAlignment="1">
      <alignment horizontal="center" vertical="center"/>
    </xf>
    <xf numFmtId="0" fontId="29" fillId="14" borderId="24" xfId="0" applyFont="1" applyFill="1" applyBorder="1" applyAlignment="1">
      <alignment horizontal="center" vertical="center"/>
    </xf>
    <xf numFmtId="0" fontId="29" fillId="14" borderId="29" xfId="0" applyFont="1" applyFill="1" applyBorder="1" applyAlignment="1">
      <alignment horizontal="center" vertical="center"/>
    </xf>
    <xf numFmtId="0" fontId="29" fillId="11" borderId="23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29" fillId="15" borderId="1" xfId="0" applyFont="1" applyFill="1" applyBorder="1" applyAlignment="1" applyProtection="1">
      <alignment horizontal="center" vertical="center"/>
      <protection locked="0"/>
    </xf>
    <xf numFmtId="0" fontId="29" fillId="15" borderId="6" xfId="0" applyFont="1" applyFill="1" applyBorder="1" applyAlignment="1" applyProtection="1">
      <alignment horizontal="left" vertical="center"/>
      <protection locked="0"/>
    </xf>
    <xf numFmtId="0" fontId="29" fillId="15" borderId="7" xfId="0" applyFont="1" applyFill="1" applyBorder="1" applyAlignment="1" applyProtection="1">
      <alignment horizontal="left" vertical="center"/>
      <protection locked="0"/>
    </xf>
    <xf numFmtId="0" fontId="29" fillId="15" borderId="8" xfId="0" applyFont="1" applyFill="1" applyBorder="1" applyAlignment="1" applyProtection="1">
      <alignment horizontal="left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15" borderId="35" xfId="0" applyFont="1" applyFill="1" applyBorder="1" applyAlignment="1" applyProtection="1">
      <alignment horizontal="left" vertical="center"/>
      <protection locked="0"/>
    </xf>
    <xf numFmtId="164" fontId="29" fillId="13" borderId="1" xfId="1" applyFont="1" applyFill="1" applyBorder="1" applyAlignment="1" applyProtection="1">
      <alignment horizontal="right" vertical="center"/>
      <protection locked="0"/>
    </xf>
    <xf numFmtId="164" fontId="32" fillId="13" borderId="1" xfId="1" applyFont="1" applyFill="1" applyBorder="1" applyAlignment="1" applyProtection="1">
      <alignment horizontal="right" vertical="center"/>
      <protection locked="0"/>
    </xf>
    <xf numFmtId="170" fontId="29" fillId="15" borderId="1" xfId="10" applyNumberFormat="1" applyFont="1" applyFill="1" applyBorder="1" applyAlignment="1" applyProtection="1">
      <alignment horizontal="center" vertical="center"/>
      <protection locked="0"/>
    </xf>
    <xf numFmtId="171" fontId="29" fillId="13" borderId="1" xfId="1" applyNumberFormat="1" applyFont="1" applyFill="1" applyBorder="1" applyAlignment="1" applyProtection="1">
      <alignment horizontal="right" vertical="center"/>
      <protection locked="0"/>
    </xf>
    <xf numFmtId="164" fontId="29" fillId="15" borderId="1" xfId="1" applyFont="1" applyFill="1" applyBorder="1" applyAlignment="1" applyProtection="1">
      <alignment horizontal="right" vertical="center"/>
      <protection locked="0"/>
    </xf>
    <xf numFmtId="172" fontId="29" fillId="13" borderId="1" xfId="10" applyNumberFormat="1" applyFont="1" applyFill="1" applyBorder="1" applyAlignment="1" applyProtection="1">
      <alignment horizontal="center" vertical="center"/>
      <protection locked="0"/>
    </xf>
    <xf numFmtId="10" fontId="29" fillId="15" borderId="1" xfId="10" applyNumberFormat="1" applyFont="1" applyFill="1" applyBorder="1" applyAlignment="1" applyProtection="1">
      <alignment horizontal="center" vertical="center"/>
      <protection locked="0"/>
    </xf>
    <xf numFmtId="10" fontId="29" fillId="0" borderId="1" xfId="10" applyNumberFormat="1" applyFont="1" applyFill="1" applyBorder="1" applyAlignment="1" applyProtection="1">
      <alignment horizontal="center" vertical="center"/>
      <protection locked="0"/>
    </xf>
    <xf numFmtId="4" fontId="29" fillId="15" borderId="1" xfId="0" applyNumberFormat="1" applyFont="1" applyFill="1" applyBorder="1" applyAlignment="1" applyProtection="1">
      <alignment horizontal="center" vertical="center"/>
      <protection locked="0"/>
    </xf>
    <xf numFmtId="0" fontId="29" fillId="16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29" fillId="15" borderId="6" xfId="0" applyFont="1" applyFill="1" applyBorder="1" applyAlignment="1" applyProtection="1">
      <alignment vertical="center"/>
      <protection locked="0"/>
    </xf>
    <xf numFmtId="0" fontId="29" fillId="15" borderId="7" xfId="0" applyFont="1" applyFill="1" applyBorder="1" applyAlignment="1" applyProtection="1">
      <alignment vertical="center"/>
      <protection locked="0"/>
    </xf>
    <xf numFmtId="0" fontId="29" fillId="15" borderId="8" xfId="0" applyFont="1" applyFill="1" applyBorder="1" applyAlignment="1" applyProtection="1">
      <alignment vertical="center"/>
      <protection locked="0"/>
    </xf>
    <xf numFmtId="0" fontId="29" fillId="11" borderId="6" xfId="0" applyFont="1" applyFill="1" applyBorder="1" applyAlignment="1" applyProtection="1">
      <alignment horizontal="center" vertical="center"/>
      <protection locked="0"/>
    </xf>
    <xf numFmtId="0" fontId="29" fillId="11" borderId="7" xfId="0" applyFont="1" applyFill="1" applyBorder="1" applyAlignment="1" applyProtection="1">
      <alignment horizontal="center" vertical="center"/>
      <protection locked="0"/>
    </xf>
    <xf numFmtId="0" fontId="31" fillId="11" borderId="7" xfId="0" applyFont="1" applyFill="1" applyBorder="1" applyAlignment="1" applyProtection="1">
      <alignment horizontal="right" vertical="center"/>
      <protection locked="0"/>
    </xf>
    <xf numFmtId="0" fontId="29" fillId="11" borderId="35" xfId="0" applyFont="1" applyFill="1" applyBorder="1" applyAlignment="1" applyProtection="1">
      <alignment horizontal="right" vertical="center"/>
      <protection locked="0"/>
    </xf>
    <xf numFmtId="0" fontId="29" fillId="11" borderId="8" xfId="0" applyFont="1" applyFill="1" applyBorder="1" applyAlignment="1" applyProtection="1">
      <alignment horizontal="right" vertical="center"/>
      <protection locked="0"/>
    </xf>
    <xf numFmtId="10" fontId="29" fillId="13" borderId="1" xfId="10" applyNumberFormat="1" applyFont="1" applyFill="1" applyBorder="1" applyAlignment="1" applyProtection="1">
      <alignment horizontal="center" vertical="center"/>
      <protection locked="0"/>
    </xf>
    <xf numFmtId="164" fontId="31" fillId="11" borderId="1" xfId="1" applyFont="1" applyFill="1" applyBorder="1" applyAlignment="1" applyProtection="1">
      <alignment horizontal="right" vertical="center"/>
      <protection locked="0"/>
    </xf>
    <xf numFmtId="0" fontId="29" fillId="17" borderId="25" xfId="0" applyFont="1" applyFill="1" applyBorder="1" applyAlignment="1" applyProtection="1">
      <alignment horizontal="center" vertical="center"/>
      <protection locked="0"/>
    </xf>
    <xf numFmtId="0" fontId="29" fillId="11" borderId="18" xfId="0" applyFont="1" applyFill="1" applyBorder="1" applyAlignment="1" applyProtection="1">
      <alignment horizontal="center" vertical="center"/>
      <protection locked="0"/>
    </xf>
    <xf numFmtId="164" fontId="29" fillId="0" borderId="0" xfId="0" applyNumberFormat="1" applyFont="1" applyAlignment="1">
      <alignment vertical="center"/>
    </xf>
    <xf numFmtId="0" fontId="29" fillId="0" borderId="30" xfId="0" applyFont="1" applyFill="1" applyBorder="1" applyAlignment="1" applyProtection="1">
      <alignment vertical="center"/>
    </xf>
    <xf numFmtId="0" fontId="29" fillId="0" borderId="30" xfId="0" applyFont="1" applyFill="1" applyBorder="1" applyAlignment="1" applyProtection="1">
      <alignment horizontal="right" vertical="center"/>
    </xf>
    <xf numFmtId="164" fontId="34" fillId="0" borderId="30" xfId="0" applyNumberFormat="1" applyFont="1" applyFill="1" applyBorder="1" applyAlignment="1" applyProtection="1">
      <alignment vertical="center"/>
    </xf>
    <xf numFmtId="164" fontId="33" fillId="0" borderId="30" xfId="1" applyFont="1" applyFill="1" applyBorder="1" applyAlignment="1" applyProtection="1">
      <alignment horizontal="right" vertical="center"/>
    </xf>
    <xf numFmtId="0" fontId="29" fillId="17" borderId="5" xfId="0" applyFont="1" applyFill="1" applyBorder="1" applyAlignment="1" applyProtection="1">
      <alignment horizontal="center" vertical="center"/>
    </xf>
    <xf numFmtId="0" fontId="29" fillId="11" borderId="5" xfId="0" applyFont="1" applyFill="1" applyBorder="1" applyAlignment="1" applyProtection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vertical="center"/>
    </xf>
    <xf numFmtId="164" fontId="33" fillId="0" borderId="0" xfId="1" applyFont="1" applyFill="1" applyBorder="1" applyAlignment="1">
      <alignment horizontal="right" vertical="center"/>
    </xf>
    <xf numFmtId="0" fontId="29" fillId="11" borderId="5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9" fillId="11" borderId="7" xfId="0" applyFont="1" applyFill="1" applyBorder="1" applyAlignment="1">
      <alignment vertical="center"/>
    </xf>
    <xf numFmtId="0" fontId="29" fillId="11" borderId="7" xfId="0" applyFont="1" applyFill="1" applyBorder="1" applyAlignment="1">
      <alignment horizontal="right" vertical="center"/>
    </xf>
    <xf numFmtId="0" fontId="29" fillId="11" borderId="24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/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29" fillId="0" borderId="3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1" fillId="15" borderId="28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18" fillId="1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31" fillId="15" borderId="28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164" fontId="31" fillId="13" borderId="1" xfId="1" applyFont="1" applyFill="1" applyBorder="1" applyAlignment="1" applyProtection="1">
      <alignment horizontal="right" vertical="center"/>
      <protection locked="0"/>
    </xf>
    <xf numFmtId="170" fontId="29" fillId="15" borderId="18" xfId="10" applyNumberFormat="1" applyFont="1" applyFill="1" applyBorder="1" applyAlignment="1" applyProtection="1">
      <alignment horizontal="center" vertical="center"/>
      <protection locked="0"/>
    </xf>
    <xf numFmtId="173" fontId="29" fillId="2" borderId="30" xfId="10" applyNumberFormat="1" applyFont="1" applyFill="1" applyBorder="1" applyAlignment="1" applyProtection="1">
      <alignment horizontal="center" vertical="center"/>
      <protection locked="0"/>
    </xf>
    <xf numFmtId="167" fontId="5" fillId="2" borderId="9" xfId="9" applyNumberFormat="1" applyFont="1" applyFill="1" applyBorder="1" applyAlignment="1">
      <alignment vertical="center"/>
    </xf>
    <xf numFmtId="164" fontId="5" fillId="2" borderId="9" xfId="9" applyFont="1" applyFill="1" applyBorder="1" applyAlignment="1">
      <alignment horizontal="center" vertical="center"/>
    </xf>
    <xf numFmtId="0" fontId="40" fillId="2" borderId="0" xfId="13" applyFont="1" applyFill="1" applyBorder="1" applyAlignment="1">
      <alignment horizontal="center" vertical="center"/>
    </xf>
    <xf numFmtId="0" fontId="40" fillId="2" borderId="0" xfId="13" applyFont="1" applyFill="1" applyBorder="1" applyAlignment="1">
      <alignment horizontal="left" vertical="center" wrapText="1"/>
    </xf>
    <xf numFmtId="0" fontId="40" fillId="2" borderId="0" xfId="13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10" fontId="1" fillId="0" borderId="6" xfId="16" applyNumberFormat="1" applyFont="1" applyBorder="1" applyAlignment="1">
      <alignment horizontal="center" vertical="center"/>
    </xf>
    <xf numFmtId="44" fontId="1" fillId="0" borderId="1" xfId="23" applyFont="1" applyBorder="1" applyAlignment="1">
      <alignment horizontal="center" vertical="center"/>
    </xf>
    <xf numFmtId="10" fontId="39" fillId="2" borderId="1" xfId="24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175" fontId="0" fillId="0" borderId="0" xfId="0" applyNumberFormat="1"/>
    <xf numFmtId="0" fontId="38" fillId="2" borderId="29" xfId="13" applyFont="1" applyFill="1" applyBorder="1" applyAlignment="1">
      <alignment horizontal="center" vertical="center" wrapText="1"/>
    </xf>
    <xf numFmtId="0" fontId="38" fillId="2" borderId="23" xfId="13" applyFont="1" applyFill="1" applyBorder="1" applyAlignment="1">
      <alignment horizontal="center" vertical="center" wrapText="1"/>
    </xf>
    <xf numFmtId="0" fontId="38" fillId="2" borderId="28" xfId="13" applyFont="1" applyFill="1" applyBorder="1" applyAlignment="1">
      <alignment horizontal="center" vertical="center" wrapText="1"/>
    </xf>
    <xf numFmtId="174" fontId="38" fillId="2" borderId="28" xfId="13" applyNumberFormat="1" applyFont="1" applyFill="1" applyBorder="1" applyAlignment="1">
      <alignment horizontal="center" vertical="center" wrapText="1"/>
    </xf>
    <xf numFmtId="0" fontId="43" fillId="2" borderId="28" xfId="13" applyFont="1" applyFill="1" applyBorder="1" applyAlignment="1">
      <alignment horizontal="center" vertical="center" wrapText="1"/>
    </xf>
    <xf numFmtId="0" fontId="38" fillId="2" borderId="24" xfId="13" applyFont="1" applyFill="1" applyBorder="1" applyAlignment="1">
      <alignment horizontal="center" vertical="center" wrapText="1"/>
    </xf>
    <xf numFmtId="0" fontId="40" fillId="2" borderId="0" xfId="17" applyNumberFormat="1" applyFont="1" applyFill="1" applyBorder="1" applyAlignment="1">
      <alignment horizontal="right" vertical="center"/>
    </xf>
    <xf numFmtId="4" fontId="40" fillId="2" borderId="0" xfId="17" applyNumberFormat="1" applyFont="1" applyFill="1" applyBorder="1" applyAlignment="1">
      <alignment horizontal="right" vertical="center"/>
    </xf>
    <xf numFmtId="0" fontId="45" fillId="20" borderId="41" xfId="25" applyFont="1" applyFill="1" applyBorder="1" applyAlignment="1">
      <alignment horizontal="center"/>
    </xf>
    <xf numFmtId="0" fontId="46" fillId="2" borderId="39" xfId="25" applyFont="1" applyFill="1" applyBorder="1"/>
    <xf numFmtId="0" fontId="46" fillId="2" borderId="0" xfId="25" applyFont="1" applyFill="1" applyBorder="1" applyAlignment="1">
      <alignment horizontal="center"/>
    </xf>
    <xf numFmtId="10" fontId="47" fillId="2" borderId="40" xfId="15" applyNumberFormat="1" applyFont="1" applyFill="1" applyBorder="1" applyAlignment="1">
      <alignment horizontal="center"/>
    </xf>
    <xf numFmtId="0" fontId="46" fillId="2" borderId="27" xfId="25" applyFont="1" applyFill="1" applyBorder="1"/>
    <xf numFmtId="10" fontId="47" fillId="2" borderId="41" xfId="15" applyNumberFormat="1" applyFont="1" applyFill="1" applyBorder="1" applyAlignment="1">
      <alignment horizontal="center"/>
    </xf>
    <xf numFmtId="0" fontId="46" fillId="2" borderId="42" xfId="25" applyFont="1" applyFill="1" applyBorder="1"/>
    <xf numFmtId="0" fontId="48" fillId="2" borderId="43" xfId="25" applyFont="1" applyFill="1" applyBorder="1" applyAlignment="1">
      <alignment horizontal="right"/>
    </xf>
    <xf numFmtId="10" fontId="48" fillId="2" borderId="44" xfId="25" applyNumberFormat="1" applyFont="1" applyFill="1" applyBorder="1" applyAlignment="1">
      <alignment horizontal="center"/>
    </xf>
    <xf numFmtId="0" fontId="48" fillId="2" borderId="0" xfId="25" applyFont="1" applyFill="1" applyBorder="1" applyAlignment="1">
      <alignment horizontal="right"/>
    </xf>
    <xf numFmtId="10" fontId="48" fillId="2" borderId="40" xfId="25" applyNumberFormat="1" applyFont="1" applyFill="1" applyBorder="1" applyAlignment="1">
      <alignment horizontal="center"/>
    </xf>
    <xf numFmtId="0" fontId="45" fillId="20" borderId="45" xfId="25" applyFont="1" applyFill="1" applyBorder="1" applyAlignment="1">
      <alignment horizontal="center"/>
    </xf>
    <xf numFmtId="0" fontId="46" fillId="2" borderId="15" xfId="25" applyFont="1" applyFill="1" applyBorder="1"/>
    <xf numFmtId="0" fontId="46" fillId="2" borderId="7" xfId="25" applyFont="1" applyFill="1" applyBorder="1"/>
    <xf numFmtId="10" fontId="47" fillId="2" borderId="45" xfId="15" applyNumberFormat="1" applyFont="1" applyFill="1" applyBorder="1" applyAlignment="1">
      <alignment horizontal="center"/>
    </xf>
    <xf numFmtId="0" fontId="46" fillId="2" borderId="0" xfId="25" applyFont="1" applyFill="1" applyBorder="1"/>
    <xf numFmtId="0" fontId="46" fillId="2" borderId="40" xfId="25" applyFont="1" applyFill="1" applyBorder="1" applyAlignment="1">
      <alignment horizontal="center"/>
    </xf>
    <xf numFmtId="0" fontId="46" fillId="2" borderId="39" xfId="25" applyFont="1" applyFill="1" applyBorder="1" applyAlignment="1">
      <alignment horizontal="left"/>
    </xf>
    <xf numFmtId="0" fontId="49" fillId="2" borderId="39" xfId="25" applyFont="1" applyFill="1" applyBorder="1" applyAlignment="1">
      <alignment horizontal="left"/>
    </xf>
    <xf numFmtId="0" fontId="49" fillId="2" borderId="0" xfId="25" applyFont="1" applyFill="1" applyBorder="1"/>
    <xf numFmtId="10" fontId="49" fillId="2" borderId="40" xfId="15" applyNumberFormat="1" applyFont="1" applyFill="1" applyBorder="1" applyAlignment="1">
      <alignment horizontal="center"/>
    </xf>
    <xf numFmtId="0" fontId="46" fillId="2" borderId="46" xfId="25" applyFont="1" applyFill="1" applyBorder="1"/>
    <xf numFmtId="0" fontId="48" fillId="2" borderId="47" xfId="25" applyFont="1" applyFill="1" applyBorder="1" applyAlignment="1">
      <alignment horizontal="right"/>
    </xf>
    <xf numFmtId="10" fontId="48" fillId="2" borderId="48" xfId="25" applyNumberFormat="1" applyFont="1" applyFill="1" applyBorder="1" applyAlignment="1">
      <alignment horizontal="center"/>
    </xf>
    <xf numFmtId="0" fontId="44" fillId="20" borderId="15" xfId="25" applyFont="1" applyFill="1" applyBorder="1" applyAlignment="1">
      <alignment vertical="center"/>
    </xf>
    <xf numFmtId="0" fontId="44" fillId="20" borderId="7" xfId="25" applyFont="1" applyFill="1" applyBorder="1" applyAlignment="1">
      <alignment vertical="center"/>
    </xf>
    <xf numFmtId="10" fontId="50" fillId="20" borderId="45" xfId="16" applyNumberFormat="1" applyFont="1" applyFill="1" applyBorder="1" applyAlignment="1" applyProtection="1">
      <alignment horizontal="center" vertical="center"/>
    </xf>
    <xf numFmtId="0" fontId="51" fillId="2" borderId="39" xfId="25" applyFont="1" applyFill="1" applyBorder="1"/>
    <xf numFmtId="0" fontId="46" fillId="2" borderId="40" xfId="25" applyFont="1" applyFill="1" applyBorder="1"/>
    <xf numFmtId="0" fontId="0" fillId="2" borderId="0" xfId="0" applyFill="1" applyAlignment="1">
      <alignment horizontal="left" vertical="top"/>
    </xf>
    <xf numFmtId="0" fontId="15" fillId="2" borderId="1" xfId="5" applyFont="1" applyFill="1" applyBorder="1"/>
    <xf numFmtId="0" fontId="14" fillId="2" borderId="1" xfId="5" applyFont="1" applyFill="1" applyBorder="1" applyAlignment="1">
      <alignment horizontal="centerContinuous"/>
    </xf>
    <xf numFmtId="10" fontId="14" fillId="2" borderId="3" xfId="6" applyNumberFormat="1" applyFont="1" applyFill="1" applyBorder="1" applyAlignment="1">
      <alignment horizontal="center" vertical="center"/>
    </xf>
    <xf numFmtId="10" fontId="15" fillId="2" borderId="2" xfId="6" applyNumberFormat="1" applyFont="1" applyFill="1" applyBorder="1" applyAlignment="1">
      <alignment horizontal="center" vertical="center"/>
    </xf>
    <xf numFmtId="9" fontId="15" fillId="2" borderId="2" xfId="6" applyFont="1" applyFill="1" applyBorder="1" applyAlignment="1">
      <alignment vertical="center"/>
    </xf>
    <xf numFmtId="7" fontId="15" fillId="2" borderId="4" xfId="6" applyNumberFormat="1" applyFont="1" applyFill="1" applyBorder="1" applyAlignment="1">
      <alignment horizontal="center" vertical="center"/>
    </xf>
    <xf numFmtId="164" fontId="15" fillId="2" borderId="4" xfId="7" applyNumberFormat="1" applyFont="1" applyFill="1" applyBorder="1" applyAlignment="1">
      <alignment vertical="center"/>
    </xf>
    <xf numFmtId="40" fontId="15" fillId="2" borderId="4" xfId="5" applyNumberFormat="1" applyFont="1" applyFill="1" applyBorder="1" applyAlignment="1">
      <alignment vertical="center"/>
    </xf>
    <xf numFmtId="0" fontId="14" fillId="2" borderId="1" xfId="5" applyFont="1" applyFill="1" applyBorder="1" applyAlignment="1">
      <alignment vertical="center"/>
    </xf>
    <xf numFmtId="10" fontId="14" fillId="2" borderId="1" xfId="5" applyNumberFormat="1" applyFont="1" applyFill="1" applyBorder="1" applyAlignment="1">
      <alignment vertical="center"/>
    </xf>
    <xf numFmtId="10" fontId="14" fillId="2" borderId="1" xfId="6" applyNumberFormat="1" applyFont="1" applyFill="1" applyBorder="1" applyAlignment="1">
      <alignment vertical="center"/>
    </xf>
    <xf numFmtId="164" fontId="15" fillId="2" borderId="1" xfId="6" applyNumberFormat="1" applyFont="1" applyFill="1" applyBorder="1" applyAlignment="1">
      <alignment vertical="center"/>
    </xf>
    <xf numFmtId="164" fontId="15" fillId="2" borderId="1" xfId="5" applyNumberFormat="1" applyFont="1" applyFill="1" applyBorder="1" applyAlignment="1">
      <alignment vertical="center"/>
    </xf>
    <xf numFmtId="7" fontId="14" fillId="2" borderId="1" xfId="5" applyNumberFormat="1" applyFont="1" applyFill="1" applyBorder="1" applyAlignment="1">
      <alignment vertical="center"/>
    </xf>
    <xf numFmtId="7" fontId="14" fillId="2" borderId="1" xfId="5" applyNumberFormat="1" applyFont="1" applyFill="1" applyBorder="1"/>
    <xf numFmtId="164" fontId="15" fillId="2" borderId="1" xfId="1" applyFont="1" applyFill="1" applyBorder="1" applyAlignment="1">
      <alignment vertical="center"/>
    </xf>
    <xf numFmtId="166" fontId="7" fillId="2" borderId="0" xfId="0" applyNumberFormat="1" applyFont="1" applyFill="1"/>
    <xf numFmtId="166" fontId="8" fillId="2" borderId="0" xfId="0" applyNumberFormat="1" applyFont="1" applyFill="1"/>
    <xf numFmtId="8" fontId="0" fillId="0" borderId="0" xfId="0" applyNumberFormat="1"/>
    <xf numFmtId="175" fontId="38" fillId="0" borderId="18" xfId="17" applyNumberFormat="1" applyFont="1" applyBorder="1" applyAlignment="1">
      <alignment horizontal="right" vertical="center"/>
    </xf>
    <xf numFmtId="0" fontId="38" fillId="0" borderId="1" xfId="13" applyFont="1" applyBorder="1" applyAlignment="1">
      <alignment horizontal="center" vertical="center" wrapText="1"/>
    </xf>
    <xf numFmtId="0" fontId="40" fillId="2" borderId="33" xfId="13" applyFont="1" applyFill="1" applyBorder="1" applyAlignment="1">
      <alignment vertical="center"/>
    </xf>
    <xf numFmtId="44" fontId="8" fillId="0" borderId="0" xfId="23" applyFont="1" applyAlignment="1">
      <alignment horizontal="center" vertical="center"/>
    </xf>
    <xf numFmtId="44" fontId="1" fillId="0" borderId="1" xfId="23" applyFont="1" applyBorder="1" applyAlignment="1">
      <alignment vertical="center"/>
    </xf>
    <xf numFmtId="44" fontId="1" fillId="0" borderId="1" xfId="23" applyNumberFormat="1" applyFont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/>
    </xf>
    <xf numFmtId="0" fontId="3" fillId="2" borderId="33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8" fillId="0" borderId="1" xfId="13" applyFont="1" applyBorder="1" applyAlignment="1">
      <alignment horizontal="center" vertical="center"/>
    </xf>
    <xf numFmtId="0" fontId="14" fillId="2" borderId="1" xfId="5" applyFont="1" applyFill="1" applyBorder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1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175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5" fontId="26" fillId="21" borderId="1" xfId="0" applyNumberFormat="1" applyFont="1" applyFill="1" applyBorder="1" applyAlignment="1">
      <alignment horizontal="center" vertical="center"/>
    </xf>
    <xf numFmtId="10" fontId="26" fillId="21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8" fillId="0" borderId="29" xfId="0" applyFont="1" applyBorder="1" applyAlignment="1">
      <alignment horizontal="center" vertical="center"/>
    </xf>
    <xf numFmtId="10" fontId="26" fillId="19" borderId="54" xfId="0" applyNumberFormat="1" applyFont="1" applyFill="1" applyBorder="1" applyAlignment="1">
      <alignment horizontal="center" vertical="center"/>
    </xf>
    <xf numFmtId="175" fontId="26" fillId="0" borderId="29" xfId="0" applyNumberFormat="1" applyFont="1" applyBorder="1" applyAlignment="1">
      <alignment horizontal="center" vertical="center"/>
    </xf>
    <xf numFmtId="0" fontId="8" fillId="0" borderId="29" xfId="0" applyFont="1" applyBorder="1"/>
    <xf numFmtId="175" fontId="26" fillId="0" borderId="1" xfId="0" applyNumberFormat="1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/>
    </xf>
    <xf numFmtId="0" fontId="26" fillId="21" borderId="1" xfId="0" applyFont="1" applyFill="1" applyBorder="1" applyAlignment="1">
      <alignment horizontal="center" vertical="center"/>
    </xf>
    <xf numFmtId="175" fontId="26" fillId="0" borderId="18" xfId="0" applyNumberFormat="1" applyFont="1" applyBorder="1" applyAlignment="1">
      <alignment horizontal="center" vertical="center"/>
    </xf>
    <xf numFmtId="175" fontId="26" fillId="21" borderId="14" xfId="0" applyNumberFormat="1" applyFont="1" applyFill="1" applyBorder="1" applyAlignment="1">
      <alignment horizontal="center" vertical="center"/>
    </xf>
    <xf numFmtId="10" fontId="26" fillId="21" borderId="14" xfId="0" applyNumberFormat="1" applyFont="1" applyFill="1" applyBorder="1" applyAlignment="1">
      <alignment horizontal="center" vertical="center"/>
    </xf>
    <xf numFmtId="10" fontId="40" fillId="2" borderId="0" xfId="13" quotePrefix="1" applyNumberFormat="1" applyFont="1" applyFill="1" applyBorder="1" applyAlignment="1">
      <alignment horizontal="left" vertical="center"/>
    </xf>
    <xf numFmtId="10" fontId="40" fillId="2" borderId="0" xfId="13" applyNumberFormat="1" applyFont="1" applyFill="1" applyBorder="1" applyAlignment="1">
      <alignment horizontal="center" vertical="center"/>
    </xf>
    <xf numFmtId="10" fontId="40" fillId="2" borderId="0" xfId="13" applyNumberFormat="1" applyFont="1" applyFill="1" applyBorder="1" applyAlignment="1">
      <alignment horizontal="left" vertical="center" wrapText="1"/>
    </xf>
    <xf numFmtId="10" fontId="40" fillId="2" borderId="0" xfId="13" applyNumberFormat="1" applyFont="1" applyFill="1" applyBorder="1" applyAlignment="1">
      <alignment horizontal="right" vertical="center"/>
    </xf>
    <xf numFmtId="10" fontId="41" fillId="2" borderId="0" xfId="13" applyNumberFormat="1" applyFont="1" applyFill="1" applyBorder="1" applyAlignment="1">
      <alignment horizontal="right" vertical="center"/>
    </xf>
    <xf numFmtId="10" fontId="40" fillId="2" borderId="33" xfId="13" applyNumberFormat="1" applyFont="1" applyFill="1" applyBorder="1" applyAlignment="1">
      <alignment horizontal="left" vertical="center"/>
    </xf>
    <xf numFmtId="0" fontId="38" fillId="19" borderId="1" xfId="13" applyFont="1" applyFill="1" applyBorder="1" applyAlignment="1">
      <alignment horizontal="center" vertical="center" wrapText="1"/>
    </xf>
    <xf numFmtId="0" fontId="38" fillId="19" borderId="1" xfId="13" applyFont="1" applyFill="1" applyBorder="1" applyAlignment="1">
      <alignment horizontal="center" vertical="center"/>
    </xf>
    <xf numFmtId="44" fontId="40" fillId="2" borderId="0" xfId="26" applyFont="1" applyFill="1" applyBorder="1" applyAlignment="1" applyProtection="1">
      <alignment horizontal="center" vertical="center"/>
      <protection hidden="1"/>
    </xf>
    <xf numFmtId="44" fontId="40" fillId="2" borderId="33" xfId="26" applyFont="1" applyFill="1" applyBorder="1" applyAlignment="1" applyProtection="1">
      <alignment horizontal="center" vertical="center"/>
      <protection hidden="1"/>
    </xf>
    <xf numFmtId="0" fontId="40" fillId="2" borderId="0" xfId="13" applyNumberFormat="1" applyFont="1" applyFill="1" applyBorder="1" applyAlignment="1">
      <alignment horizontal="center" vertical="center"/>
    </xf>
    <xf numFmtId="49" fontId="40" fillId="2" borderId="0" xfId="13" applyNumberFormat="1" applyFont="1" applyFill="1" applyBorder="1" applyAlignment="1">
      <alignment horizontal="left" vertical="center" wrapText="1"/>
    </xf>
    <xf numFmtId="49" fontId="40" fillId="2" borderId="0" xfId="13" applyNumberFormat="1" applyFont="1" applyFill="1" applyBorder="1" applyAlignment="1">
      <alignment horizontal="center" vertical="center"/>
    </xf>
    <xf numFmtId="174" fontId="40" fillId="2" borderId="0" xfId="17" applyNumberFormat="1" applyFont="1" applyFill="1" applyBorder="1" applyAlignment="1">
      <alignment horizontal="right" vertical="center"/>
    </xf>
    <xf numFmtId="8" fontId="40" fillId="2" borderId="0" xfId="17" applyNumberFormat="1" applyFont="1" applyFill="1" applyBorder="1" applyAlignment="1">
      <alignment horizontal="right" vertical="center"/>
    </xf>
    <xf numFmtId="2" fontId="40" fillId="2" borderId="0" xfId="17" applyNumberFormat="1" applyFont="1" applyFill="1" applyBorder="1" applyAlignment="1">
      <alignment horizontal="right" vertical="center"/>
    </xf>
    <xf numFmtId="0" fontId="38" fillId="2" borderId="31" xfId="13" applyFont="1" applyFill="1" applyBorder="1" applyAlignment="1">
      <alignment horizontal="left" vertical="center" wrapText="1"/>
    </xf>
    <xf numFmtId="0" fontId="38" fillId="2" borderId="0" xfId="13" applyFont="1" applyFill="1" applyBorder="1" applyAlignment="1">
      <alignment horizontal="left" vertical="center" wrapText="1"/>
    </xf>
    <xf numFmtId="0" fontId="38" fillId="2" borderId="0" xfId="13" applyFont="1" applyFill="1" applyBorder="1" applyAlignment="1">
      <alignment vertical="center" wrapText="1"/>
    </xf>
    <xf numFmtId="0" fontId="40" fillId="2" borderId="0" xfId="1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29" xfId="0" applyFont="1" applyBorder="1" applyAlignment="1">
      <alignment horizontal="center" vertical="center" wrapText="1"/>
    </xf>
    <xf numFmtId="175" fontId="8" fillId="0" borderId="1" xfId="0" applyNumberFormat="1" applyFont="1" applyBorder="1" applyAlignment="1">
      <alignment horizontal="center" vertical="center" wrapText="1"/>
    </xf>
    <xf numFmtId="0" fontId="26" fillId="21" borderId="8" xfId="0" applyFont="1" applyFill="1" applyBorder="1" applyAlignment="1">
      <alignment horizontal="right" vertical="center" wrapText="1"/>
    </xf>
    <xf numFmtId="0" fontId="26" fillId="21" borderId="1" xfId="0" applyFont="1" applyFill="1" applyBorder="1" applyAlignment="1">
      <alignment horizontal="right" vertical="center" wrapText="1"/>
    </xf>
    <xf numFmtId="0" fontId="26" fillId="21" borderId="18" xfId="0" applyFont="1" applyFill="1" applyBorder="1" applyAlignment="1">
      <alignment horizontal="right" vertical="center" wrapText="1"/>
    </xf>
    <xf numFmtId="0" fontId="26" fillId="19" borderId="38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5" fontId="26" fillId="0" borderId="29" xfId="0" applyNumberFormat="1" applyFont="1" applyBorder="1" applyAlignment="1">
      <alignment horizontal="center" vertical="center" wrapText="1"/>
    </xf>
    <xf numFmtId="0" fontId="26" fillId="21" borderId="8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21" borderId="14" xfId="0" applyFont="1" applyFill="1" applyBorder="1" applyAlignment="1">
      <alignment horizontal="center" vertical="center" wrapText="1"/>
    </xf>
    <xf numFmtId="44" fontId="8" fillId="0" borderId="0" xfId="23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1" fontId="8" fillId="2" borderId="1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175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/>
    </xf>
    <xf numFmtId="10" fontId="8" fillId="0" borderId="0" xfId="0" applyNumberFormat="1" applyFont="1"/>
    <xf numFmtId="44" fontId="8" fillId="0" borderId="0" xfId="0" applyNumberFormat="1" applyFont="1"/>
    <xf numFmtId="175" fontId="8" fillId="0" borderId="0" xfId="0" applyNumberFormat="1" applyFont="1"/>
    <xf numFmtId="176" fontId="8" fillId="0" borderId="0" xfId="0" applyNumberFormat="1" applyFont="1"/>
    <xf numFmtId="8" fontId="8" fillId="0" borderId="0" xfId="0" applyNumberFormat="1" applyFont="1"/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175" fontId="26" fillId="19" borderId="3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/>
    </xf>
    <xf numFmtId="0" fontId="12" fillId="2" borderId="31" xfId="0" applyFont="1" applyFill="1" applyBorder="1" applyAlignment="1">
      <alignment horizontal="left"/>
    </xf>
    <xf numFmtId="0" fontId="15" fillId="2" borderId="1" xfId="5" applyFont="1" applyFill="1" applyBorder="1" applyAlignment="1">
      <alignment wrapText="1"/>
    </xf>
    <xf numFmtId="0" fontId="14" fillId="2" borderId="18" xfId="5" applyFont="1" applyFill="1" applyBorder="1" applyAlignment="1">
      <alignment horizontal="left" vertical="center" wrapText="1"/>
    </xf>
    <xf numFmtId="2" fontId="15" fillId="2" borderId="3" xfId="6" applyNumberFormat="1" applyFont="1" applyFill="1" applyBorder="1" applyAlignment="1">
      <alignment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10" fontId="2" fillId="0" borderId="1" xfId="2" applyNumberForma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18" fillId="24" borderId="1" xfId="2" applyFont="1" applyFill="1" applyBorder="1" applyAlignment="1">
      <alignment horizontal="center"/>
    </xf>
    <xf numFmtId="10" fontId="18" fillId="24" borderId="1" xfId="2" applyNumberFormat="1" applyFont="1" applyFill="1" applyBorder="1" applyAlignment="1">
      <alignment horizontal="center"/>
    </xf>
    <xf numFmtId="10" fontId="2" fillId="24" borderId="1" xfId="2" applyNumberForma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10" fontId="2" fillId="0" borderId="1" xfId="2" applyNumberFormat="1" applyBorder="1" applyAlignment="1">
      <alignment horizontal="center" vertical="center"/>
    </xf>
    <xf numFmtId="10" fontId="2" fillId="23" borderId="1" xfId="2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10" fontId="8" fillId="2" borderId="0" xfId="0" applyNumberFormat="1" applyFont="1" applyFill="1" applyBorder="1" applyAlignment="1">
      <alignment horizontal="left"/>
    </xf>
    <xf numFmtId="10" fontId="8" fillId="2" borderId="33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8" fillId="2" borderId="33" xfId="0" applyFont="1" applyFill="1" applyBorder="1" applyAlignment="1">
      <alignment horizontal="left" wrapText="1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21" borderId="6" xfId="0" applyFont="1" applyFill="1" applyBorder="1" applyAlignment="1">
      <alignment horizontal="right" vertical="center"/>
    </xf>
    <xf numFmtId="0" fontId="26" fillId="21" borderId="7" xfId="0" applyFont="1" applyFill="1" applyBorder="1" applyAlignment="1">
      <alignment horizontal="right" vertical="center"/>
    </xf>
    <xf numFmtId="0" fontId="26" fillId="21" borderId="1" xfId="0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6" fillId="21" borderId="18" xfId="0" applyFont="1" applyFill="1" applyBorder="1" applyAlignment="1">
      <alignment horizontal="right" vertical="center"/>
    </xf>
    <xf numFmtId="0" fontId="26" fillId="19" borderId="52" xfId="0" applyFont="1" applyFill="1" applyBorder="1" applyAlignment="1">
      <alignment horizontal="center" vertical="center"/>
    </xf>
    <xf numFmtId="0" fontId="26" fillId="19" borderId="36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26" fillId="21" borderId="6" xfId="0" applyFont="1" applyFill="1" applyBorder="1" applyAlignment="1">
      <alignment horizontal="center" vertical="center"/>
    </xf>
    <xf numFmtId="0" fontId="26" fillId="21" borderId="7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8" fillId="19" borderId="1" xfId="13" applyFont="1" applyFill="1" applyBorder="1" applyAlignment="1">
      <alignment horizontal="left" vertical="center" wrapText="1"/>
    </xf>
    <xf numFmtId="0" fontId="38" fillId="0" borderId="30" xfId="13" applyFont="1" applyBorder="1" applyAlignment="1">
      <alignment horizontal="center" vertical="center"/>
    </xf>
    <xf numFmtId="0" fontId="38" fillId="0" borderId="26" xfId="1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2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8" fillId="0" borderId="1" xfId="13" applyFont="1" applyBorder="1" applyAlignment="1">
      <alignment horizontal="center" vertical="center"/>
    </xf>
    <xf numFmtId="10" fontId="39" fillId="6" borderId="1" xfId="2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40" fillId="2" borderId="0" xfId="13" applyNumberFormat="1" applyFont="1" applyFill="1" applyBorder="1" applyAlignment="1">
      <alignment horizontal="left" vertical="center" wrapText="1"/>
    </xf>
    <xf numFmtId="2" fontId="40" fillId="2" borderId="33" xfId="13" applyNumberFormat="1" applyFont="1" applyFill="1" applyBorder="1" applyAlignment="1">
      <alignment horizontal="left" vertical="center" wrapText="1"/>
    </xf>
    <xf numFmtId="0" fontId="38" fillId="2" borderId="25" xfId="13" applyFont="1" applyFill="1" applyBorder="1" applyAlignment="1">
      <alignment horizontal="center" vertical="center"/>
    </xf>
    <xf numFmtId="0" fontId="38" fillId="2" borderId="30" xfId="13" applyFont="1" applyFill="1" applyBorder="1" applyAlignment="1">
      <alignment horizontal="center" vertical="center"/>
    </xf>
    <xf numFmtId="0" fontId="38" fillId="2" borderId="26" xfId="13" applyFont="1" applyFill="1" applyBorder="1" applyAlignment="1">
      <alignment horizontal="center" vertical="center"/>
    </xf>
    <xf numFmtId="0" fontId="38" fillId="2" borderId="23" xfId="13" applyFont="1" applyFill="1" applyBorder="1" applyAlignment="1">
      <alignment horizontal="center" vertical="center"/>
    </xf>
    <xf numFmtId="0" fontId="38" fillId="2" borderId="28" xfId="13" applyFont="1" applyFill="1" applyBorder="1" applyAlignment="1">
      <alignment horizontal="center" vertical="center"/>
    </xf>
    <xf numFmtId="0" fontId="38" fillId="2" borderId="24" xfId="13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 wrapText="1"/>
    </xf>
    <xf numFmtId="0" fontId="14" fillId="2" borderId="29" xfId="5" applyFont="1" applyFill="1" applyBorder="1" applyAlignment="1">
      <alignment horizontal="center" vertical="center" wrapText="1"/>
    </xf>
    <xf numFmtId="2" fontId="4" fillId="2" borderId="30" xfId="0" applyNumberFormat="1" applyFont="1" applyFill="1" applyBorder="1" applyAlignment="1">
      <alignment horizontal="left" wrapText="1"/>
    </xf>
    <xf numFmtId="2" fontId="4" fillId="2" borderId="26" xfId="0" applyNumberFormat="1" applyFont="1" applyFill="1" applyBorder="1" applyAlignment="1">
      <alignment horizontal="left" wrapText="1"/>
    </xf>
    <xf numFmtId="0" fontId="14" fillId="2" borderId="1" xfId="5" applyFont="1" applyFill="1" applyBorder="1" applyAlignment="1">
      <alignment horizontal="center" vertical="center"/>
    </xf>
    <xf numFmtId="11" fontId="14" fillId="2" borderId="18" xfId="5" applyNumberFormat="1" applyFont="1" applyFill="1" applyBorder="1" applyAlignment="1">
      <alignment horizontal="left" vertical="center" wrapText="1"/>
    </xf>
    <xf numFmtId="0" fontId="14" fillId="2" borderId="5" xfId="5" applyFont="1" applyFill="1" applyBorder="1" applyAlignment="1">
      <alignment horizontal="left" vertical="center" wrapText="1"/>
    </xf>
    <xf numFmtId="0" fontId="14" fillId="2" borderId="29" xfId="5" applyFont="1" applyFill="1" applyBorder="1" applyAlignment="1">
      <alignment horizontal="left" vertical="center" wrapText="1"/>
    </xf>
    <xf numFmtId="0" fontId="14" fillId="2" borderId="18" xfId="5" applyFont="1" applyFill="1" applyBorder="1" applyAlignment="1">
      <alignment horizontal="left" vertical="center" wrapText="1"/>
    </xf>
    <xf numFmtId="0" fontId="14" fillId="2" borderId="1" xfId="5" applyFont="1" applyFill="1" applyBorder="1" applyAlignment="1">
      <alignment horizontal="center"/>
    </xf>
    <xf numFmtId="0" fontId="45" fillId="20" borderId="15" xfId="25" applyFont="1" applyFill="1" applyBorder="1" applyAlignment="1">
      <alignment horizontal="center"/>
    </xf>
    <xf numFmtId="0" fontId="45" fillId="20" borderId="7" xfId="25" applyFont="1" applyFill="1" applyBorder="1" applyAlignment="1">
      <alignment horizontal="center"/>
    </xf>
    <xf numFmtId="0" fontId="45" fillId="3" borderId="37" xfId="25" applyFont="1" applyFill="1" applyBorder="1" applyAlignment="1">
      <alignment horizontal="center"/>
    </xf>
    <xf numFmtId="0" fontId="45" fillId="3" borderId="36" xfId="25" applyFont="1" applyFill="1" applyBorder="1" applyAlignment="1">
      <alignment horizontal="center"/>
    </xf>
    <xf numFmtId="0" fontId="45" fillId="3" borderId="38" xfId="25" applyFont="1" applyFill="1" applyBorder="1" applyAlignment="1">
      <alignment horizontal="center"/>
    </xf>
    <xf numFmtId="0" fontId="45" fillId="20" borderId="27" xfId="25" applyFont="1" applyFill="1" applyBorder="1" applyAlignment="1">
      <alignment horizontal="center"/>
    </xf>
    <xf numFmtId="0" fontId="45" fillId="20" borderId="28" xfId="25" applyFont="1" applyFill="1" applyBorder="1" applyAlignment="1">
      <alignment horizontal="center"/>
    </xf>
    <xf numFmtId="0" fontId="46" fillId="2" borderId="0" xfId="25" applyFont="1" applyFill="1" applyBorder="1" applyAlignment="1">
      <alignment horizontal="center" vertical="center"/>
    </xf>
    <xf numFmtId="0" fontId="46" fillId="2" borderId="28" xfId="25" applyFont="1" applyFill="1" applyBorder="1" applyAlignment="1">
      <alignment horizontal="center" vertical="center"/>
    </xf>
    <xf numFmtId="0" fontId="25" fillId="19" borderId="49" xfId="0" applyFont="1" applyFill="1" applyBorder="1" applyAlignment="1">
      <alignment horizontal="center" vertical="center"/>
    </xf>
    <xf numFmtId="0" fontId="25" fillId="19" borderId="50" xfId="0" applyFont="1" applyFill="1" applyBorder="1" applyAlignment="1">
      <alignment horizontal="center" vertical="center"/>
    </xf>
    <xf numFmtId="0" fontId="25" fillId="19" borderId="51" xfId="0" applyFont="1" applyFill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22" borderId="55" xfId="2" applyFont="1" applyFill="1" applyBorder="1" applyAlignment="1">
      <alignment horizontal="center"/>
    </xf>
    <xf numFmtId="0" fontId="2" fillId="22" borderId="13" xfId="2" applyFont="1" applyFill="1" applyBorder="1" applyAlignment="1">
      <alignment horizontal="center"/>
    </xf>
    <xf numFmtId="0" fontId="2" fillId="22" borderId="29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18" fillId="23" borderId="1" xfId="2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0" borderId="1" xfId="2" applyNumberFormat="1" applyBorder="1" applyAlignment="1">
      <alignment horizontal="center"/>
    </xf>
    <xf numFmtId="0" fontId="18" fillId="25" borderId="1" xfId="2" applyFont="1" applyFill="1" applyBorder="1" applyAlignment="1">
      <alignment horizontal="center"/>
    </xf>
    <xf numFmtId="10" fontId="18" fillId="24" borderId="1" xfId="2" applyNumberFormat="1" applyFont="1" applyFill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10" fontId="2" fillId="0" borderId="8" xfId="2" applyNumberFormat="1" applyFont="1" applyBorder="1" applyAlignment="1">
      <alignment horizontal="center"/>
    </xf>
    <xf numFmtId="10" fontId="2" fillId="0" borderId="6" xfId="2" applyNumberFormat="1" applyBorder="1" applyAlignment="1">
      <alignment horizontal="center"/>
    </xf>
    <xf numFmtId="10" fontId="2" fillId="0" borderId="8" xfId="2" applyNumberFormat="1" applyBorder="1" applyAlignment="1">
      <alignment horizontal="center"/>
    </xf>
    <xf numFmtId="10" fontId="2" fillId="24" borderId="1" xfId="2" applyNumberFormat="1" applyFill="1" applyBorder="1" applyAlignment="1">
      <alignment horizontal="center"/>
    </xf>
    <xf numFmtId="0" fontId="18" fillId="25" borderId="1" xfId="2" applyFont="1" applyFill="1" applyBorder="1" applyAlignment="1">
      <alignment horizontal="center" vertical="center" wrapText="1"/>
    </xf>
    <xf numFmtId="10" fontId="2" fillId="23" borderId="1" xfId="2" applyNumberFormat="1" applyFill="1" applyBorder="1" applyAlignment="1">
      <alignment horizontal="center"/>
    </xf>
    <xf numFmtId="10" fontId="2" fillId="0" borderId="6" xfId="2" applyNumberFormat="1" applyBorder="1" applyAlignment="1">
      <alignment horizontal="center" vertical="center"/>
    </xf>
    <xf numFmtId="10" fontId="2" fillId="0" borderId="8" xfId="2" applyNumberFormat="1" applyBorder="1" applyAlignment="1">
      <alignment horizontal="center" vertical="center"/>
    </xf>
    <xf numFmtId="40" fontId="3" fillId="8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6" xfId="0" quotePrefix="1" applyFont="1" applyFill="1" applyBorder="1" applyAlignment="1">
      <alignment horizontal="left" vertical="center"/>
    </xf>
    <xf numFmtId="0" fontId="3" fillId="0" borderId="7" xfId="0" quotePrefix="1" applyFont="1" applyFill="1" applyBorder="1" applyAlignment="1">
      <alignment horizontal="left" vertical="center"/>
    </xf>
    <xf numFmtId="40" fontId="3" fillId="8" borderId="1" xfId="0" applyNumberFormat="1" applyFont="1" applyFill="1" applyBorder="1" applyAlignment="1">
      <alignment horizontal="justify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4" fillId="0" borderId="6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" fontId="24" fillId="0" borderId="25" xfId="0" applyNumberFormat="1" applyFont="1" applyBorder="1" applyAlignment="1">
      <alignment horizontal="left" wrapText="1"/>
    </xf>
    <xf numFmtId="4" fontId="24" fillId="0" borderId="26" xfId="0" applyNumberFormat="1" applyFont="1" applyBorder="1" applyAlignment="1">
      <alignment horizontal="left" wrapText="1"/>
    </xf>
    <xf numFmtId="4" fontId="24" fillId="0" borderId="23" xfId="0" applyNumberFormat="1" applyFont="1" applyBorder="1" applyAlignment="1">
      <alignment horizontal="left" wrapText="1"/>
    </xf>
    <xf numFmtId="4" fontId="24" fillId="0" borderId="24" xfId="0" applyNumberFormat="1" applyFont="1" applyBorder="1" applyAlignment="1">
      <alignment horizontal="left" wrapText="1"/>
    </xf>
    <xf numFmtId="0" fontId="6" fillId="7" borderId="6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wrapText="1"/>
    </xf>
    <xf numFmtId="4" fontId="6" fillId="0" borderId="8" xfId="0" applyNumberFormat="1" applyFont="1" applyBorder="1" applyAlignment="1">
      <alignment horizont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22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49" fontId="4" fillId="0" borderId="17" xfId="8" applyNumberFormat="1" applyFont="1" applyFill="1" applyBorder="1" applyAlignment="1">
      <alignment horizontal="center" vertical="center" wrapText="1"/>
    </xf>
    <xf numFmtId="49" fontId="4" fillId="0" borderId="19" xfId="8" applyNumberFormat="1" applyFont="1" applyFill="1" applyBorder="1" applyAlignment="1">
      <alignment horizontal="center" vertical="center" wrapText="1"/>
    </xf>
    <xf numFmtId="49" fontId="4" fillId="0" borderId="20" xfId="8" applyNumberFormat="1" applyFont="1" applyFill="1" applyBorder="1" applyAlignment="1">
      <alignment horizontal="center" vertical="center" wrapText="1"/>
    </xf>
    <xf numFmtId="0" fontId="5" fillId="0" borderId="18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43" fontId="5" fillId="0" borderId="18" xfId="14" applyNumberFormat="1" applyFont="1" applyBorder="1" applyAlignment="1">
      <alignment horizontal="center" vertical="center"/>
    </xf>
    <xf numFmtId="43" fontId="5" fillId="0" borderId="5" xfId="14" applyNumberFormat="1" applyFont="1" applyBorder="1" applyAlignment="1">
      <alignment horizontal="center" vertical="center"/>
    </xf>
    <xf numFmtId="43" fontId="5" fillId="0" borderId="21" xfId="14" applyNumberFormat="1" applyFont="1" applyBorder="1" applyAlignment="1">
      <alignment horizontal="center" vertical="center"/>
    </xf>
    <xf numFmtId="0" fontId="4" fillId="0" borderId="15" xfId="8" applyFont="1" applyFill="1" applyBorder="1" applyAlignment="1">
      <alignment horizontal="center" vertical="center"/>
    </xf>
    <xf numFmtId="0" fontId="4" fillId="0" borderId="7" xfId="8" applyFont="1" applyFill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0" fontId="4" fillId="0" borderId="13" xfId="8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1" fillId="15" borderId="23" xfId="0" applyFont="1" applyFill="1" applyBorder="1" applyAlignment="1" applyProtection="1">
      <alignment horizontal="left" vertical="center"/>
      <protection locked="0"/>
    </xf>
    <xf numFmtId="0" fontId="31" fillId="15" borderId="28" xfId="0" applyFont="1" applyFill="1" applyBorder="1" applyAlignment="1" applyProtection="1">
      <alignment horizontal="left" vertical="center"/>
      <protection locked="0"/>
    </xf>
    <xf numFmtId="0" fontId="31" fillId="15" borderId="24" xfId="0" applyFont="1" applyFill="1" applyBorder="1" applyAlignment="1" applyProtection="1">
      <alignment horizontal="left" vertical="center"/>
      <protection locked="0"/>
    </xf>
    <xf numFmtId="0" fontId="31" fillId="15" borderId="23" xfId="0" applyFont="1" applyFill="1" applyBorder="1" applyAlignment="1" applyProtection="1">
      <alignment horizontal="left" vertical="center" wrapText="1"/>
      <protection locked="0"/>
    </xf>
    <xf numFmtId="14" fontId="18" fillId="15" borderId="23" xfId="0" applyNumberFormat="1" applyFont="1" applyFill="1" applyBorder="1" applyAlignment="1" applyProtection="1">
      <alignment horizontal="center" vertical="center"/>
      <protection locked="0"/>
    </xf>
    <xf numFmtId="14" fontId="18" fillId="15" borderId="24" xfId="0" applyNumberFormat="1" applyFont="1" applyFill="1" applyBorder="1" applyAlignment="1" applyProtection="1">
      <alignment horizontal="center" vertical="center"/>
      <protection locked="0"/>
    </xf>
    <xf numFmtId="0" fontId="29" fillId="11" borderId="23" xfId="0" applyFont="1" applyFill="1" applyBorder="1" applyAlignment="1">
      <alignment horizontal="center" vertical="center"/>
    </xf>
    <xf numFmtId="0" fontId="29" fillId="11" borderId="28" xfId="0" applyFont="1" applyFill="1" applyBorder="1" applyAlignment="1">
      <alignment horizontal="center" vertical="center"/>
    </xf>
    <xf numFmtId="0" fontId="29" fillId="0" borderId="28" xfId="0" applyFont="1" applyBorder="1" applyAlignment="1" applyProtection="1">
      <alignment horizontal="left" vertical="center"/>
      <protection locked="0"/>
    </xf>
    <xf numFmtId="0" fontId="31" fillId="11" borderId="31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9" fillId="11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/>
    </xf>
    <xf numFmtId="0" fontId="31" fillId="13" borderId="0" xfId="0" applyFont="1" applyFill="1" applyBorder="1" applyAlignment="1">
      <alignment horizontal="center" vertical="center"/>
    </xf>
    <xf numFmtId="0" fontId="31" fillId="13" borderId="33" xfId="0" applyFont="1" applyFill="1" applyBorder="1" applyAlignment="1">
      <alignment horizontal="center" vertical="center"/>
    </xf>
    <xf numFmtId="0" fontId="31" fillId="14" borderId="31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center" vertical="center"/>
    </xf>
    <xf numFmtId="0" fontId="31" fillId="14" borderId="33" xfId="0" applyFont="1" applyFill="1" applyBorder="1" applyAlignment="1">
      <alignment horizontal="center" vertical="center"/>
    </xf>
    <xf numFmtId="0" fontId="31" fillId="11" borderId="8" xfId="0" applyFont="1" applyFill="1" applyBorder="1" applyAlignment="1" applyProtection="1">
      <alignment horizontal="right" vertical="center"/>
      <protection locked="0"/>
    </xf>
    <xf numFmtId="0" fontId="31" fillId="11" borderId="1" xfId="0" applyFont="1" applyFill="1" applyBorder="1" applyAlignment="1" applyProtection="1">
      <alignment horizontal="right" vertical="center"/>
      <protection locked="0"/>
    </xf>
    <xf numFmtId="0" fontId="31" fillId="11" borderId="6" xfId="0" applyFont="1" applyFill="1" applyBorder="1" applyAlignment="1" applyProtection="1">
      <alignment horizontal="right" vertical="center"/>
      <protection locked="0"/>
    </xf>
    <xf numFmtId="0" fontId="29" fillId="0" borderId="30" xfId="0" applyFont="1" applyFill="1" applyBorder="1" applyAlignment="1" applyProtection="1">
      <alignment horizontal="right" vertical="center"/>
    </xf>
    <xf numFmtId="0" fontId="29" fillId="17" borderId="31" xfId="0" applyFont="1" applyFill="1" applyBorder="1" applyAlignment="1">
      <alignment horizontal="center" vertical="center"/>
    </xf>
    <xf numFmtId="0" fontId="29" fillId="17" borderId="0" xfId="0" applyFont="1" applyFill="1" applyBorder="1" applyAlignment="1">
      <alignment horizontal="center" vertical="center"/>
    </xf>
    <xf numFmtId="0" fontId="29" fillId="17" borderId="33" xfId="0" applyFont="1" applyFill="1" applyBorder="1" applyAlignment="1">
      <alignment horizontal="center" vertical="center"/>
    </xf>
    <xf numFmtId="0" fontId="29" fillId="17" borderId="23" xfId="0" applyFont="1" applyFill="1" applyBorder="1" applyAlignment="1">
      <alignment horizontal="center" vertical="center"/>
    </xf>
    <xf numFmtId="0" fontId="29" fillId="17" borderId="28" xfId="0" applyFont="1" applyFill="1" applyBorder="1" applyAlignment="1">
      <alignment horizontal="center" vertical="center"/>
    </xf>
    <xf numFmtId="0" fontId="29" fillId="17" borderId="24" xfId="0" applyFont="1" applyFill="1" applyBorder="1" applyAlignment="1">
      <alignment horizontal="center" vertical="center"/>
    </xf>
    <xf numFmtId="0" fontId="31" fillId="15" borderId="31" xfId="0" applyFont="1" applyFill="1" applyBorder="1" applyAlignment="1" applyProtection="1">
      <alignment horizontal="left" vertical="center"/>
      <protection locked="0"/>
    </xf>
    <xf numFmtId="0" fontId="31" fillId="15" borderId="0" xfId="0" applyFont="1" applyFill="1" applyBorder="1" applyAlignment="1" applyProtection="1">
      <alignment horizontal="left" vertical="center"/>
      <protection locked="0"/>
    </xf>
    <xf numFmtId="0" fontId="31" fillId="15" borderId="33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</cellXfs>
  <cellStyles count="27">
    <cellStyle name="Hiperlink" xfId="12" builtinId="8"/>
    <cellStyle name="Moeda" xfId="23" builtinId="4"/>
    <cellStyle name="Moeda 2 2 14" xfId="26"/>
    <cellStyle name="Normal" xfId="0" builtinId="0"/>
    <cellStyle name="Normal 11" xfId="2"/>
    <cellStyle name="Normal 2 2" xfId="25"/>
    <cellStyle name="Normal 3 3" xfId="3"/>
    <cellStyle name="Normal 5" xfId="13"/>
    <cellStyle name="Normal 7" xfId="11"/>
    <cellStyle name="Normal 7 2" xfId="21"/>
    <cellStyle name="Normal 8" xfId="8"/>
    <cellStyle name="Normal 8 2" xfId="5"/>
    <cellStyle name="Porcentagem" xfId="16" builtinId="5"/>
    <cellStyle name="Porcentagem 2" xfId="15"/>
    <cellStyle name="Porcentagem 2 2" xfId="22"/>
    <cellStyle name="Porcentagem 3" xfId="24"/>
    <cellStyle name="Porcentagem 5" xfId="10"/>
    <cellStyle name="Porcentagem 6" xfId="6"/>
    <cellStyle name="Separador de milhares 5" xfId="9"/>
    <cellStyle name="Separador de milhares 5 2" xfId="20"/>
    <cellStyle name="Separador de milhares 7 2 2" xfId="14"/>
    <cellStyle name="Separador de milhares 9 2" xfId="7"/>
    <cellStyle name="Vírgula 2" xfId="1"/>
    <cellStyle name="Vírgula 2 2" xfId="18"/>
    <cellStyle name="Vírgula 3" xfId="17"/>
    <cellStyle name="Vírgula 5" xfId="4"/>
    <cellStyle name="Vírgula 5 2" xfId="19"/>
  </cellStyles>
  <dxfs count="4">
    <dxf>
      <fill>
        <patternFill patternType="solid">
          <bgColor indexed="2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041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95250</xdr:rowOff>
    </xdr:from>
    <xdr:to>
      <xdr:col>8</xdr:col>
      <xdr:colOff>819150</xdr:colOff>
      <xdr:row>15</xdr:row>
      <xdr:rowOff>95250</xdr:rowOff>
    </xdr:to>
    <xdr:cxnSp macro="">
      <xdr:nvCxnSpPr>
        <xdr:cNvPr id="56" name="Conector ret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CxnSpPr/>
      </xdr:nvCxnSpPr>
      <xdr:spPr>
        <a:xfrm>
          <a:off x="57150" y="43624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20</xdr:row>
      <xdr:rowOff>95250</xdr:rowOff>
    </xdr:from>
    <xdr:to>
      <xdr:col>8</xdr:col>
      <xdr:colOff>819150</xdr:colOff>
      <xdr:row>20</xdr:row>
      <xdr:rowOff>95250</xdr:rowOff>
    </xdr:to>
    <xdr:cxnSp macro="">
      <xdr:nvCxnSpPr>
        <xdr:cNvPr id="57" name="Conector re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CxnSpPr/>
      </xdr:nvCxnSpPr>
      <xdr:spPr>
        <a:xfrm>
          <a:off x="57150" y="56197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31</xdr:row>
      <xdr:rowOff>95250</xdr:rowOff>
    </xdr:from>
    <xdr:to>
      <xdr:col>8</xdr:col>
      <xdr:colOff>819150</xdr:colOff>
      <xdr:row>31</xdr:row>
      <xdr:rowOff>95250</xdr:rowOff>
    </xdr:to>
    <xdr:cxnSp macro="">
      <xdr:nvCxnSpPr>
        <xdr:cNvPr id="62" name="Conector reto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CxnSpPr/>
      </xdr:nvCxnSpPr>
      <xdr:spPr>
        <a:xfrm>
          <a:off x="57150" y="92773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41</xdr:row>
      <xdr:rowOff>95250</xdr:rowOff>
    </xdr:from>
    <xdr:to>
      <xdr:col>8</xdr:col>
      <xdr:colOff>819150</xdr:colOff>
      <xdr:row>41</xdr:row>
      <xdr:rowOff>95250</xdr:rowOff>
    </xdr:to>
    <xdr:cxnSp macro="">
      <xdr:nvCxnSpPr>
        <xdr:cNvPr id="66" name="Conector reto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CxnSpPr/>
      </xdr:nvCxnSpPr>
      <xdr:spPr>
        <a:xfrm>
          <a:off x="57150" y="127349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50</xdr:row>
      <xdr:rowOff>95250</xdr:rowOff>
    </xdr:from>
    <xdr:to>
      <xdr:col>8</xdr:col>
      <xdr:colOff>819150</xdr:colOff>
      <xdr:row>50</xdr:row>
      <xdr:rowOff>95250</xdr:rowOff>
    </xdr:to>
    <xdr:cxnSp macro="">
      <xdr:nvCxnSpPr>
        <xdr:cNvPr id="68" name="Conector reto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CxnSpPr/>
      </xdr:nvCxnSpPr>
      <xdr:spPr>
        <a:xfrm>
          <a:off x="57150" y="149923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57</xdr:row>
      <xdr:rowOff>95250</xdr:rowOff>
    </xdr:from>
    <xdr:to>
      <xdr:col>8</xdr:col>
      <xdr:colOff>819150</xdr:colOff>
      <xdr:row>57</xdr:row>
      <xdr:rowOff>95250</xdr:rowOff>
    </xdr:to>
    <xdr:cxnSp macro="">
      <xdr:nvCxnSpPr>
        <xdr:cNvPr id="69" name="Conector reto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CxnSpPr/>
      </xdr:nvCxnSpPr>
      <xdr:spPr>
        <a:xfrm>
          <a:off x="57150" y="17221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64</xdr:row>
      <xdr:rowOff>95250</xdr:rowOff>
    </xdr:from>
    <xdr:to>
      <xdr:col>8</xdr:col>
      <xdr:colOff>819150</xdr:colOff>
      <xdr:row>64</xdr:row>
      <xdr:rowOff>95250</xdr:rowOff>
    </xdr:to>
    <xdr:cxnSp macro="">
      <xdr:nvCxnSpPr>
        <xdr:cNvPr id="72" name="Conector reto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CxnSpPr/>
      </xdr:nvCxnSpPr>
      <xdr:spPr>
        <a:xfrm>
          <a:off x="57150" y="196405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72</xdr:row>
      <xdr:rowOff>95250</xdr:rowOff>
    </xdr:from>
    <xdr:to>
      <xdr:col>8</xdr:col>
      <xdr:colOff>819150</xdr:colOff>
      <xdr:row>72</xdr:row>
      <xdr:rowOff>95250</xdr:rowOff>
    </xdr:to>
    <xdr:cxnSp macro="">
      <xdr:nvCxnSpPr>
        <xdr:cNvPr id="80" name="Conector reto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CxnSpPr/>
      </xdr:nvCxnSpPr>
      <xdr:spPr>
        <a:xfrm>
          <a:off x="57150" y="222885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81</xdr:row>
      <xdr:rowOff>95250</xdr:rowOff>
    </xdr:from>
    <xdr:to>
      <xdr:col>8</xdr:col>
      <xdr:colOff>819150</xdr:colOff>
      <xdr:row>81</xdr:row>
      <xdr:rowOff>95250</xdr:rowOff>
    </xdr:to>
    <xdr:cxnSp macro="">
      <xdr:nvCxnSpPr>
        <xdr:cNvPr id="81" name="Conector reto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CxnSpPr/>
      </xdr:nvCxnSpPr>
      <xdr:spPr>
        <a:xfrm>
          <a:off x="57150" y="248316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86</xdr:row>
      <xdr:rowOff>95250</xdr:rowOff>
    </xdr:from>
    <xdr:to>
      <xdr:col>8</xdr:col>
      <xdr:colOff>819150</xdr:colOff>
      <xdr:row>86</xdr:row>
      <xdr:rowOff>95250</xdr:rowOff>
    </xdr:to>
    <xdr:cxnSp macro="">
      <xdr:nvCxnSpPr>
        <xdr:cNvPr id="82" name="Conector reto 8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CxnSpPr/>
      </xdr:nvCxnSpPr>
      <xdr:spPr>
        <a:xfrm>
          <a:off x="57150" y="260508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94</xdr:row>
      <xdr:rowOff>95250</xdr:rowOff>
    </xdr:from>
    <xdr:to>
      <xdr:col>8</xdr:col>
      <xdr:colOff>819150</xdr:colOff>
      <xdr:row>94</xdr:row>
      <xdr:rowOff>95250</xdr:rowOff>
    </xdr:to>
    <xdr:cxnSp macro="">
      <xdr:nvCxnSpPr>
        <xdr:cNvPr id="83" name="Conector reto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CxnSpPr/>
      </xdr:nvCxnSpPr>
      <xdr:spPr>
        <a:xfrm>
          <a:off x="57150" y="281559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104</xdr:row>
      <xdr:rowOff>95250</xdr:rowOff>
    </xdr:from>
    <xdr:to>
      <xdr:col>8</xdr:col>
      <xdr:colOff>819150</xdr:colOff>
      <xdr:row>104</xdr:row>
      <xdr:rowOff>95250</xdr:rowOff>
    </xdr:to>
    <xdr:cxnSp macro="">
      <xdr:nvCxnSpPr>
        <xdr:cNvPr id="84" name="Conector reto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CxnSpPr/>
      </xdr:nvCxnSpPr>
      <xdr:spPr>
        <a:xfrm>
          <a:off x="57150" y="315658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112</xdr:row>
      <xdr:rowOff>95250</xdr:rowOff>
    </xdr:from>
    <xdr:to>
      <xdr:col>8</xdr:col>
      <xdr:colOff>819150</xdr:colOff>
      <xdr:row>112</xdr:row>
      <xdr:rowOff>95250</xdr:rowOff>
    </xdr:to>
    <xdr:cxnSp macro="">
      <xdr:nvCxnSpPr>
        <xdr:cNvPr id="85" name="Conector reto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CxnSpPr/>
      </xdr:nvCxnSpPr>
      <xdr:spPr>
        <a:xfrm>
          <a:off x="57150" y="341661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121</xdr:row>
      <xdr:rowOff>95250</xdr:rowOff>
    </xdr:from>
    <xdr:to>
      <xdr:col>8</xdr:col>
      <xdr:colOff>819150</xdr:colOff>
      <xdr:row>121</xdr:row>
      <xdr:rowOff>95250</xdr:rowOff>
    </xdr:to>
    <xdr:cxnSp macro="">
      <xdr:nvCxnSpPr>
        <xdr:cNvPr id="90" name="Conector reto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CxnSpPr/>
      </xdr:nvCxnSpPr>
      <xdr:spPr>
        <a:xfrm>
          <a:off x="57150" y="370808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130</xdr:row>
      <xdr:rowOff>95250</xdr:rowOff>
    </xdr:from>
    <xdr:to>
      <xdr:col>8</xdr:col>
      <xdr:colOff>819150</xdr:colOff>
      <xdr:row>130</xdr:row>
      <xdr:rowOff>95250</xdr:rowOff>
    </xdr:to>
    <xdr:cxnSp macro="">
      <xdr:nvCxnSpPr>
        <xdr:cNvPr id="91" name="Conector reto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CxnSpPr/>
      </xdr:nvCxnSpPr>
      <xdr:spPr>
        <a:xfrm>
          <a:off x="57150" y="399669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138</xdr:row>
      <xdr:rowOff>95250</xdr:rowOff>
    </xdr:from>
    <xdr:to>
      <xdr:col>8</xdr:col>
      <xdr:colOff>819150</xdr:colOff>
      <xdr:row>138</xdr:row>
      <xdr:rowOff>95250</xdr:rowOff>
    </xdr:to>
    <xdr:cxnSp macro="">
      <xdr:nvCxnSpPr>
        <xdr:cNvPr id="92" name="Conector reto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CxnSpPr/>
      </xdr:nvCxnSpPr>
      <xdr:spPr>
        <a:xfrm>
          <a:off x="57150" y="421671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146</xdr:row>
      <xdr:rowOff>95250</xdr:rowOff>
    </xdr:from>
    <xdr:to>
      <xdr:col>8</xdr:col>
      <xdr:colOff>819150</xdr:colOff>
      <xdr:row>146</xdr:row>
      <xdr:rowOff>95250</xdr:rowOff>
    </xdr:to>
    <xdr:cxnSp macro="">
      <xdr:nvCxnSpPr>
        <xdr:cNvPr id="93" name="Conector reto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CxnSpPr/>
      </xdr:nvCxnSpPr>
      <xdr:spPr>
        <a:xfrm>
          <a:off x="57150" y="444722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159</xdr:row>
      <xdr:rowOff>95250</xdr:rowOff>
    </xdr:from>
    <xdr:to>
      <xdr:col>8</xdr:col>
      <xdr:colOff>819150</xdr:colOff>
      <xdr:row>159</xdr:row>
      <xdr:rowOff>95250</xdr:rowOff>
    </xdr:to>
    <xdr:cxnSp macro="">
      <xdr:nvCxnSpPr>
        <xdr:cNvPr id="94" name="Conector reto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CxnSpPr/>
      </xdr:nvCxnSpPr>
      <xdr:spPr>
        <a:xfrm>
          <a:off x="57150" y="48844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169</xdr:row>
      <xdr:rowOff>95250</xdr:rowOff>
    </xdr:from>
    <xdr:to>
      <xdr:col>8</xdr:col>
      <xdr:colOff>819150</xdr:colOff>
      <xdr:row>169</xdr:row>
      <xdr:rowOff>95250</xdr:rowOff>
    </xdr:to>
    <xdr:cxnSp macro="">
      <xdr:nvCxnSpPr>
        <xdr:cNvPr id="95" name="Conector reto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CxnSpPr/>
      </xdr:nvCxnSpPr>
      <xdr:spPr>
        <a:xfrm>
          <a:off x="57150" y="521970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176</xdr:row>
      <xdr:rowOff>95250</xdr:rowOff>
    </xdr:from>
    <xdr:to>
      <xdr:col>8</xdr:col>
      <xdr:colOff>819150</xdr:colOff>
      <xdr:row>176</xdr:row>
      <xdr:rowOff>95250</xdr:rowOff>
    </xdr:to>
    <xdr:cxnSp macro="">
      <xdr:nvCxnSpPr>
        <xdr:cNvPr id="96" name="Conector reto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CxnSpPr/>
      </xdr:nvCxnSpPr>
      <xdr:spPr>
        <a:xfrm>
          <a:off x="57150" y="538257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184</xdr:row>
      <xdr:rowOff>95250</xdr:rowOff>
    </xdr:from>
    <xdr:to>
      <xdr:col>8</xdr:col>
      <xdr:colOff>819150</xdr:colOff>
      <xdr:row>184</xdr:row>
      <xdr:rowOff>95250</xdr:rowOff>
    </xdr:to>
    <xdr:cxnSp macro="">
      <xdr:nvCxnSpPr>
        <xdr:cNvPr id="97" name="Conector reto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CxnSpPr/>
      </xdr:nvCxnSpPr>
      <xdr:spPr>
        <a:xfrm>
          <a:off x="57150" y="560260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194</xdr:row>
      <xdr:rowOff>95250</xdr:rowOff>
    </xdr:from>
    <xdr:to>
      <xdr:col>8</xdr:col>
      <xdr:colOff>819150</xdr:colOff>
      <xdr:row>194</xdr:row>
      <xdr:rowOff>95250</xdr:rowOff>
    </xdr:to>
    <xdr:cxnSp macro="">
      <xdr:nvCxnSpPr>
        <xdr:cNvPr id="98" name="Conector reto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CxnSpPr/>
      </xdr:nvCxnSpPr>
      <xdr:spPr>
        <a:xfrm>
          <a:off x="57150" y="587311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204</xdr:row>
      <xdr:rowOff>95250</xdr:rowOff>
    </xdr:from>
    <xdr:to>
      <xdr:col>8</xdr:col>
      <xdr:colOff>819150</xdr:colOff>
      <xdr:row>204</xdr:row>
      <xdr:rowOff>95250</xdr:rowOff>
    </xdr:to>
    <xdr:cxnSp macro="">
      <xdr:nvCxnSpPr>
        <xdr:cNvPr id="99" name="Conector reto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CxnSpPr/>
      </xdr:nvCxnSpPr>
      <xdr:spPr>
        <a:xfrm>
          <a:off x="57150" y="615029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214</xdr:row>
      <xdr:rowOff>95250</xdr:rowOff>
    </xdr:from>
    <xdr:to>
      <xdr:col>8</xdr:col>
      <xdr:colOff>819150</xdr:colOff>
      <xdr:row>214</xdr:row>
      <xdr:rowOff>95250</xdr:rowOff>
    </xdr:to>
    <xdr:cxnSp macro="">
      <xdr:nvCxnSpPr>
        <xdr:cNvPr id="100" name="Conector reto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CxnSpPr/>
      </xdr:nvCxnSpPr>
      <xdr:spPr>
        <a:xfrm>
          <a:off x="57150" y="641604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221</xdr:row>
      <xdr:rowOff>95250</xdr:rowOff>
    </xdr:from>
    <xdr:to>
      <xdr:col>8</xdr:col>
      <xdr:colOff>819150</xdr:colOff>
      <xdr:row>221</xdr:row>
      <xdr:rowOff>95250</xdr:rowOff>
    </xdr:to>
    <xdr:cxnSp macro="">
      <xdr:nvCxnSpPr>
        <xdr:cNvPr id="101" name="Conector reto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CxnSpPr/>
      </xdr:nvCxnSpPr>
      <xdr:spPr>
        <a:xfrm>
          <a:off x="57150" y="659796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229</xdr:row>
      <xdr:rowOff>95250</xdr:rowOff>
    </xdr:from>
    <xdr:to>
      <xdr:col>8</xdr:col>
      <xdr:colOff>819150</xdr:colOff>
      <xdr:row>229</xdr:row>
      <xdr:rowOff>95250</xdr:rowOff>
    </xdr:to>
    <xdr:cxnSp macro="">
      <xdr:nvCxnSpPr>
        <xdr:cNvPr id="102" name="Conector reto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CxnSpPr/>
      </xdr:nvCxnSpPr>
      <xdr:spPr>
        <a:xfrm>
          <a:off x="57150" y="681799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239</xdr:row>
      <xdr:rowOff>95250</xdr:rowOff>
    </xdr:from>
    <xdr:to>
      <xdr:col>8</xdr:col>
      <xdr:colOff>819150</xdr:colOff>
      <xdr:row>239</xdr:row>
      <xdr:rowOff>95250</xdr:rowOff>
    </xdr:to>
    <xdr:cxnSp macro="">
      <xdr:nvCxnSpPr>
        <xdr:cNvPr id="103" name="Conector reto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CxnSpPr/>
      </xdr:nvCxnSpPr>
      <xdr:spPr>
        <a:xfrm>
          <a:off x="57150" y="708945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249</xdr:row>
      <xdr:rowOff>95250</xdr:rowOff>
    </xdr:from>
    <xdr:to>
      <xdr:col>8</xdr:col>
      <xdr:colOff>819150</xdr:colOff>
      <xdr:row>249</xdr:row>
      <xdr:rowOff>95250</xdr:rowOff>
    </xdr:to>
    <xdr:cxnSp macro="">
      <xdr:nvCxnSpPr>
        <xdr:cNvPr id="104" name="Conector reto 10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CxnSpPr/>
      </xdr:nvCxnSpPr>
      <xdr:spPr>
        <a:xfrm>
          <a:off x="57150" y="73609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259</xdr:row>
      <xdr:rowOff>95250</xdr:rowOff>
    </xdr:from>
    <xdr:to>
      <xdr:col>8</xdr:col>
      <xdr:colOff>819150</xdr:colOff>
      <xdr:row>259</xdr:row>
      <xdr:rowOff>95250</xdr:rowOff>
    </xdr:to>
    <xdr:cxnSp macro="">
      <xdr:nvCxnSpPr>
        <xdr:cNvPr id="105" name="Conector reto 104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CxnSpPr/>
      </xdr:nvCxnSpPr>
      <xdr:spPr>
        <a:xfrm>
          <a:off x="57150" y="763428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269</xdr:row>
      <xdr:rowOff>95250</xdr:rowOff>
    </xdr:from>
    <xdr:to>
      <xdr:col>8</xdr:col>
      <xdr:colOff>819150</xdr:colOff>
      <xdr:row>269</xdr:row>
      <xdr:rowOff>95250</xdr:rowOff>
    </xdr:to>
    <xdr:cxnSp macro="">
      <xdr:nvCxnSpPr>
        <xdr:cNvPr id="106" name="Conector reto 105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CxnSpPr/>
      </xdr:nvCxnSpPr>
      <xdr:spPr>
        <a:xfrm>
          <a:off x="57150" y="790956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274</xdr:row>
      <xdr:rowOff>95250</xdr:rowOff>
    </xdr:from>
    <xdr:to>
      <xdr:col>8</xdr:col>
      <xdr:colOff>819150</xdr:colOff>
      <xdr:row>274</xdr:row>
      <xdr:rowOff>95250</xdr:rowOff>
    </xdr:to>
    <xdr:cxnSp macro="">
      <xdr:nvCxnSpPr>
        <xdr:cNvPr id="107" name="Conector reto 106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CxnSpPr/>
      </xdr:nvCxnSpPr>
      <xdr:spPr>
        <a:xfrm>
          <a:off x="57150" y="822007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284</xdr:row>
      <xdr:rowOff>95250</xdr:rowOff>
    </xdr:from>
    <xdr:to>
      <xdr:col>8</xdr:col>
      <xdr:colOff>819150</xdr:colOff>
      <xdr:row>284</xdr:row>
      <xdr:rowOff>95250</xdr:rowOff>
    </xdr:to>
    <xdr:cxnSp macro="">
      <xdr:nvCxnSpPr>
        <xdr:cNvPr id="108" name="Conector reto 10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CxnSpPr/>
      </xdr:nvCxnSpPr>
      <xdr:spPr>
        <a:xfrm>
          <a:off x="57150" y="849058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294</xdr:row>
      <xdr:rowOff>95250</xdr:rowOff>
    </xdr:from>
    <xdr:to>
      <xdr:col>8</xdr:col>
      <xdr:colOff>819150</xdr:colOff>
      <xdr:row>294</xdr:row>
      <xdr:rowOff>95250</xdr:rowOff>
    </xdr:to>
    <xdr:cxnSp macro="">
      <xdr:nvCxnSpPr>
        <xdr:cNvPr id="109" name="Conector reto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CxnSpPr/>
      </xdr:nvCxnSpPr>
      <xdr:spPr>
        <a:xfrm>
          <a:off x="57150" y="878490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299</xdr:row>
      <xdr:rowOff>95250</xdr:rowOff>
    </xdr:from>
    <xdr:to>
      <xdr:col>8</xdr:col>
      <xdr:colOff>819150</xdr:colOff>
      <xdr:row>299</xdr:row>
      <xdr:rowOff>95250</xdr:rowOff>
    </xdr:to>
    <xdr:cxnSp macro="">
      <xdr:nvCxnSpPr>
        <xdr:cNvPr id="110" name="Conector reto 109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CxnSpPr/>
      </xdr:nvCxnSpPr>
      <xdr:spPr>
        <a:xfrm>
          <a:off x="57150" y="891063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304</xdr:row>
      <xdr:rowOff>95250</xdr:rowOff>
    </xdr:from>
    <xdr:to>
      <xdr:col>8</xdr:col>
      <xdr:colOff>819150</xdr:colOff>
      <xdr:row>304</xdr:row>
      <xdr:rowOff>95250</xdr:rowOff>
    </xdr:to>
    <xdr:cxnSp macro="">
      <xdr:nvCxnSpPr>
        <xdr:cNvPr id="111" name="Conector reto 110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CxnSpPr/>
      </xdr:nvCxnSpPr>
      <xdr:spPr>
        <a:xfrm>
          <a:off x="57150" y="917829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309</xdr:row>
      <xdr:rowOff>95250</xdr:rowOff>
    </xdr:from>
    <xdr:to>
      <xdr:col>8</xdr:col>
      <xdr:colOff>819150</xdr:colOff>
      <xdr:row>309</xdr:row>
      <xdr:rowOff>95250</xdr:rowOff>
    </xdr:to>
    <xdr:cxnSp macro="">
      <xdr:nvCxnSpPr>
        <xdr:cNvPr id="112" name="Conector reto 11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CxnSpPr/>
      </xdr:nvCxnSpPr>
      <xdr:spPr>
        <a:xfrm>
          <a:off x="57150" y="934021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319</xdr:row>
      <xdr:rowOff>95250</xdr:rowOff>
    </xdr:from>
    <xdr:to>
      <xdr:col>8</xdr:col>
      <xdr:colOff>819150</xdr:colOff>
      <xdr:row>319</xdr:row>
      <xdr:rowOff>95250</xdr:rowOff>
    </xdr:to>
    <xdr:cxnSp macro="">
      <xdr:nvCxnSpPr>
        <xdr:cNvPr id="113" name="Conector reto 11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CxnSpPr/>
      </xdr:nvCxnSpPr>
      <xdr:spPr>
        <a:xfrm>
          <a:off x="57150" y="963263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324</xdr:row>
      <xdr:rowOff>95250</xdr:rowOff>
    </xdr:from>
    <xdr:to>
      <xdr:col>8</xdr:col>
      <xdr:colOff>819150</xdr:colOff>
      <xdr:row>324</xdr:row>
      <xdr:rowOff>95250</xdr:rowOff>
    </xdr:to>
    <xdr:cxnSp macro="">
      <xdr:nvCxnSpPr>
        <xdr:cNvPr id="114" name="Conector reto 11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CxnSpPr/>
      </xdr:nvCxnSpPr>
      <xdr:spPr>
        <a:xfrm>
          <a:off x="57150" y="974693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329</xdr:row>
      <xdr:rowOff>95250</xdr:rowOff>
    </xdr:from>
    <xdr:to>
      <xdr:col>8</xdr:col>
      <xdr:colOff>819150</xdr:colOff>
      <xdr:row>329</xdr:row>
      <xdr:rowOff>95250</xdr:rowOff>
    </xdr:to>
    <xdr:cxnSp macro="">
      <xdr:nvCxnSpPr>
        <xdr:cNvPr id="115" name="Conector reto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CxnSpPr/>
      </xdr:nvCxnSpPr>
      <xdr:spPr>
        <a:xfrm>
          <a:off x="57150" y="1002506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338</xdr:row>
      <xdr:rowOff>95250</xdr:rowOff>
    </xdr:from>
    <xdr:to>
      <xdr:col>8</xdr:col>
      <xdr:colOff>819150</xdr:colOff>
      <xdr:row>338</xdr:row>
      <xdr:rowOff>95250</xdr:rowOff>
    </xdr:to>
    <xdr:cxnSp macro="">
      <xdr:nvCxnSpPr>
        <xdr:cNvPr id="116" name="Conector reto 115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CxnSpPr/>
      </xdr:nvCxnSpPr>
      <xdr:spPr>
        <a:xfrm>
          <a:off x="57150" y="1035748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348</xdr:row>
      <xdr:rowOff>95250</xdr:rowOff>
    </xdr:from>
    <xdr:to>
      <xdr:col>8</xdr:col>
      <xdr:colOff>819150</xdr:colOff>
      <xdr:row>348</xdr:row>
      <xdr:rowOff>95250</xdr:rowOff>
    </xdr:to>
    <xdr:cxnSp macro="">
      <xdr:nvCxnSpPr>
        <xdr:cNvPr id="117" name="Conector reto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CxnSpPr/>
      </xdr:nvCxnSpPr>
      <xdr:spPr>
        <a:xfrm>
          <a:off x="57150" y="1067752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353</xdr:row>
      <xdr:rowOff>95250</xdr:rowOff>
    </xdr:from>
    <xdr:to>
      <xdr:col>8</xdr:col>
      <xdr:colOff>819150</xdr:colOff>
      <xdr:row>353</xdr:row>
      <xdr:rowOff>95250</xdr:rowOff>
    </xdr:to>
    <xdr:cxnSp macro="">
      <xdr:nvCxnSpPr>
        <xdr:cNvPr id="118" name="Conector reto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CxnSpPr/>
      </xdr:nvCxnSpPr>
      <xdr:spPr>
        <a:xfrm>
          <a:off x="57150" y="1097565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358</xdr:row>
      <xdr:rowOff>95250</xdr:rowOff>
    </xdr:from>
    <xdr:to>
      <xdr:col>8</xdr:col>
      <xdr:colOff>819150</xdr:colOff>
      <xdr:row>358</xdr:row>
      <xdr:rowOff>95250</xdr:rowOff>
    </xdr:to>
    <xdr:cxnSp macro="">
      <xdr:nvCxnSpPr>
        <xdr:cNvPr id="119" name="Conector reto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CxnSpPr/>
      </xdr:nvCxnSpPr>
      <xdr:spPr>
        <a:xfrm>
          <a:off x="57150" y="1128807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363</xdr:row>
      <xdr:rowOff>95250</xdr:rowOff>
    </xdr:from>
    <xdr:to>
      <xdr:col>8</xdr:col>
      <xdr:colOff>819150</xdr:colOff>
      <xdr:row>363</xdr:row>
      <xdr:rowOff>95250</xdr:rowOff>
    </xdr:to>
    <xdr:cxnSp macro="">
      <xdr:nvCxnSpPr>
        <xdr:cNvPr id="120" name="Conector reto 119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CxnSpPr/>
      </xdr:nvCxnSpPr>
      <xdr:spPr>
        <a:xfrm>
          <a:off x="57150" y="1158335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368</xdr:row>
      <xdr:rowOff>95250</xdr:rowOff>
    </xdr:from>
    <xdr:to>
      <xdr:col>8</xdr:col>
      <xdr:colOff>819150</xdr:colOff>
      <xdr:row>368</xdr:row>
      <xdr:rowOff>95250</xdr:rowOff>
    </xdr:to>
    <xdr:cxnSp macro="">
      <xdr:nvCxnSpPr>
        <xdr:cNvPr id="121" name="Conector reto 120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CxnSpPr/>
      </xdr:nvCxnSpPr>
      <xdr:spPr>
        <a:xfrm>
          <a:off x="57150" y="1170527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373</xdr:row>
      <xdr:rowOff>95250</xdr:rowOff>
    </xdr:from>
    <xdr:to>
      <xdr:col>8</xdr:col>
      <xdr:colOff>819150</xdr:colOff>
      <xdr:row>373</xdr:row>
      <xdr:rowOff>95250</xdr:rowOff>
    </xdr:to>
    <xdr:cxnSp macro="">
      <xdr:nvCxnSpPr>
        <xdr:cNvPr id="122" name="Conector reto 12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CxnSpPr/>
      </xdr:nvCxnSpPr>
      <xdr:spPr>
        <a:xfrm>
          <a:off x="57150" y="1182433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379</xdr:row>
      <xdr:rowOff>95250</xdr:rowOff>
    </xdr:from>
    <xdr:to>
      <xdr:col>8</xdr:col>
      <xdr:colOff>819150</xdr:colOff>
      <xdr:row>379</xdr:row>
      <xdr:rowOff>95250</xdr:rowOff>
    </xdr:to>
    <xdr:cxnSp macro="">
      <xdr:nvCxnSpPr>
        <xdr:cNvPr id="123" name="Conector reto 12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CxnSpPr/>
      </xdr:nvCxnSpPr>
      <xdr:spPr>
        <a:xfrm>
          <a:off x="57150" y="1197768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385</xdr:row>
      <xdr:rowOff>95250</xdr:rowOff>
    </xdr:from>
    <xdr:to>
      <xdr:col>8</xdr:col>
      <xdr:colOff>819150</xdr:colOff>
      <xdr:row>385</xdr:row>
      <xdr:rowOff>95250</xdr:rowOff>
    </xdr:to>
    <xdr:cxnSp macro="">
      <xdr:nvCxnSpPr>
        <xdr:cNvPr id="124" name="Conector reto 12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CxnSpPr/>
      </xdr:nvCxnSpPr>
      <xdr:spPr>
        <a:xfrm>
          <a:off x="57150" y="1212913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390</xdr:row>
      <xdr:rowOff>95250</xdr:rowOff>
    </xdr:from>
    <xdr:to>
      <xdr:col>8</xdr:col>
      <xdr:colOff>819150</xdr:colOff>
      <xdr:row>390</xdr:row>
      <xdr:rowOff>95250</xdr:rowOff>
    </xdr:to>
    <xdr:cxnSp macro="">
      <xdr:nvCxnSpPr>
        <xdr:cNvPr id="125" name="Conector reto 124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CxnSpPr/>
      </xdr:nvCxnSpPr>
      <xdr:spPr>
        <a:xfrm>
          <a:off x="57150" y="1241583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395</xdr:row>
      <xdr:rowOff>95250</xdr:rowOff>
    </xdr:from>
    <xdr:to>
      <xdr:col>8</xdr:col>
      <xdr:colOff>819150</xdr:colOff>
      <xdr:row>395</xdr:row>
      <xdr:rowOff>95250</xdr:rowOff>
    </xdr:to>
    <xdr:cxnSp macro="">
      <xdr:nvCxnSpPr>
        <xdr:cNvPr id="126" name="Conector reto 1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CxnSpPr/>
      </xdr:nvCxnSpPr>
      <xdr:spPr>
        <a:xfrm>
          <a:off x="57150" y="1270825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403</xdr:row>
      <xdr:rowOff>95250</xdr:rowOff>
    </xdr:from>
    <xdr:to>
      <xdr:col>8</xdr:col>
      <xdr:colOff>819150</xdr:colOff>
      <xdr:row>403</xdr:row>
      <xdr:rowOff>95250</xdr:rowOff>
    </xdr:to>
    <xdr:cxnSp macro="">
      <xdr:nvCxnSpPr>
        <xdr:cNvPr id="127" name="Conector reto 126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CxnSpPr/>
      </xdr:nvCxnSpPr>
      <xdr:spPr>
        <a:xfrm>
          <a:off x="57150" y="1293876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408</xdr:row>
      <xdr:rowOff>95250</xdr:rowOff>
    </xdr:from>
    <xdr:to>
      <xdr:col>8</xdr:col>
      <xdr:colOff>819150</xdr:colOff>
      <xdr:row>408</xdr:row>
      <xdr:rowOff>95250</xdr:rowOff>
    </xdr:to>
    <xdr:cxnSp macro="">
      <xdr:nvCxnSpPr>
        <xdr:cNvPr id="128" name="Conector reto 127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CxnSpPr/>
      </xdr:nvCxnSpPr>
      <xdr:spPr>
        <a:xfrm>
          <a:off x="57150" y="1307496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418</xdr:row>
      <xdr:rowOff>95250</xdr:rowOff>
    </xdr:from>
    <xdr:to>
      <xdr:col>8</xdr:col>
      <xdr:colOff>819150</xdr:colOff>
      <xdr:row>418</xdr:row>
      <xdr:rowOff>95250</xdr:rowOff>
    </xdr:to>
    <xdr:cxnSp macro="">
      <xdr:nvCxnSpPr>
        <xdr:cNvPr id="129" name="Conector reto 128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CxnSpPr/>
      </xdr:nvCxnSpPr>
      <xdr:spPr>
        <a:xfrm>
          <a:off x="57150" y="1333785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428</xdr:row>
      <xdr:rowOff>95250</xdr:rowOff>
    </xdr:from>
    <xdr:to>
      <xdr:col>8</xdr:col>
      <xdr:colOff>819150</xdr:colOff>
      <xdr:row>428</xdr:row>
      <xdr:rowOff>95250</xdr:rowOff>
    </xdr:to>
    <xdr:cxnSp macro="">
      <xdr:nvCxnSpPr>
        <xdr:cNvPr id="130" name="Conector reto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CxnSpPr/>
      </xdr:nvCxnSpPr>
      <xdr:spPr>
        <a:xfrm>
          <a:off x="57150" y="136093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436</xdr:row>
      <xdr:rowOff>95250</xdr:rowOff>
    </xdr:from>
    <xdr:to>
      <xdr:col>8</xdr:col>
      <xdr:colOff>819150</xdr:colOff>
      <xdr:row>436</xdr:row>
      <xdr:rowOff>95250</xdr:rowOff>
    </xdr:to>
    <xdr:cxnSp macro="">
      <xdr:nvCxnSpPr>
        <xdr:cNvPr id="131" name="Conector reto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CxnSpPr/>
      </xdr:nvCxnSpPr>
      <xdr:spPr>
        <a:xfrm>
          <a:off x="57150" y="1382077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445</xdr:row>
      <xdr:rowOff>95250</xdr:rowOff>
    </xdr:from>
    <xdr:to>
      <xdr:col>8</xdr:col>
      <xdr:colOff>819150</xdr:colOff>
      <xdr:row>445</xdr:row>
      <xdr:rowOff>95250</xdr:rowOff>
    </xdr:to>
    <xdr:cxnSp macro="">
      <xdr:nvCxnSpPr>
        <xdr:cNvPr id="132" name="Conector reto 13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CxnSpPr/>
      </xdr:nvCxnSpPr>
      <xdr:spPr>
        <a:xfrm>
          <a:off x="57150" y="1411319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454</xdr:row>
      <xdr:rowOff>95250</xdr:rowOff>
    </xdr:from>
    <xdr:to>
      <xdr:col>8</xdr:col>
      <xdr:colOff>819150</xdr:colOff>
      <xdr:row>454</xdr:row>
      <xdr:rowOff>95250</xdr:rowOff>
    </xdr:to>
    <xdr:cxnSp macro="">
      <xdr:nvCxnSpPr>
        <xdr:cNvPr id="133" name="Conector reto 13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CxnSpPr/>
      </xdr:nvCxnSpPr>
      <xdr:spPr>
        <a:xfrm>
          <a:off x="57150" y="1439418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463</xdr:row>
      <xdr:rowOff>95250</xdr:rowOff>
    </xdr:from>
    <xdr:to>
      <xdr:col>8</xdr:col>
      <xdr:colOff>819150</xdr:colOff>
      <xdr:row>463</xdr:row>
      <xdr:rowOff>95250</xdr:rowOff>
    </xdr:to>
    <xdr:cxnSp macro="">
      <xdr:nvCxnSpPr>
        <xdr:cNvPr id="134" name="Conector reto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CxnSpPr/>
      </xdr:nvCxnSpPr>
      <xdr:spPr>
        <a:xfrm>
          <a:off x="57150" y="1467421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473</xdr:row>
      <xdr:rowOff>95250</xdr:rowOff>
    </xdr:from>
    <xdr:to>
      <xdr:col>8</xdr:col>
      <xdr:colOff>819150</xdr:colOff>
      <xdr:row>473</xdr:row>
      <xdr:rowOff>95250</xdr:rowOff>
    </xdr:to>
    <xdr:cxnSp macro="">
      <xdr:nvCxnSpPr>
        <xdr:cNvPr id="135" name="Conector reto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CxnSpPr/>
      </xdr:nvCxnSpPr>
      <xdr:spPr>
        <a:xfrm>
          <a:off x="57150" y="1495710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483</xdr:row>
      <xdr:rowOff>95250</xdr:rowOff>
    </xdr:from>
    <xdr:to>
      <xdr:col>8</xdr:col>
      <xdr:colOff>819150</xdr:colOff>
      <xdr:row>483</xdr:row>
      <xdr:rowOff>95250</xdr:rowOff>
    </xdr:to>
    <xdr:cxnSp macro="">
      <xdr:nvCxnSpPr>
        <xdr:cNvPr id="136" name="Conector reto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CxnSpPr/>
      </xdr:nvCxnSpPr>
      <xdr:spPr>
        <a:xfrm>
          <a:off x="57150" y="1524190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492</xdr:row>
      <xdr:rowOff>95250</xdr:rowOff>
    </xdr:from>
    <xdr:to>
      <xdr:col>8</xdr:col>
      <xdr:colOff>819150</xdr:colOff>
      <xdr:row>492</xdr:row>
      <xdr:rowOff>95250</xdr:rowOff>
    </xdr:to>
    <xdr:cxnSp macro="">
      <xdr:nvCxnSpPr>
        <xdr:cNvPr id="137" name="Conector reto 13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CxnSpPr/>
      </xdr:nvCxnSpPr>
      <xdr:spPr>
        <a:xfrm>
          <a:off x="57150" y="1551146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497</xdr:row>
      <xdr:rowOff>95250</xdr:rowOff>
    </xdr:from>
    <xdr:to>
      <xdr:col>8</xdr:col>
      <xdr:colOff>819150</xdr:colOff>
      <xdr:row>497</xdr:row>
      <xdr:rowOff>95250</xdr:rowOff>
    </xdr:to>
    <xdr:cxnSp macro="">
      <xdr:nvCxnSpPr>
        <xdr:cNvPr id="138" name="Conector reto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CxnSpPr/>
      </xdr:nvCxnSpPr>
      <xdr:spPr>
        <a:xfrm>
          <a:off x="57150" y="1565052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507</xdr:row>
      <xdr:rowOff>95250</xdr:rowOff>
    </xdr:from>
    <xdr:to>
      <xdr:col>8</xdr:col>
      <xdr:colOff>819150</xdr:colOff>
      <xdr:row>507</xdr:row>
      <xdr:rowOff>95250</xdr:rowOff>
    </xdr:to>
    <xdr:cxnSp macro="">
      <xdr:nvCxnSpPr>
        <xdr:cNvPr id="139" name="Conector reto 138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CxnSpPr/>
      </xdr:nvCxnSpPr>
      <xdr:spPr>
        <a:xfrm>
          <a:off x="57150" y="1602295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514</xdr:row>
      <xdr:rowOff>95250</xdr:rowOff>
    </xdr:from>
    <xdr:to>
      <xdr:col>8</xdr:col>
      <xdr:colOff>819150</xdr:colOff>
      <xdr:row>514</xdr:row>
      <xdr:rowOff>95250</xdr:rowOff>
    </xdr:to>
    <xdr:cxnSp macro="">
      <xdr:nvCxnSpPr>
        <xdr:cNvPr id="140" name="Conector reto 139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CxnSpPr/>
      </xdr:nvCxnSpPr>
      <xdr:spPr>
        <a:xfrm>
          <a:off x="57150" y="1631251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522</xdr:row>
      <xdr:rowOff>95250</xdr:rowOff>
    </xdr:from>
    <xdr:to>
      <xdr:col>8</xdr:col>
      <xdr:colOff>819150</xdr:colOff>
      <xdr:row>522</xdr:row>
      <xdr:rowOff>95250</xdr:rowOff>
    </xdr:to>
    <xdr:cxnSp macro="">
      <xdr:nvCxnSpPr>
        <xdr:cNvPr id="141" name="Conector reto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CxnSpPr/>
      </xdr:nvCxnSpPr>
      <xdr:spPr>
        <a:xfrm>
          <a:off x="57150" y="1651539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531</xdr:row>
      <xdr:rowOff>95250</xdr:rowOff>
    </xdr:from>
    <xdr:to>
      <xdr:col>8</xdr:col>
      <xdr:colOff>819150</xdr:colOff>
      <xdr:row>531</xdr:row>
      <xdr:rowOff>95250</xdr:rowOff>
    </xdr:to>
    <xdr:cxnSp macro="">
      <xdr:nvCxnSpPr>
        <xdr:cNvPr id="142" name="Conector reto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CxnSpPr/>
      </xdr:nvCxnSpPr>
      <xdr:spPr>
        <a:xfrm>
          <a:off x="57150" y="168097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538</xdr:row>
      <xdr:rowOff>95250</xdr:rowOff>
    </xdr:from>
    <xdr:to>
      <xdr:col>8</xdr:col>
      <xdr:colOff>819150</xdr:colOff>
      <xdr:row>538</xdr:row>
      <xdr:rowOff>95250</xdr:rowOff>
    </xdr:to>
    <xdr:cxnSp macro="">
      <xdr:nvCxnSpPr>
        <xdr:cNvPr id="143" name="Conector reto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CxnSpPr/>
      </xdr:nvCxnSpPr>
      <xdr:spPr>
        <a:xfrm>
          <a:off x="57150" y="1700593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550</xdr:row>
      <xdr:rowOff>95250</xdr:rowOff>
    </xdr:from>
    <xdr:to>
      <xdr:col>8</xdr:col>
      <xdr:colOff>819150</xdr:colOff>
      <xdr:row>550</xdr:row>
      <xdr:rowOff>95250</xdr:rowOff>
    </xdr:to>
    <xdr:cxnSp macro="">
      <xdr:nvCxnSpPr>
        <xdr:cNvPr id="144" name="Conector reto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CxnSpPr/>
      </xdr:nvCxnSpPr>
      <xdr:spPr>
        <a:xfrm>
          <a:off x="57150" y="1735169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555</xdr:row>
      <xdr:rowOff>95250</xdr:rowOff>
    </xdr:from>
    <xdr:to>
      <xdr:col>8</xdr:col>
      <xdr:colOff>819150</xdr:colOff>
      <xdr:row>555</xdr:row>
      <xdr:rowOff>95250</xdr:rowOff>
    </xdr:to>
    <xdr:cxnSp macro="">
      <xdr:nvCxnSpPr>
        <xdr:cNvPr id="145" name="Conector reto 144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CxnSpPr/>
      </xdr:nvCxnSpPr>
      <xdr:spPr>
        <a:xfrm>
          <a:off x="57150" y="1748028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560</xdr:row>
      <xdr:rowOff>95250</xdr:rowOff>
    </xdr:from>
    <xdr:to>
      <xdr:col>8</xdr:col>
      <xdr:colOff>819150</xdr:colOff>
      <xdr:row>560</xdr:row>
      <xdr:rowOff>95250</xdr:rowOff>
    </xdr:to>
    <xdr:cxnSp macro="">
      <xdr:nvCxnSpPr>
        <xdr:cNvPr id="146" name="Conector reto 145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CxnSpPr/>
      </xdr:nvCxnSpPr>
      <xdr:spPr>
        <a:xfrm>
          <a:off x="57150" y="1761458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566</xdr:row>
      <xdr:rowOff>95250</xdr:rowOff>
    </xdr:from>
    <xdr:to>
      <xdr:col>8</xdr:col>
      <xdr:colOff>819150</xdr:colOff>
      <xdr:row>566</xdr:row>
      <xdr:rowOff>95250</xdr:rowOff>
    </xdr:to>
    <xdr:cxnSp macro="">
      <xdr:nvCxnSpPr>
        <xdr:cNvPr id="147" name="Conector reto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CxnSpPr/>
      </xdr:nvCxnSpPr>
      <xdr:spPr>
        <a:xfrm>
          <a:off x="57150" y="1776603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574</xdr:row>
      <xdr:rowOff>95250</xdr:rowOff>
    </xdr:from>
    <xdr:to>
      <xdr:col>8</xdr:col>
      <xdr:colOff>819150</xdr:colOff>
      <xdr:row>574</xdr:row>
      <xdr:rowOff>95250</xdr:rowOff>
    </xdr:to>
    <xdr:cxnSp macro="">
      <xdr:nvCxnSpPr>
        <xdr:cNvPr id="148" name="Conector reto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CxnSpPr/>
      </xdr:nvCxnSpPr>
      <xdr:spPr>
        <a:xfrm>
          <a:off x="57150" y="1801939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581</xdr:row>
      <xdr:rowOff>95250</xdr:rowOff>
    </xdr:from>
    <xdr:to>
      <xdr:col>8</xdr:col>
      <xdr:colOff>819150</xdr:colOff>
      <xdr:row>581</xdr:row>
      <xdr:rowOff>95250</xdr:rowOff>
    </xdr:to>
    <xdr:cxnSp macro="">
      <xdr:nvCxnSpPr>
        <xdr:cNvPr id="149" name="Conector reto 14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CxnSpPr/>
      </xdr:nvCxnSpPr>
      <xdr:spPr>
        <a:xfrm>
          <a:off x="57150" y="182194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581</xdr:row>
      <xdr:rowOff>95250</xdr:rowOff>
    </xdr:from>
    <xdr:to>
      <xdr:col>8</xdr:col>
      <xdr:colOff>819150</xdr:colOff>
      <xdr:row>581</xdr:row>
      <xdr:rowOff>95250</xdr:rowOff>
    </xdr:to>
    <xdr:cxnSp macro="">
      <xdr:nvCxnSpPr>
        <xdr:cNvPr id="150" name="Conector reto 149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CxnSpPr/>
      </xdr:nvCxnSpPr>
      <xdr:spPr>
        <a:xfrm>
          <a:off x="57150" y="182194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588</xdr:row>
      <xdr:rowOff>95250</xdr:rowOff>
    </xdr:from>
    <xdr:to>
      <xdr:col>8</xdr:col>
      <xdr:colOff>819150</xdr:colOff>
      <xdr:row>588</xdr:row>
      <xdr:rowOff>95250</xdr:rowOff>
    </xdr:to>
    <xdr:cxnSp macro="">
      <xdr:nvCxnSpPr>
        <xdr:cNvPr id="151" name="Conector reto 150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CxnSpPr/>
      </xdr:nvCxnSpPr>
      <xdr:spPr>
        <a:xfrm>
          <a:off x="57150" y="1840134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588</xdr:row>
      <xdr:rowOff>95250</xdr:rowOff>
    </xdr:from>
    <xdr:to>
      <xdr:col>8</xdr:col>
      <xdr:colOff>819150</xdr:colOff>
      <xdr:row>588</xdr:row>
      <xdr:rowOff>95250</xdr:rowOff>
    </xdr:to>
    <xdr:cxnSp macro="">
      <xdr:nvCxnSpPr>
        <xdr:cNvPr id="152" name="Conector reto 15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CxnSpPr/>
      </xdr:nvCxnSpPr>
      <xdr:spPr>
        <a:xfrm>
          <a:off x="57150" y="1840134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594</xdr:row>
      <xdr:rowOff>95250</xdr:rowOff>
    </xdr:from>
    <xdr:to>
      <xdr:col>8</xdr:col>
      <xdr:colOff>819150</xdr:colOff>
      <xdr:row>594</xdr:row>
      <xdr:rowOff>95250</xdr:rowOff>
    </xdr:to>
    <xdr:cxnSp macro="">
      <xdr:nvCxnSpPr>
        <xdr:cNvPr id="153" name="Conector reto 15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CxnSpPr/>
      </xdr:nvCxnSpPr>
      <xdr:spPr>
        <a:xfrm>
          <a:off x="57150" y="1855470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594</xdr:row>
      <xdr:rowOff>95250</xdr:rowOff>
    </xdr:from>
    <xdr:to>
      <xdr:col>8</xdr:col>
      <xdr:colOff>819150</xdr:colOff>
      <xdr:row>594</xdr:row>
      <xdr:rowOff>95250</xdr:rowOff>
    </xdr:to>
    <xdr:cxnSp macro="">
      <xdr:nvCxnSpPr>
        <xdr:cNvPr id="154" name="Conector reto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CxnSpPr/>
      </xdr:nvCxnSpPr>
      <xdr:spPr>
        <a:xfrm>
          <a:off x="57150" y="1855470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605</xdr:row>
      <xdr:rowOff>95250</xdr:rowOff>
    </xdr:from>
    <xdr:to>
      <xdr:col>8</xdr:col>
      <xdr:colOff>819150</xdr:colOff>
      <xdr:row>605</xdr:row>
      <xdr:rowOff>95250</xdr:rowOff>
    </xdr:to>
    <xdr:cxnSp macro="">
      <xdr:nvCxnSpPr>
        <xdr:cNvPr id="155" name="Conector reto 154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CxnSpPr/>
      </xdr:nvCxnSpPr>
      <xdr:spPr>
        <a:xfrm>
          <a:off x="57150" y="1891379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593065</xdr:colOff>
      <xdr:row>21</xdr:row>
      <xdr:rowOff>35944</xdr:rowOff>
    </xdr:from>
    <xdr:to>
      <xdr:col>2</xdr:col>
      <xdr:colOff>500870</xdr:colOff>
      <xdr:row>23</xdr:row>
      <xdr:rowOff>134788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65" y="3960244"/>
          <a:ext cx="4089280" cy="4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</xdr:row>
          <xdr:rowOff>152400</xdr:rowOff>
        </xdr:from>
        <xdr:to>
          <xdr:col>2</xdr:col>
          <xdr:colOff>552450</xdr:colOff>
          <xdr:row>3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</xdr:row>
          <xdr:rowOff>66675</xdr:rowOff>
        </xdr:from>
        <xdr:to>
          <xdr:col>2</xdr:col>
          <xdr:colOff>866775</xdr:colOff>
          <xdr:row>3</xdr:row>
          <xdr:rowOff>76200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2</xdr:row>
          <xdr:rowOff>0</xdr:rowOff>
        </xdr:from>
        <xdr:to>
          <xdr:col>1</xdr:col>
          <xdr:colOff>1924050</xdr:colOff>
          <xdr:row>3</xdr:row>
          <xdr:rowOff>171450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0</xdr:row>
          <xdr:rowOff>133350</xdr:rowOff>
        </xdr:from>
        <xdr:to>
          <xdr:col>2</xdr:col>
          <xdr:colOff>190500</xdr:colOff>
          <xdr:row>2</xdr:row>
          <xdr:rowOff>171450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180975</xdr:rowOff>
        </xdr:from>
        <xdr:to>
          <xdr:col>9</xdr:col>
          <xdr:colOff>142875</xdr:colOff>
          <xdr:row>0</xdr:row>
          <xdr:rowOff>552450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ulo\MEDEIROS%20ENGENHARIA%20Dropbox\Paulo%20Pazeto%20Medeiros\LICITA&#199;&#213;ES%20BRASIL\PAR&#193;\2019\P.M.%20OUR&#201;M\TP%202-2019%20-%20P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%20Oliveira/Downloads/of%20QCI-quadra_MAPANIM2605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ÁRIA"/>
      <sheetName val="CADERNO DE COMPOSIÇÕES"/>
      <sheetName val="CRONOGRAMA"/>
      <sheetName val="BDI"/>
      <sheetName val="ENCARGOS SOCIAIS"/>
      <sheetName val="COMPOSIÇÃO 1"/>
      <sheetName val="COMPOSIÇÃO 2"/>
      <sheetName val="MEMÓRIA DE CÁLCULO"/>
      <sheetName val="MAPA DE COTAÇÃO"/>
      <sheetName val="QCI"/>
    </sheetNames>
    <sheetDataSet>
      <sheetData sheetId="0" refreshError="1"/>
      <sheetData sheetId="1">
        <row r="8">
          <cell r="B8" t="str">
            <v>74077/3</v>
          </cell>
          <cell r="C8" t="str">
            <v>LOCACAO CONVENCIONAL DE OBRA, ATRAVÉS DE GABARITO DE TABUAS CORRIDAS PONTALETADAS, COM REAPROVEITAMENTO DE 3 VEZES.</v>
          </cell>
          <cell r="D8" t="str">
            <v>M2</v>
          </cell>
        </row>
        <row r="10">
          <cell r="C10" t="str">
            <v>FUNDAÇÕES</v>
          </cell>
        </row>
        <row r="11">
          <cell r="B11">
            <v>93358</v>
          </cell>
          <cell r="C11" t="str">
            <v>ESCAVAÇÃO MANUAL DE VALA COM PROFUNDIDADE MENOR OU IGUAL A 1,30 M. AF_ 03/2016</v>
          </cell>
          <cell r="D11" t="str">
            <v>M3</v>
          </cell>
        </row>
        <row r="12">
          <cell r="B12">
            <v>73361</v>
          </cell>
          <cell r="C12" t="str">
            <v>CONCRETO CICLOPICO FCK=10MPA 30% PEDRA DE MAO INCLUSIVE LANCAMENTO</v>
          </cell>
          <cell r="D12" t="str">
            <v>M3</v>
          </cell>
        </row>
        <row r="14">
          <cell r="C14" t="str">
            <v>ALVENARIA</v>
          </cell>
        </row>
        <row r="15">
          <cell r="B15">
            <v>87506</v>
          </cell>
          <cell r="C15" t="str">
            <v>ALVENARIA DE VEDAÇÃO DE BLOCOS CERÂMICOS FURADOS NA HORIZONTAL DE 11,5X19X19CM (ESPESSURA 11,5M) DE PAREDES COM ÁREA LÍQUIDA MAIOR OU IGUAL A 6M² SEM VÃOS E ARGAMASSA DE ASSENTAMENTO COM PREPARO MANUAL. AF_06/2014</v>
          </cell>
          <cell r="D15" t="str">
            <v>M2</v>
          </cell>
        </row>
        <row r="16">
          <cell r="B16">
            <v>95465</v>
          </cell>
          <cell r="C16" t="str">
            <v>COBOGO CERAMICO (ELEMENTO VAZADO), 9X20X20CM, ASSENTADO COM ARGAMASSA TRACO 1:4 DE CIMENTO E AREIA</v>
          </cell>
          <cell r="D16" t="str">
            <v>M2</v>
          </cell>
        </row>
        <row r="18">
          <cell r="C18" t="str">
            <v>REVESTIMENTO</v>
          </cell>
        </row>
        <row r="19">
          <cell r="B19">
            <v>87878</v>
          </cell>
          <cell r="C19" t="str">
            <v>CHAPISCO APLICADO EM ALVENARIAS E ESTRUTURAS DE CONCRETO INTERNAS, COM COLHER DE PEDREIRO. ARGAMASSA TRAÇO 1:3 COM PREPARO COM PREPARO MANUAL. AF_06/2014</v>
          </cell>
          <cell r="D19" t="str">
            <v>M2</v>
          </cell>
        </row>
        <row r="20">
          <cell r="B20">
            <v>87530</v>
          </cell>
          <cell r="C20" t="str">
            <v>MASSA ÚNICA, PARA RECEBIMENTO DE PINTURA, EM ARGAMASSA TRAÇO 1:2:8, PREPARO MANUAL, APLICADA MANUALMENTE EM FACES INTERNAS DE PAREDES, ESPESSURA DE 20MM, COM EXECUÇÃO DE TALISCAS. AF_06/2014</v>
          </cell>
          <cell r="D20" t="str">
            <v>M2</v>
          </cell>
        </row>
        <row r="21">
          <cell r="B21">
            <v>87777</v>
          </cell>
          <cell r="C21" t="str">
            <v>EMBOÇO OU MASSA ÚNICA EM ARGAMASSA TRAÇO 1:2:8, PREPARO MANUAL, APLICADA MANUALMENTE EM PANOS DE FACHADA COM PRESENÇA DE VÃOS, ESPESSURA DE 25 MM. AF_06/2014</v>
          </cell>
          <cell r="D21" t="str">
            <v>M2</v>
          </cell>
        </row>
        <row r="22">
          <cell r="B22">
            <v>87251</v>
          </cell>
          <cell r="C22" t="str">
            <v>REVESTIMENTO CERÂMICO PARA PISO COM PLACAS TIPO ESMALTADA EXTRA DE DIMENSÕES 45X45 CM APLICADA EM AMBIENTES DE ÁREA MAIOR QUE 10 M2. AF_06/2014</v>
          </cell>
          <cell r="D22" t="str">
            <v>M2</v>
          </cell>
        </row>
        <row r="24">
          <cell r="C24" t="str">
            <v>PAVIMENTAÇÃO</v>
          </cell>
        </row>
        <row r="25">
          <cell r="B25">
            <v>96995</v>
          </cell>
          <cell r="C25" t="str">
            <v>REATERRO MANUAL APILOADO COM SOQUETE. AF_10/2017 (Aterro interno)</v>
          </cell>
          <cell r="D25" t="str">
            <v>M3</v>
          </cell>
        </row>
        <row r="26">
          <cell r="B26">
            <v>87757</v>
          </cell>
          <cell r="C26" t="str">
            <v>CONTRAPISO EM ARGAMASSA TRAÇO 1:4 (CIMENTO E AREIA), PREPARO MANUAL, APLICADO EM ÁREAS MOLHADAS SOBRE IMPERMEABILIZAÇÃO, ESPESSURA 3CM. AF_06/2014</v>
          </cell>
          <cell r="D26" t="str">
            <v>M2</v>
          </cell>
        </row>
        <row r="27">
          <cell r="B27">
            <v>94990</v>
          </cell>
          <cell r="C27" t="str">
            <v>EXECUÇÃO DE PASSEIO (CALÇADA) OU PISO DE CONCRETO COM CONCRETO MOLDADO IN LOCO, FEITO EM OBRA, ACABAMENTO CONVENCIONAL, NÃO ARMADO. AF_07/2016</v>
          </cell>
          <cell r="D27" t="str">
            <v>M3</v>
          </cell>
        </row>
        <row r="28">
          <cell r="B28">
            <v>87251</v>
          </cell>
          <cell r="C28" t="str">
            <v>REVESTIMENTO CERÂMICO PARA PISO COM PLACAS TIPO ESMALTADA EXTRA DE DIMENSÕES 45X45 CM APLICADA EM AMBIENTES DE ÁREA MAIOR QUE 10 M2. AF_06/2014</v>
          </cell>
          <cell r="D28" t="str">
            <v>M2</v>
          </cell>
        </row>
        <row r="30">
          <cell r="C30" t="str">
            <v>COBERTURA</v>
          </cell>
        </row>
        <row r="31">
          <cell r="C31" t="str">
            <v>ESTRUTURA E TELHAMENTO</v>
          </cell>
        </row>
        <row r="32">
          <cell r="B32" t="str">
            <v>COMPOSIÇÃO 01</v>
          </cell>
          <cell r="C32" t="str">
            <v>TRAMA DE MADEIRA COMPOSTA POR TERÇAS PARA TELHADOS DE ATÉ 2 ÁGUAS PARA TELHA ONDULADA DE FIBROCIMENTO.</v>
          </cell>
          <cell r="D32" t="str">
            <v>M2</v>
          </cell>
        </row>
        <row r="33">
          <cell r="B33" t="str">
            <v>COMPOSIÇÃO 02</v>
          </cell>
          <cell r="C33" t="str">
            <v>TELHAMENTO COM TELHA ONDULADA DE FIBROCIMENTO E = 6 MM, COM RECOBRIMENTO LATERAL DE 1/4 DE ONDA, COM ATÉ 2 ÁGUAS</v>
          </cell>
          <cell r="D33" t="str">
            <v>M2</v>
          </cell>
        </row>
        <row r="34">
          <cell r="C34" t="str">
            <v>LAJE DA CAIXA D'ÁGUA</v>
          </cell>
        </row>
        <row r="35">
          <cell r="B35">
            <v>92785</v>
          </cell>
          <cell r="C35" t="str">
            <v>ARMAÇÃO DE LAJE DE UMA ESTRUTURA CONVENCIONAL DE CONCRETO ARMADO EM UMA EDIFICAÇÃO TÉRREA OU SOBRADO UTILIZANDO AÇO CA-50 DE 6,3 MM - MONTAGEM. AF_12/2015</v>
          </cell>
          <cell r="D35" t="str">
            <v>KG</v>
          </cell>
        </row>
        <row r="36">
          <cell r="B36">
            <v>94975</v>
          </cell>
          <cell r="C36" t="str">
            <v>CONCRETO FCK = 15MPA, TRAÇO 1:3,4:3,5 (CIMENTO/ AREIA MÉDIA/ BRITA 1)  - PREPARO MANUAL. AF_07/2016 (TAMPA DA CAIXA)</v>
          </cell>
          <cell r="D36" t="str">
            <v>M3</v>
          </cell>
        </row>
        <row r="37">
          <cell r="B37">
            <v>92271</v>
          </cell>
          <cell r="C37" t="str">
            <v>FABRICAÇÃO DE FÔRMA PARA LAJES, EM MADEIRA SERRADA, E=25 MM. AF_12/2015</v>
          </cell>
          <cell r="D37" t="str">
            <v>M2</v>
          </cell>
        </row>
        <row r="38">
          <cell r="C38" t="str">
            <v>RUFO</v>
          </cell>
        </row>
        <row r="39">
          <cell r="B39">
            <v>94231</v>
          </cell>
          <cell r="C39" t="str">
            <v>RUFO EM CHAPA DE AÇO GALVANIZADO NÚMERO 24, CORTE DE 25 CM, INCLUSO TRANSPORTE VERTICAL. AF_06/2016</v>
          </cell>
          <cell r="D39" t="str">
            <v>m</v>
          </cell>
        </row>
        <row r="41">
          <cell r="C41" t="str">
            <v>ESQUADRIAS</v>
          </cell>
        </row>
        <row r="42">
          <cell r="B42">
            <v>91341</v>
          </cell>
          <cell r="C42" t="str">
            <v>PORTA EM ALUMÍNIO DE ABRIR TIPO VENEZIANA COM GUARNIÇÃO, FIXAÇÃO COM PARAFUSOS - FORNECIMENTO E INSTALAÇÃO. AF_08/2015</v>
          </cell>
          <cell r="D42" t="str">
            <v>M2</v>
          </cell>
        </row>
        <row r="44">
          <cell r="C44" t="str">
            <v>PINTURA</v>
          </cell>
        </row>
        <row r="45">
          <cell r="B45">
            <v>88487</v>
          </cell>
          <cell r="C45" t="str">
            <v xml:space="preserve"> APLICAÇÃO MANUAL DE PINTURA COM TINTA LÁTEX PVA EM PAREDES, DUAS DEMÃOS</v>
          </cell>
          <cell r="D45" t="str">
            <v>M2</v>
          </cell>
        </row>
        <row r="47">
          <cell r="C47" t="str">
            <v>INTERLIGAÇÃO A REDE EXISTENTE - ENTRADA DE ÁGUA NA CAIXA</v>
          </cell>
        </row>
        <row r="48">
          <cell r="B48">
            <v>89401</v>
          </cell>
          <cell r="C48" t="str">
            <v>TUBO, PVC, SOLDÁVEL, DN 20MM, INSTALADO EM RAMAL DE DISTRIBUIÇÃO DE ÁGUA - FORNECIMENTO E INSTALAÇÃO.</v>
          </cell>
          <cell r="D48" t="str">
            <v>M</v>
          </cell>
        </row>
        <row r="49">
          <cell r="B49">
            <v>89358</v>
          </cell>
          <cell r="C49" t="str">
            <v>JOELHO 90 GRAUS, PVC, SOLDÁVEL, DN 20MM, INSTALADO EM RAMAL OU SUB-RAMAL DE ÁGUA - FORNECIMENTO E INSTALAÇÃO.</v>
          </cell>
          <cell r="D49" t="str">
            <v>UND.</v>
          </cell>
        </row>
        <row r="50">
          <cell r="B50">
            <v>94783</v>
          </cell>
          <cell r="C50" t="str">
            <v>ADAPTADOR COM FLANGE E ANEL DE VEDAÇÃO, PVC, SOLDÁVEL, DN 20 MM X 1/2  , INSTALADO EM RESERVAÇÃO DE ÁGUA DE EDIFICAÇÃO QUE POSSUA RESERVATÓRIO DE FIBRA/FIBROCIMENTO FORNECIMENTO E INSTALAÇÃO. AF_06/2016</v>
          </cell>
          <cell r="D50" t="str">
            <v>UND.</v>
          </cell>
        </row>
        <row r="51">
          <cell r="B51" t="str">
            <v>INSUMO - 11673</v>
          </cell>
          <cell r="C51" t="str">
            <v>REGISTRO DE ESFERA, PVC, COM VOLANTE, VS, SOLDAVEL, DN 20 MM, COM CORPO DIVIDIDO</v>
          </cell>
          <cell r="D51" t="str">
            <v>UND.</v>
          </cell>
        </row>
        <row r="53">
          <cell r="C53" t="str">
            <v>INSTALAÇÕES HIDRÁULICAS - DESCIDA E DISTRIBUIÇÃO/LIMPEZA/EXTRAVASOR</v>
          </cell>
        </row>
        <row r="54">
          <cell r="B54">
            <v>89446</v>
          </cell>
          <cell r="C54" t="str">
            <v>TUBO, PVC, SOLDÁVEL, DN 25MM, INSTALADO EM PRUMADA DE ÁGUA - FORNECIMENTO E INSTALAÇÃO.</v>
          </cell>
          <cell r="D54" t="str">
            <v>M</v>
          </cell>
        </row>
        <row r="55">
          <cell r="B55">
            <v>89401</v>
          </cell>
          <cell r="C55" t="str">
            <v>TUBO, PVC, SOLDÁVEL, DN 20MM, INSTALADO EM RAMAL DE DISTRIBUIÇÃO DE ÁGUA - FORNECIMENTO E INSTALAÇÃO</v>
          </cell>
          <cell r="D55" t="str">
            <v>M</v>
          </cell>
        </row>
        <row r="56">
          <cell r="B56">
            <v>89393</v>
          </cell>
          <cell r="C56" t="str">
            <v>TE, PVC, SOLDÁVEL, DN 20MM, INSTALADO EM RAMAL OU SUB-RAMAL DE ÁGUA -FORNECIMENTO E INSTALAÇÃO.</v>
          </cell>
          <cell r="D56" t="str">
            <v>UND.</v>
          </cell>
        </row>
        <row r="57">
          <cell r="B57">
            <v>89395</v>
          </cell>
          <cell r="C57" t="str">
            <v>TE, PVC, SOLDÁVEL, DN 25MM, INSTALADO EM RAMAL OU SUB-RAMAL DE ÁGUA -FORNECIMENTO E INSTALAÇÃO. AF_12/2014_P</v>
          </cell>
          <cell r="D57" t="str">
            <v>UND.</v>
          </cell>
        </row>
        <row r="58">
          <cell r="B58">
            <v>89481</v>
          </cell>
          <cell r="C58" t="str">
            <v>JOELHO 90 GRAUS, PVC, SOLDÁVEL, DN 25MM, INSTALADO EM PRUMADA DE ÁGUA- FORNECIMENTO E INSTALAÇÃO</v>
          </cell>
          <cell r="D58" t="str">
            <v>UND.</v>
          </cell>
        </row>
        <row r="59">
          <cell r="B59">
            <v>89404</v>
          </cell>
          <cell r="C59" t="str">
            <v>JOELHO 90 GRAUS, PVC, SOLDÁVEL, DN 20MM, INSTALADO EM RAMAL DE DISTRIBUIÇÃO DE ÁGUA - FORNECIMENTO E INSTALAÇÃO.</v>
          </cell>
          <cell r="D59" t="str">
            <v>UND.</v>
          </cell>
        </row>
        <row r="60">
          <cell r="B60" t="str">
            <v>INSUMO - 3515</v>
          </cell>
          <cell r="C60" t="str">
            <v>JOELHO PVC SOLD 90G C/BUCHA DE LATAO 20MM X 1/2" PARA AGUA FRIA PREDIAL</v>
          </cell>
          <cell r="D60" t="str">
            <v>UND.</v>
          </cell>
        </row>
        <row r="61">
          <cell r="B61">
            <v>89373</v>
          </cell>
          <cell r="C61" t="str">
            <v xml:space="preserve"> LUVA DE REDUÇÃO, PVC, SOLDÁVEL, DN 25MM X 20MM, INSTALADO EM RAMAL OU SUB-RAMAL DE ÁGUA - FORNECIMENTO E INSTALAÇÃO.</v>
          </cell>
          <cell r="D61" t="str">
            <v>UND.</v>
          </cell>
        </row>
        <row r="62">
          <cell r="B62">
            <v>95141</v>
          </cell>
          <cell r="C62" t="str">
            <v>ADAPTADOR COM FLANGES LIVRES, PVC, SOLDÁVEL LONGO, DN 25 MM X 3/4 , I NSTALADO EM RESERVAÇÃO DE ÁGUA DE EDIFICAÇÃO QUE POSSUA RESERVATÓRIO DE FIBRA/FIBROCIMENTO FORNECIMENTO E INSTALAÇÃO. AF_06/2016</v>
          </cell>
          <cell r="D62" t="str">
            <v>UND.</v>
          </cell>
        </row>
        <row r="63">
          <cell r="B63" t="str">
            <v>INSUMO - 11674</v>
          </cell>
          <cell r="C63" t="str">
            <v>REGISTRO DE ESFERA, PVC, COM VOLANTE, VS, SOLDAVEL, DN 25 MM, COM CORPO DIVIDIDO</v>
          </cell>
          <cell r="D63" t="str">
            <v>UND.</v>
          </cell>
        </row>
        <row r="64">
          <cell r="B64" t="str">
            <v>INSUMO - 6038</v>
          </cell>
          <cell r="C64" t="str">
            <v xml:space="preserve">REGISTRO DE PRESSAO PVC, ROSCAVEL, VOLANTE SIMPLES, DE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64" t="str">
            <v>UND.</v>
          </cell>
        </row>
        <row r="65">
          <cell r="B65" t="str">
            <v>INSUMO - 11829</v>
          </cell>
          <cell r="C65" t="str">
            <v>TORNEIRA METALICA DE BOIA CONVENCIONAL PARA CAIXA D'AGUA, 1/2", COM HASTE METALICA E BALAO PLASTICO</v>
          </cell>
          <cell r="D65" t="str">
            <v>UND.</v>
          </cell>
        </row>
        <row r="66">
          <cell r="B66">
            <v>89394</v>
          </cell>
          <cell r="C66" t="str">
            <v>TÊ COM BUCHA DE LATÃO NA BOLSA CENTRAL, PVC, SOLDÁVEL, DN 20MM X 1/2", INSTALADO EM RAMAL OU SUB-RAMAL DE ÁGUA - FORNECIMENTO E INSTALAÇÃO.</v>
          </cell>
          <cell r="D66" t="str">
            <v>UND.</v>
          </cell>
        </row>
        <row r="67">
          <cell r="B67" t="str">
            <v>INSUMOO - 3148</v>
          </cell>
          <cell r="C67" t="str">
            <v>FITA VEDA ROSCA EM ROLOS DE 18 MM X 50 M (L X C)</v>
          </cell>
          <cell r="D67" t="str">
            <v>UND.</v>
          </cell>
        </row>
        <row r="69">
          <cell r="C69" t="str">
            <v>LOUÇAS E ACESSÓRIOS</v>
          </cell>
        </row>
        <row r="70">
          <cell r="B70" t="str">
            <v>INSUMO - 36790</v>
          </cell>
          <cell r="C70" t="str">
            <v>TANQUE DUPLO EM MARMORE SINTETICO COM CUBA LISA E ESFREGADOR, *110 X 60* CM</v>
          </cell>
          <cell r="D70" t="str">
            <v>UND.</v>
          </cell>
        </row>
        <row r="71">
          <cell r="B71">
            <v>86939</v>
          </cell>
          <cell r="C71" t="str">
            <v>LAVATÓRIO LOUÇA BRANCA COM COLUNA, *44 X 35,5* CM, PADRÃO POPULAR, INCLUSO SIFÃO FLEXÍVEL EM PVC, VÁLVULA E ENGATE FLEXÍVEL 30CM EM PLÁSTICO E COM TORNEIRA CROMADA PADRÃO POPULAR - FORNECIMENTO E INSTALAÇÃO. AF_12/2013</v>
          </cell>
          <cell r="D71" t="str">
            <v>UND.</v>
          </cell>
        </row>
        <row r="72">
          <cell r="B72">
            <v>95469</v>
          </cell>
          <cell r="C72" t="str">
            <v>VASO SANITARIO SIFONADO CONVENCIONAL COM LOUÇA BRANCA - FORNECIMENTO E INSTALAÇÃO. AF_10/2016</v>
          </cell>
          <cell r="D72" t="str">
            <v>UND.</v>
          </cell>
        </row>
        <row r="73">
          <cell r="B73" t="str">
            <v>INSUMO - 00377</v>
          </cell>
          <cell r="C73" t="str">
            <v>ASSENTO SANITARIO DE PLASTICO, TIPO CONVENCIONAL</v>
          </cell>
          <cell r="D73" t="str">
            <v>UND.</v>
          </cell>
        </row>
        <row r="74">
          <cell r="B74" t="str">
            <v>INSUMO - 1030</v>
          </cell>
          <cell r="C74" t="str">
            <v>CAIXA DE DESCARGA DE PLASTICO EXTERNA, DE *9* L, PUXADOR FIO DE NYLON, NAO INCLUSO CANO, BOLSA, ENGATE</v>
          </cell>
          <cell r="D74" t="str">
            <v>UND.</v>
          </cell>
        </row>
        <row r="75">
          <cell r="B75" t="str">
            <v>INSUMO - 1031</v>
          </cell>
          <cell r="C75" t="str">
            <v>TUBO DE DESCIDA EXTERNO DE PVC PARA CAIXA DE DESCARGA EXTERNA ALTA - 40 MM X 1,60 M</v>
          </cell>
          <cell r="D75" t="str">
            <v>UND.</v>
          </cell>
        </row>
        <row r="76">
          <cell r="B76" t="str">
            <v>INSUMO - 11681</v>
          </cell>
          <cell r="C76" t="str">
            <v>ENGATE/RABICHO FLEXIVEL PLASTICO (PVC OU ABS) BRANCO 1/2 " X 40 CM</v>
          </cell>
          <cell r="D76" t="str">
            <v>UND.</v>
          </cell>
        </row>
        <row r="77">
          <cell r="B77" t="str">
            <v>INSUMO - 6140</v>
          </cell>
          <cell r="C77" t="str">
            <v>BOLSA DE LIGACAO EM PVC FLEXIVEL PARA VASO SANITARIO 1.1/2 " (40 MM)</v>
          </cell>
          <cell r="D77" t="str">
            <v>UND.</v>
          </cell>
        </row>
        <row r="78">
          <cell r="B78">
            <v>95545</v>
          </cell>
          <cell r="C78" t="str">
            <v>SABONETEIRA DE PAREDE EM METAL CROMADO, INCLUSO FIXAÇÃO. AF_10/2016</v>
          </cell>
          <cell r="D78" t="str">
            <v>UND.</v>
          </cell>
        </row>
        <row r="79">
          <cell r="B79">
            <v>95544</v>
          </cell>
          <cell r="C79" t="str">
            <v>PAPELEIRA DE PAREDE EM METAL CROMADO SEM TAMPA, INCLUSO FIXAÇÃO. AF_10/2016</v>
          </cell>
          <cell r="D79" t="str">
            <v>UND.</v>
          </cell>
        </row>
        <row r="80">
          <cell r="B80" t="str">
            <v>INSUMO - 11680</v>
          </cell>
          <cell r="C80" t="str">
            <v>BRACO OU HASTE COM CANOPLA PLASTICA, 1/2", PARA CHUVEIRO SIMPLES</v>
          </cell>
          <cell r="D80" t="str">
            <v>UND.</v>
          </cell>
        </row>
        <row r="81">
          <cell r="B81" t="str">
            <v>INSUMO - 7608</v>
          </cell>
          <cell r="C81" t="str">
            <v>CHUVEIRO PLASTICO BRANCO SIMPLES 5 '' PARA ACOPLAR EM HASTE 1/2 ", AGUA FRIA</v>
          </cell>
          <cell r="D81" t="str">
            <v>UND.</v>
          </cell>
        </row>
        <row r="82">
          <cell r="B82">
            <v>86914</v>
          </cell>
          <cell r="C82" t="str">
            <v>TORNEIRA CROMADA 1/2" OU 3/4" PARA TANQUE, PADRÃO MÉDIO - FORNECIMENTO E INSTALAÇÃO. AF_12/2013</v>
          </cell>
          <cell r="D82" t="str">
            <v>UND.</v>
          </cell>
        </row>
        <row r="83">
          <cell r="B83" t="str">
            <v>INSUMO - 34637</v>
          </cell>
          <cell r="C83" t="str">
            <v>CAIXA D'AGUA EM POLIETILENO 500 LITROS, COM TAMPA</v>
          </cell>
          <cell r="D83" t="str">
            <v>UND.</v>
          </cell>
        </row>
        <row r="85">
          <cell r="C85" t="str">
            <v>INSTALAÇÕES SANITÁRIAS</v>
          </cell>
        </row>
        <row r="86">
          <cell r="B86">
            <v>89714</v>
          </cell>
          <cell r="C86" t="str">
            <v xml:space="preserve"> TUBO PVC, SERIE NORMAL, ESGOTO PREDIAL, DN 100 MM, FORNECIDO E INSTALADO EM RAMAL DE DESCARGA OU RAMAL DE ESGOTO SANITÁRIO. </v>
          </cell>
          <cell r="D86" t="str">
            <v>M</v>
          </cell>
        </row>
        <row r="87">
          <cell r="B87">
            <v>89798</v>
          </cell>
          <cell r="C87" t="str">
            <v xml:space="preserve"> TUBO PVC, SERIE NORMAL, ESGOTO PREDIAL, DN 50 MM, FORNECIDO E INSTALADO EM PRUMADA DE ESGOTO SANITÁRIO OU VENTILAÇÃO. </v>
          </cell>
          <cell r="D87" t="str">
            <v>M</v>
          </cell>
        </row>
        <row r="88">
          <cell r="B88">
            <v>89711</v>
          </cell>
          <cell r="C88" t="str">
            <v xml:space="preserve"> TUBO PVC, SERIE NORMAL, ESGOTO PREDIAL, DN 40 MM, FORNECIDO E INSTALADO EM RAMAL DE DESCARGA OU RAMAL DE ESGOTO SANITÁRIO. </v>
          </cell>
          <cell r="D88" t="str">
            <v>M</v>
          </cell>
        </row>
        <row r="89">
          <cell r="B89">
            <v>89744</v>
          </cell>
          <cell r="C89" t="str">
            <v>JOELHO 90 GRAUS, PVC, SERIE NORMAL, ESGOTO PREDIAL, DN 100 MM, JUNTA ELÁSTICA, FORNECIDO E INSTALADO EM RAMAL DE DESCARGA OU RAMAL DE ESGOTO SANITÁRIO.</v>
          </cell>
          <cell r="D89" t="str">
            <v>UND.</v>
          </cell>
        </row>
        <row r="90">
          <cell r="B90">
            <v>89731</v>
          </cell>
          <cell r="C90" t="str">
            <v xml:space="preserve"> JOELHO 90 GRAUS, PVC, SERIE NORMAL, ESGOTO PREDIAL, DN 50 MM, JUNTA ELÁSTICA, FORNECIDO E INSTALADO EM RAMAL DE DESCARGA OU RAMAL DE ESGOTO SANITÁRIO.</v>
          </cell>
          <cell r="D90" t="str">
            <v>UND.</v>
          </cell>
        </row>
        <row r="91">
          <cell r="B91">
            <v>89732</v>
          </cell>
          <cell r="C91" t="str">
            <v xml:space="preserve">JOELHO 45 GRAUS, PVC, SERIE NORMAL, ESGOTO PREDIAL, DN 50 MM, JUNTA ELÁSTICA, FORNECIDO E INSTALADO EM RAMAL DE DESCARGA OU RAMAL DE ESGOTO SANITÁRIO. </v>
          </cell>
          <cell r="D91" t="str">
            <v>UND.</v>
          </cell>
        </row>
        <row r="92">
          <cell r="B92">
            <v>89724</v>
          </cell>
          <cell r="C92" t="str">
            <v xml:space="preserve"> JOELHO 90 GRAUS, PVC, SERIE NORMAL, ESGOTO PREDIAL, DN 40 MM, JUNTA SOLDÁVEL, FORNECIDO E INSTALADO EM RAMAL DE DESCARGA OU RAMAL DE ESGOTO SANITÁRIO.</v>
          </cell>
          <cell r="D92" t="str">
            <v>UND.</v>
          </cell>
        </row>
        <row r="93">
          <cell r="B93">
            <v>89726</v>
          </cell>
          <cell r="C93" t="str">
            <v xml:space="preserve"> JOELHO 45 GRAUS, PVC, SERIE NORMAL, ESGOTO PREDIAL, DN 40 MM, JUNTA SOLDÁVEL, FORNECIDO E INSTALADO EM RAMAL DE DESCARGA OU RAMAL DE ESGOTO  SANITARIO.</v>
          </cell>
          <cell r="D93" t="str">
            <v>UND.</v>
          </cell>
        </row>
        <row r="94">
          <cell r="B94">
            <v>89796</v>
          </cell>
          <cell r="C94" t="str">
            <v>TE, PVC, SERIE NORMAL, ESGOTO PREDIAL, DN 100 X 100 MM, JUNTA ELÁSTICA, FORNECIDO E INSTALADO EM RAMAL DE DESCARGA OU RAMAL DE ESGOTO SANITÁRIO</v>
          </cell>
          <cell r="D94" t="str">
            <v>UND.</v>
          </cell>
        </row>
        <row r="95">
          <cell r="C95" t="str">
            <v>CAIXA DE INSPEÇÃO 40X40X40CM</v>
          </cell>
        </row>
        <row r="96">
          <cell r="C96" t="str">
            <v>INFRAESTRUTURA</v>
          </cell>
        </row>
        <row r="97">
          <cell r="B97">
            <v>93358</v>
          </cell>
          <cell r="C97" t="str">
            <v>ESCAVAÇÃO MANUAL DE VALAS. AF_03/2016</v>
          </cell>
          <cell r="D97" t="str">
            <v>m³</v>
          </cell>
        </row>
        <row r="98">
          <cell r="B98">
            <v>87506</v>
          </cell>
          <cell r="C98" t="str">
            <v>ALVENARIA DE VEDAÇÃO DE BLOCOS CERÂMICOS FURADOS NA HORIZONTAL DE 11,5X19X19CM (ESPESSURA 11,5CM) DE PAREDES COM ÁREA LÍQUIDA MAIOR OU IGUAL A 6M² SEM VÃOS E ARGAMASSA DE ASSENTAMENTO COM PREPARO MANUAL. AF_06/2014</v>
          </cell>
          <cell r="D98" t="str">
            <v>M2</v>
          </cell>
        </row>
        <row r="99">
          <cell r="B99">
            <v>87547</v>
          </cell>
          <cell r="C99" t="str">
            <v>MASSA ÚNICA, PARA RECEBIMENTO DE PINTURA, EM ARGAMASSA TRAÇO 1:2:8, PREPARO MECÂNICO COM BETONEIRA 400L, APLICADA MANUALMENTE EM FACES INTERNAS DE PAREDES, ESPESSURA DE 10MM, COM EXECUÇÃO DE TALISCAS. AF_06/2014 - REBOCO</v>
          </cell>
          <cell r="D99" t="str">
            <v>m²</v>
          </cell>
        </row>
        <row r="100">
          <cell r="B100">
            <v>73361</v>
          </cell>
          <cell r="C100" t="str">
            <v>CONCRETO CICLOPICO FCK=10MPA 30% PEDRA DE MAO INCLUSIVE LANCAMENTO (FUNDO DA CAIXA)</v>
          </cell>
          <cell r="D100" t="str">
            <v>m³</v>
          </cell>
        </row>
        <row r="101">
          <cell r="B101">
            <v>94974</v>
          </cell>
          <cell r="C101" t="str">
            <v>CONCRETO MAGRO PARA LASTRO, TRAÇO 1:4,5:4,5 (CIMENTO/ AREIA MÉDIA/ BRITA 1) - PREPARO MANUAL. AF_07/2016 (FUNDO DA CAIXA)</v>
          </cell>
          <cell r="D101" t="str">
            <v>m³</v>
          </cell>
        </row>
        <row r="102">
          <cell r="C102" t="str">
            <v>TAMPA</v>
          </cell>
        </row>
        <row r="103">
          <cell r="B103">
            <v>92267</v>
          </cell>
          <cell r="C103" t="str">
            <v>FABRICAÇÃO DE FÔRMA PARA LAJES, EM MADEIRA SERRADA, E=25 MM. AF_12/2015</v>
          </cell>
          <cell r="D103" t="str">
            <v>M2</v>
          </cell>
        </row>
        <row r="104">
          <cell r="B104">
            <v>94975</v>
          </cell>
          <cell r="C104" t="str">
            <v>CONCRETO FCK = 15MPA, TRAÇO 1:3,4:3,5 (CIMENTO/ AREIA MÉDIA/ BRITA 1)  - PREPARO MANUAL. AF_07/2016 (TAMPA DA CAIXA)</v>
          </cell>
          <cell r="D104" t="str">
            <v>M3</v>
          </cell>
        </row>
        <row r="105">
          <cell r="B105">
            <v>92785</v>
          </cell>
          <cell r="C105" t="str">
            <v>ARMAÇÃO DE LAJE DE UMA ESTRUTURA CONVENCIONAL DE CONCRETO ARMADO EM UMA EDIFICAÇÃO TÉRREA OU SOBRADO UTILIZANDO AÇO CA-50 DE 6,3 MM - MONTAGEM. AF_12/2015 (TAMPA DA CAIXA)</v>
          </cell>
          <cell r="D105" t="str">
            <v>KG</v>
          </cell>
        </row>
        <row r="106">
          <cell r="B106" t="str">
            <v>COMPOSIÇÃO 03</v>
          </cell>
          <cell r="C106" t="str">
            <v>ALÇAS DE AÇO</v>
          </cell>
          <cell r="D106" t="str">
            <v>UND.</v>
          </cell>
        </row>
        <row r="107">
          <cell r="C107" t="str">
            <v>CAIXA DE GORDURA 40X40X40CM</v>
          </cell>
        </row>
        <row r="108">
          <cell r="C108" t="str">
            <v>INFRAESTRUTURA</v>
          </cell>
        </row>
        <row r="109">
          <cell r="B109">
            <v>93358</v>
          </cell>
          <cell r="C109" t="str">
            <v>ESCAVAÇÃO MANUAL DE VALAS. AF_03/2016</v>
          </cell>
          <cell r="D109" t="str">
            <v>m³</v>
          </cell>
        </row>
        <row r="110">
          <cell r="B110">
            <v>87506</v>
          </cell>
          <cell r="C110" t="str">
            <v>ALVENARIA DE VEDAÇÃO DE BLOCOS CERÂMICOS FURADOS NA HORIZONTAL DE 11,5X19X19CM (ESPESSURA 11,5CM) DE PAREDES COM ÁREA LÍQUIDA MAIOR OU IGUAL A 6M² SEM VÃOS E ARGAMASSA DE ASSENTAMENTO COM PREPARO MANUAL. AF_06/2014</v>
          </cell>
          <cell r="D110" t="str">
            <v>M2</v>
          </cell>
        </row>
        <row r="111">
          <cell r="B111">
            <v>87547</v>
          </cell>
          <cell r="C111" t="str">
            <v>MASSA ÚNICA, PARA RECEBIMENTO DE PINTURA, EM ARGAMASSA TRAÇO 1:2:8, PREPARO MECÂNICO COM BETONEIRA 400L, APLICADA MANUALMENTE EM FACES INTERNAS DE PAREDES, ESPESSURA DE 10MM, COM EXECUÇÃO DE TALISCAS. AF_06/2014 - REBOCO</v>
          </cell>
          <cell r="D111" t="str">
            <v>m²</v>
          </cell>
        </row>
        <row r="112">
          <cell r="B112">
            <v>73361</v>
          </cell>
          <cell r="C112" t="str">
            <v>CONCRETO CICLOPICO FCK=10MPA 30% PEDRA DE MAO INCLUSIVE LANCAMENTO (FUNDO DA CAIXA)</v>
          </cell>
          <cell r="D112" t="str">
            <v>m³</v>
          </cell>
        </row>
        <row r="113">
          <cell r="B113">
            <v>94974</v>
          </cell>
          <cell r="C113" t="str">
            <v>CONCRETO MAGRO PARA LASTRO, TRAÇO 1:4,5:4,5 (CIMENTO/ AREIA MÉDIA/ BRITA 1) - PREPARO MANUAL. AF_07/2016 (FUNDO DA CAIXA)</v>
          </cell>
          <cell r="D113" t="str">
            <v>m³</v>
          </cell>
        </row>
        <row r="114">
          <cell r="C114" t="str">
            <v>TAMPA</v>
          </cell>
        </row>
        <row r="115">
          <cell r="B115">
            <v>92267</v>
          </cell>
          <cell r="C115" t="str">
            <v>FABRICAÇÃO DE FÔRMA PARA LAJES, EM CHAPA DE MADEIRA COMPENSADA RESINADA, E = 17 MM. AF_12/2015</v>
          </cell>
          <cell r="D115" t="str">
            <v>M2</v>
          </cell>
        </row>
        <row r="116">
          <cell r="B116">
            <v>94975</v>
          </cell>
          <cell r="C116" t="str">
            <v>CONCRETO FCK = 15MPA, TRAÇO 1:3,4:3,5 (CIMENTO/ AREIA MÉDIA/ BRITA 1)  - PREPARO MANUAL. AF_07/2016 (TAMPA DA CAIXA)</v>
          </cell>
          <cell r="D116" t="str">
            <v>M3</v>
          </cell>
        </row>
        <row r="117">
          <cell r="B117">
            <v>92785</v>
          </cell>
          <cell r="C117" t="str">
            <v>ARMAÇÃO DE LAJE DE UMA ESTRUTURA CONVENCIONAL DE CONCRETO ARMADO EM UMA EDIFICAÇÃO TÉRREA OU SOBRADO UTILIZANDO AÇO CA-50 DE 6,3 MM - MONTAGEM. AF_12/2015 (TAMPA DA CAIXA)</v>
          </cell>
          <cell r="D117" t="str">
            <v>KG</v>
          </cell>
        </row>
        <row r="118">
          <cell r="B118" t="str">
            <v>COMPOSIÇÃO 03</v>
          </cell>
          <cell r="C118" t="str">
            <v>ALÇAS DE AÇO</v>
          </cell>
          <cell r="D118" t="str">
            <v>UND.</v>
          </cell>
        </row>
        <row r="119">
          <cell r="B119">
            <v>89482</v>
          </cell>
          <cell r="C119" t="str">
            <v>CAIXA SIFONADA, PVC, DN 100 X 100 X 50 MM, FORNECIDA E INSTALADA EM RA MAIS DE ENCAMINHAMENTO DE ÁGUA PLUVIAL. AF_12/2014_P</v>
          </cell>
          <cell r="D119" t="str">
            <v>UND.</v>
          </cell>
        </row>
        <row r="121">
          <cell r="C121" t="str">
            <v>FOSSA SÉPTICA</v>
          </cell>
        </row>
        <row r="122">
          <cell r="C122" t="str">
            <v>INFRAESTRUTURA</v>
          </cell>
        </row>
        <row r="123">
          <cell r="B123">
            <v>93358</v>
          </cell>
          <cell r="C123" t="str">
            <v>ESCAVAÇÃO MANUAL DE VALAS. AF_03/2016</v>
          </cell>
          <cell r="D123" t="str">
            <v>m³</v>
          </cell>
        </row>
        <row r="124">
          <cell r="B124">
            <v>87506</v>
          </cell>
          <cell r="C124" t="str">
            <v>ALVENARIA DE VEDAÇÃO DE BLOCOS CERÂMICOS FURADOS NA HORIZONTAL DE 11,5X19X19CM (ESPESSURA 11,5CM) DE PAREDES COM ÁREA LÍQUIDA MAIOR OU IGUAL A 6M² SEM VÃOS E ARGAMASSA DE ASSENTAMENTO COM PREPARO MANUAL. AF_06/2014</v>
          </cell>
          <cell r="D124" t="str">
            <v>M2</v>
          </cell>
        </row>
        <row r="125">
          <cell r="B125">
            <v>87878</v>
          </cell>
          <cell r="C125" t="str">
            <v>CHAPISCO APLICADO EM ALVENARIAS E ESTRUTURAS DE CONCRETO INTERNAS, COM COLHER DE PEDREIRO.  ARGAMASSA TRAÇO 1:3 COM PREPARO MANUAL. AF_06/2014</v>
          </cell>
          <cell r="D125" t="str">
            <v>M2</v>
          </cell>
        </row>
        <row r="126">
          <cell r="B126">
            <v>87547</v>
          </cell>
          <cell r="C126" t="str">
            <v>MASSA ÚNICA, PARA RECEBIMENTO DE PINTURA, EM ARGAMASSA TRAÇO 1:2:8, PREPARO MECÂNICO COM BETONEIRA 400L, APLICADA MANUALMENTE EM FACES INTERNAS DE PAREDES, ESPESSURA DE 10MM, COM EXECUÇÃO DE TALISCAS. AF_06/2014 - REBOCO</v>
          </cell>
          <cell r="D126" t="str">
            <v>m²</v>
          </cell>
        </row>
        <row r="127">
          <cell r="B127">
            <v>73361</v>
          </cell>
          <cell r="C127" t="str">
            <v>CONCRETO CICLOPICO FCK=10MPA 30% PEDRA DE MAO INCLUSIVE LANCAMENTO (FUNDO DA CAIXA)</v>
          </cell>
          <cell r="D127" t="str">
            <v>m³</v>
          </cell>
        </row>
        <row r="128">
          <cell r="B128">
            <v>94974</v>
          </cell>
          <cell r="C128" t="str">
            <v>CONCRETO MAGRO PARA LASTRO, TRAÇO 1:4,5:4,5 (CIMENTO/ AREIA MÉDIA/ BRITA 1) - PREPARO MANUAL. AF_07/2016 (FUNDO DA CAIXA)</v>
          </cell>
          <cell r="D128" t="str">
            <v>m³</v>
          </cell>
        </row>
        <row r="129">
          <cell r="C129" t="str">
            <v>TAMPA</v>
          </cell>
        </row>
        <row r="130">
          <cell r="B130">
            <v>92267</v>
          </cell>
          <cell r="C130" t="str">
            <v>FABRICAÇÃO DE FÔRMA PARA LAJES, EM CHAPA DE MADEIRA COMPENSADA RESINADA, E = 17 MM. AF_12/2015</v>
          </cell>
          <cell r="D130" t="str">
            <v>M2</v>
          </cell>
        </row>
        <row r="131">
          <cell r="B131">
            <v>94975</v>
          </cell>
          <cell r="C131" t="str">
            <v>CONCRETO FCK = 15MPA, TRAÇO 1:3,4:3,5 (CIMENTO/ AREIA MÉDIA/ BRITA 1)  - PREPARO MANUAL. AF_07/2016 (TAMPA DA CAIXA)</v>
          </cell>
          <cell r="D131" t="str">
            <v>M3</v>
          </cell>
        </row>
        <row r="132">
          <cell r="B132">
            <v>92785</v>
          </cell>
          <cell r="C132" t="str">
            <v>ARMAÇÃO DE LAJE DE UMA ESTRUTURA CONVENCIONAL DE CONCRETO ARMADO EM UMA EDIFICAÇÃO TÉRREA OU SOBRADO UTILIZANDO AÇO CA-50 DE 6,3 MM - MONTAGEM. AF_12/2015 (TAMPA DA CAIXA)</v>
          </cell>
          <cell r="D132" t="str">
            <v>KG</v>
          </cell>
        </row>
        <row r="133">
          <cell r="B133" t="str">
            <v>COMPOSIÇÃO 03</v>
          </cell>
          <cell r="C133" t="str">
            <v>ALÇAS DE AÇO</v>
          </cell>
          <cell r="D133" t="str">
            <v>UND.</v>
          </cell>
        </row>
        <row r="135">
          <cell r="C135" t="str">
            <v>FILTRO ANAEROBICO</v>
          </cell>
        </row>
        <row r="136">
          <cell r="C136" t="str">
            <v>INFRAESTRUTURA</v>
          </cell>
        </row>
        <row r="137">
          <cell r="B137">
            <v>93358</v>
          </cell>
          <cell r="C137" t="str">
            <v>ESCAVAÇÃO MANUAL DE VALAS. AF_03/2016</v>
          </cell>
          <cell r="D137" t="str">
            <v>M3</v>
          </cell>
        </row>
        <row r="138">
          <cell r="B138" t="str">
            <v>INSUMO - 4721</v>
          </cell>
          <cell r="C138" t="str">
            <v>PEDRA BRITADA N. 1 (9,5 a 19 MM) POSTO PEDREIRA/FORNECEDOR, SEM FRETE</v>
          </cell>
          <cell r="D138" t="str">
            <v>M3</v>
          </cell>
        </row>
        <row r="139">
          <cell r="B139">
            <v>87506</v>
          </cell>
          <cell r="C139" t="str">
            <v>ALVENARIA DE VEDAÇÃO DE BLOCOS CERÂMICOS FURADOS NA HORIZONTAL DE 11,5X19X19CM (ESPESSURA 11,5 CM) DE PAREDES COM ÁREA LÍQUIDA MAIOR OU IGUAL A 6M² SEM VÃOS E ARGAMASSA DE ASSENTAMENTO COM PREPARO MANUAL. AF_06/2014</v>
          </cell>
          <cell r="D139" t="str">
            <v>M2</v>
          </cell>
        </row>
        <row r="140">
          <cell r="B140">
            <v>87878</v>
          </cell>
          <cell r="C140" t="str">
            <v>CHAPISCO APLICADO EM ALVENARIAS E ESTRUTURAS DE CONCRETO INTERNAS, COM COLHER DE PEDREIRO.  ARGAMASSA TRAÇO 1:3 COM PREPARO MANUAL. AF_06/2014</v>
          </cell>
          <cell r="D140" t="str">
            <v>M2</v>
          </cell>
        </row>
        <row r="141">
          <cell r="B141">
            <v>87530</v>
          </cell>
          <cell r="C141" t="str">
            <v>MASSA ÚNICA, PARA RECEBIMENTO DE PINTURA, EM ARGAMASSA TRAÇO 1:2:8, PREPARO MANUAL, APLICADA MANUALMENTE EM FACES INTERNAS DE PAREDES, ESPESSURA DE 20MM, COM EXECUÇÃO DE TALISCAS. AF_06/2014 - REBOCO</v>
          </cell>
          <cell r="D141" t="str">
            <v>M2</v>
          </cell>
        </row>
        <row r="142">
          <cell r="B142">
            <v>92785</v>
          </cell>
          <cell r="C142" t="str">
            <v>ARMAÇÃO DE LAJE DE UMA ESTRUTURA CONVENCIONAL DE CONCRETO ARMADO EM UMA EDIFICAÇÃO TÉRREA OU SOBRADO UTILIZANDO AÇO CA-50 DE 6,3 MM - MONTAGEM. AF_12/2015 (FUNDO FALSO)</v>
          </cell>
          <cell r="D142" t="str">
            <v>KG</v>
          </cell>
        </row>
        <row r="143">
          <cell r="B143">
            <v>92267</v>
          </cell>
          <cell r="C143" t="str">
            <v>FABRICAÇÃO DE FÔRMA PARA LAJES, EM CHAPA DE MADEIRA COMPENSADA RESINADA, E = 17 MM. AF_12/2015</v>
          </cell>
          <cell r="D143" t="str">
            <v>M2</v>
          </cell>
        </row>
        <row r="144">
          <cell r="B144">
            <v>94975</v>
          </cell>
          <cell r="C144" t="str">
            <v>CONCRETO FCK = 15MPA, TRAÇO 1:3,4:3,5 (CIMENTO/ AREIA MÉDIA/ BRITA 1)  - PREPARO MANUAL. AF_07/2016 (FUNDO FALSO)</v>
          </cell>
          <cell r="D144" t="str">
            <v>M3</v>
          </cell>
        </row>
        <row r="145">
          <cell r="B145">
            <v>73361</v>
          </cell>
          <cell r="C145" t="str">
            <v>CONCRETO CICLOPICO FCK=10MPA 30% PEDRA DE MAO INCLUSIVE LANCAMENTO (FUNDO)</v>
          </cell>
          <cell r="D145" t="str">
            <v>m³</v>
          </cell>
        </row>
        <row r="146">
          <cell r="B146">
            <v>94974</v>
          </cell>
          <cell r="C146" t="str">
            <v>CONCRETO MAGRO PARA LASTRO, TRAÇO 1:4,5:4,5 (CIMENTO/ AREIA MÉDIA/ BRITA 1) - PREPARO MANUAL. AF_07/2016 (FUNDO)</v>
          </cell>
          <cell r="D146" t="str">
            <v>M3</v>
          </cell>
        </row>
        <row r="147">
          <cell r="C147" t="str">
            <v>TAMPA</v>
          </cell>
        </row>
        <row r="148">
          <cell r="B148">
            <v>92785</v>
          </cell>
          <cell r="C148" t="str">
            <v>ARMAÇÃO DE LAJE DE UMA ESTRUTURA CONVENCIONAL DE CONCRETO ARMADO EM UMA EDIFICAÇÃO TÉRREA OU SOBRADO UTILIZANDO AÇO CA-50 DE 6,3 MM - MONTAGEM. AF_12/2015</v>
          </cell>
          <cell r="D148" t="str">
            <v>KG</v>
          </cell>
        </row>
        <row r="149">
          <cell r="B149">
            <v>94975</v>
          </cell>
          <cell r="C149" t="str">
            <v>CONCRETO FCK = 15MPA, TRAÇO 1:3,4:3,5 (CIMENTO/ AREIA MÉDIA/ BRITA 1)  - PREPARO MANUAL. AF_07/2016 (TAMPA DA CAIXA)</v>
          </cell>
          <cell r="D149" t="str">
            <v>M3</v>
          </cell>
        </row>
        <row r="150">
          <cell r="B150">
            <v>92267</v>
          </cell>
          <cell r="C150" t="str">
            <v>FABRICAÇÃO DE FÔRMA PARA LAJES, EM CHAPA DE MADEIRA COMPENSADA RESINADA, E = 17 MM. AF_12/2015</v>
          </cell>
          <cell r="D150" t="str">
            <v>M2</v>
          </cell>
        </row>
        <row r="151">
          <cell r="B151" t="str">
            <v>COMPOSIÇÃO 03</v>
          </cell>
          <cell r="C151" t="str">
            <v>ALÇAS DE AÇO</v>
          </cell>
          <cell r="D151" t="str">
            <v>UND.</v>
          </cell>
        </row>
        <row r="153">
          <cell r="C153" t="str">
            <v>SUMIDOURO</v>
          </cell>
        </row>
        <row r="154">
          <cell r="C154" t="str">
            <v>INFRAESTRUTURA</v>
          </cell>
        </row>
        <row r="155">
          <cell r="B155">
            <v>93358</v>
          </cell>
          <cell r="C155" t="str">
            <v>ESCAVAÇÃO MANUAL DE VALAS. AF_03/2016</v>
          </cell>
          <cell r="D155" t="str">
            <v>M3</v>
          </cell>
        </row>
        <row r="156">
          <cell r="B156" t="str">
            <v>INSUMO - 4721</v>
          </cell>
          <cell r="C156" t="str">
            <v>PEDRA BRITADA N. 1 (9,5 a 19 MM) POSTO PEDREIRA/FORNECEDOR, SEM FRETE</v>
          </cell>
          <cell r="D156" t="str">
            <v>M3</v>
          </cell>
        </row>
        <row r="157">
          <cell r="B157">
            <v>87506</v>
          </cell>
          <cell r="C157" t="str">
            <v>ALVENARIA DE VEDAÇÃO DE BLOCOS CERÂMICOS FURADOS NA HORIZONTAL DE 11,5X19X19CM (ESPESSURA 11,5M) DE PAREDES COM ÁREA LÍQUIDA MAIOR OU IGUAL A 6M² SEM VÃOS E ARGAMASSA DE ASSENTAMENTO COM PREPARO MANUAL. AF_06/2014</v>
          </cell>
          <cell r="D157" t="str">
            <v>M2</v>
          </cell>
        </row>
        <row r="158">
          <cell r="C158" t="str">
            <v>TAMPA</v>
          </cell>
        </row>
        <row r="159">
          <cell r="B159">
            <v>92785</v>
          </cell>
          <cell r="C159" t="str">
            <v>ARMAÇÃO DE LAJE DE UMA ESTRUTURA CONVENCIONAL DE CONCRETO ARMADO EM UMA EDIFICAÇÃO TÉRREA OU SOBRADO UTILIZANDO AÇO CA-50 DE 6,3 MM - MONTAGEM. AF_12/2015</v>
          </cell>
          <cell r="D159" t="str">
            <v>KG</v>
          </cell>
        </row>
        <row r="160">
          <cell r="B160">
            <v>94975</v>
          </cell>
          <cell r="C160" t="str">
            <v>CONCRETO FCK = 15MPA, TRAÇO 1:3,4:3,5 (CIMENTO/ AREIA MÉDIA/ BRITA 1)  - PREPARO MANUAL. AF_07/2016 (TAMPA DA CAIXA)</v>
          </cell>
          <cell r="D160" t="str">
            <v>M3</v>
          </cell>
        </row>
        <row r="161">
          <cell r="B161">
            <v>92267</v>
          </cell>
          <cell r="C161" t="str">
            <v>FABRICAÇÃO DE FÔRMA PARA LAJES, EM CHAPA DE MADEIRA COMPENSADA RESINADA, E = 17 MM. AF_12/2015</v>
          </cell>
          <cell r="D161" t="str">
            <v>M2</v>
          </cell>
        </row>
        <row r="163">
          <cell r="C163" t="str">
            <v>INSTALAÇÕES ELÉTRICAS</v>
          </cell>
        </row>
        <row r="164">
          <cell r="B164">
            <v>92029</v>
          </cell>
          <cell r="C164" t="str">
            <v>INTERRUPTOR PARALELO (1 MÓDULO) COM 1 TOMADA DE EMBUTIR 2P+T 10 A,  INCLUINDO SUPORTE E PLACA - FORNECIMENTO E INSTALAÇÃO. AF_12/2015</v>
          </cell>
          <cell r="D164" t="str">
            <v>UN</v>
          </cell>
        </row>
        <row r="165">
          <cell r="B165">
            <v>93040</v>
          </cell>
          <cell r="C165" t="str">
            <v>LÂMPADA FLUORESCENTE COMPACTA 15 W 2U, BASE E27 - FORNECIMENTO E INSTALAÇÃO</v>
          </cell>
          <cell r="D165" t="str">
            <v>UND.</v>
          </cell>
        </row>
        <row r="166">
          <cell r="B166">
            <v>91931</v>
          </cell>
          <cell r="C166" t="str">
            <v>CABO DE COBRE FLEXÍVEL ISOLADO, 6 MM², ANTI-CHAMA 0,6/1,0 KV, PARA CIRCUITOS TERMINAIS - FORNECIMENTO E INSTALAÇÃO. AF_12/2015</v>
          </cell>
          <cell r="D166" t="str">
            <v>M</v>
          </cell>
        </row>
        <row r="167">
          <cell r="B167">
            <v>91873</v>
          </cell>
          <cell r="C167" t="str">
            <v>ELETRODUTO RÍGIDO ROSCÁVEL, PVC, DN 40 MM (1 1/4"), PARA CIRCUITOS TERMINAIS, INSTALADO EM PAREDE - FORNECIMENTO E INSTALAÇÃO. AF_12/2015</v>
          </cell>
          <cell r="D167" t="str">
            <v>M</v>
          </cell>
        </row>
        <row r="168">
          <cell r="B168" t="str">
            <v>INSUMO - 14543</v>
          </cell>
          <cell r="C168" t="str">
            <v>SOQUETE DE PVC / TERMOPLASTICO BASE E27, COM CHAVE, PARA LAMPADAS</v>
          </cell>
          <cell r="D168" t="str">
            <v xml:space="preserve">UN    </v>
          </cell>
        </row>
        <row r="170">
          <cell r="C170" t="str">
            <v>LIMPEZA FINAL</v>
          </cell>
        </row>
        <row r="171">
          <cell r="B171">
            <v>9537</v>
          </cell>
          <cell r="C171" t="str">
            <v>LIMPEZA FINAL DA OBRA</v>
          </cell>
          <cell r="D171" t="str">
            <v>M2</v>
          </cell>
        </row>
        <row r="176">
          <cell r="D176" t="str">
            <v>UND.</v>
          </cell>
        </row>
        <row r="177">
          <cell r="C177" t="str">
            <v>DIVERSOS</v>
          </cell>
        </row>
        <row r="178">
          <cell r="B178" t="str">
            <v>74209/1</v>
          </cell>
          <cell r="C178" t="str">
            <v xml:space="preserve">PLACA DE OBRA EM CHAPA DE ACO GALVANIZADO </v>
          </cell>
          <cell r="D178" t="str">
            <v>M2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  <sheetName val="CronogFF"/>
      <sheetName val="Controle"/>
    </sheetNames>
    <sheetDataSet>
      <sheetData sheetId="0"/>
      <sheetData sheetId="1">
        <row r="7">
          <cell r="B7" t="str">
            <v>Nº do CT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hyperlink" Target="http://ttnrcomex.com/" TargetMode="External"/><Relationship Id="rId7" Type="http://schemas.openxmlformats.org/officeDocument/2006/relationships/vmlDrawing" Target="../drawings/vmlDrawing9.vml"/><Relationship Id="rId2" Type="http://schemas.openxmlformats.org/officeDocument/2006/relationships/hyperlink" Target="mailto:ceo@globalps.com.br" TargetMode="External"/><Relationship Id="rId1" Type="http://schemas.openxmlformats.org/officeDocument/2006/relationships/hyperlink" Target="mailto:vendas@multigrama.com.br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primegrass.com.br/" TargetMode="External"/><Relationship Id="rId9" Type="http://schemas.openxmlformats.org/officeDocument/2006/relationships/image" Target="../media/image4.png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view="pageBreakPreview" topLeftCell="A146" zoomScale="85" zoomScaleNormal="85" zoomScaleSheetLayoutView="85" workbookViewId="0">
      <selection activeCell="A9" sqref="A9:E9"/>
    </sheetView>
  </sheetViews>
  <sheetFormatPr defaultRowHeight="12.75"/>
  <cols>
    <col min="1" max="1" width="8.7109375" style="454" customWidth="1"/>
    <col min="2" max="2" width="10.7109375" style="455" bestFit="1" customWidth="1"/>
    <col min="3" max="3" width="69.42578125" style="456" customWidth="1"/>
    <col min="4" max="4" width="5.140625" style="457" bestFit="1" customWidth="1"/>
    <col min="5" max="5" width="7.5703125" style="456" bestFit="1" customWidth="1"/>
    <col min="6" max="6" width="11.5703125" style="435" bestFit="1" customWidth="1"/>
    <col min="7" max="7" width="12.7109375" style="368" customWidth="1"/>
    <col min="8" max="8" width="9" style="368" bestFit="1" customWidth="1"/>
    <col min="9" max="10" width="9.140625" style="391"/>
    <col min="11" max="11" width="11.5703125" style="391" hidden="1" customWidth="1"/>
    <col min="12" max="13" width="13.28515625" style="391" hidden="1" customWidth="1"/>
    <col min="14" max="14" width="15.140625" style="391" customWidth="1"/>
    <col min="15" max="15" width="9.140625" style="391" customWidth="1"/>
    <col min="16" max="16384" width="9.140625" style="391"/>
  </cols>
  <sheetData>
    <row r="1" spans="1:14">
      <c r="A1" s="475" t="s">
        <v>426</v>
      </c>
      <c r="B1" s="476"/>
      <c r="C1" s="476"/>
      <c r="D1" s="476"/>
      <c r="E1" s="476"/>
      <c r="F1" s="476"/>
      <c r="G1" s="476"/>
      <c r="H1" s="477"/>
    </row>
    <row r="2" spans="1:14">
      <c r="A2" s="448" t="s">
        <v>369</v>
      </c>
      <c r="B2" s="485" t="s">
        <v>744</v>
      </c>
      <c r="C2" s="485"/>
      <c r="D2" s="485"/>
      <c r="E2" s="485"/>
      <c r="F2" s="485"/>
      <c r="G2" s="485"/>
      <c r="H2" s="486"/>
    </row>
    <row r="3" spans="1:14">
      <c r="A3" s="448" t="s">
        <v>308</v>
      </c>
      <c r="B3" s="481">
        <v>0.29899999999999999</v>
      </c>
      <c r="C3" s="481"/>
      <c r="D3" s="481"/>
      <c r="E3" s="481"/>
      <c r="F3" s="481"/>
      <c r="G3" s="481"/>
      <c r="H3" s="482"/>
      <c r="K3" s="449"/>
      <c r="L3" s="449"/>
      <c r="M3" s="449"/>
      <c r="N3" s="449"/>
    </row>
    <row r="4" spans="1:14" ht="13.5" thickBot="1">
      <c r="A4" s="448" t="s">
        <v>425</v>
      </c>
      <c r="B4" s="483" t="s">
        <v>822</v>
      </c>
      <c r="C4" s="483"/>
      <c r="D4" s="483"/>
      <c r="E4" s="483"/>
      <c r="F4" s="483"/>
      <c r="G4" s="483"/>
      <c r="H4" s="484"/>
    </row>
    <row r="5" spans="1:14" ht="13.5" thickBot="1">
      <c r="A5" s="478" t="s">
        <v>138</v>
      </c>
      <c r="B5" s="479"/>
      <c r="C5" s="479"/>
      <c r="D5" s="479"/>
      <c r="E5" s="479"/>
      <c r="F5" s="479"/>
      <c r="G5" s="479"/>
      <c r="H5" s="480"/>
    </row>
    <row r="6" spans="1:14" ht="25.5">
      <c r="A6" s="377" t="s">
        <v>1</v>
      </c>
      <c r="B6" s="424" t="s">
        <v>470</v>
      </c>
      <c r="C6" s="377" t="s">
        <v>471</v>
      </c>
      <c r="D6" s="377" t="s">
        <v>472</v>
      </c>
      <c r="E6" s="377" t="s">
        <v>473</v>
      </c>
      <c r="F6" s="424" t="s">
        <v>475</v>
      </c>
      <c r="G6" s="424" t="s">
        <v>821</v>
      </c>
      <c r="H6" s="377" t="s">
        <v>66</v>
      </c>
      <c r="K6" s="391" t="s">
        <v>474</v>
      </c>
      <c r="L6" s="391" t="s">
        <v>476</v>
      </c>
      <c r="M6" s="391" t="s">
        <v>66</v>
      </c>
    </row>
    <row r="7" spans="1:14">
      <c r="A7" s="378" t="s">
        <v>3</v>
      </c>
      <c r="B7" s="430"/>
      <c r="C7" s="487" t="s">
        <v>4</v>
      </c>
      <c r="D7" s="488"/>
      <c r="E7" s="488"/>
      <c r="F7" s="488"/>
      <c r="G7" s="488"/>
      <c r="H7" s="489"/>
      <c r="N7" s="450"/>
    </row>
    <row r="8" spans="1:14" ht="25.5">
      <c r="A8" s="379" t="s">
        <v>89</v>
      </c>
      <c r="B8" s="442" t="s">
        <v>477</v>
      </c>
      <c r="C8" s="380" t="s">
        <v>478</v>
      </c>
      <c r="D8" s="379" t="s">
        <v>376</v>
      </c>
      <c r="E8" s="381">
        <v>8.8800000000000008</v>
      </c>
      <c r="F8" s="425">
        <f>VLOOKUP(B8,'CADERNO DE COMPOSIÇÕES'!$A$7:$J$16960,10,FALSE)</f>
        <v>3.04</v>
      </c>
      <c r="G8" s="382">
        <f>TRUNC(F8*E8,2)</f>
        <v>26.99</v>
      </c>
      <c r="H8" s="383">
        <f>G8/$G$173</f>
        <v>2.5461879820681951E-3</v>
      </c>
      <c r="I8" s="391" t="str">
        <f>IF(F8&gt;K8,"CONFERIR","ok")</f>
        <v>ok</v>
      </c>
      <c r="J8" s="391" t="str">
        <f>IF(G8&gt;L8,"CONFERIR","ok")</f>
        <v>ok</v>
      </c>
      <c r="K8" s="451">
        <v>3.04</v>
      </c>
      <c r="L8" s="451">
        <v>27</v>
      </c>
      <c r="M8" s="449">
        <v>2.541187192943804E-3</v>
      </c>
    </row>
    <row r="9" spans="1:14">
      <c r="A9" s="490">
        <v>0</v>
      </c>
      <c r="B9" s="491"/>
      <c r="C9" s="491"/>
      <c r="D9" s="491"/>
      <c r="E9" s="491"/>
      <c r="F9" s="426"/>
      <c r="G9" s="384">
        <f>G8</f>
        <v>26.99</v>
      </c>
      <c r="H9" s="385">
        <v>2.541187192943804E-3</v>
      </c>
      <c r="I9" s="391" t="str">
        <f t="shared" ref="I9:I72" si="0">IF(F9&gt;K9,"CONFERIR","ok")</f>
        <v>ok</v>
      </c>
      <c r="J9" s="391" t="str">
        <f t="shared" ref="J9:J72" si="1">IF(G9&gt;L9,"CONFERIR","ok")</f>
        <v>ok</v>
      </c>
      <c r="L9" s="451">
        <v>27</v>
      </c>
      <c r="M9" s="449">
        <v>2.541187192943804E-3</v>
      </c>
    </row>
    <row r="10" spans="1:14">
      <c r="A10" s="378" t="s">
        <v>10</v>
      </c>
      <c r="B10" s="430"/>
      <c r="C10" s="487" t="s">
        <v>479</v>
      </c>
      <c r="D10" s="488"/>
      <c r="E10" s="488"/>
      <c r="F10" s="488"/>
      <c r="G10" s="488"/>
      <c r="H10" s="489"/>
      <c r="I10" s="391" t="str">
        <f t="shared" si="0"/>
        <v>ok</v>
      </c>
      <c r="J10" s="391" t="str">
        <f t="shared" si="1"/>
        <v>ok</v>
      </c>
    </row>
    <row r="11" spans="1:14" ht="25.5">
      <c r="A11" s="379" t="s">
        <v>92</v>
      </c>
      <c r="B11" s="442">
        <v>93358</v>
      </c>
      <c r="C11" s="380" t="s">
        <v>480</v>
      </c>
      <c r="D11" s="379" t="s">
        <v>392</v>
      </c>
      <c r="E11" s="381">
        <v>1.69</v>
      </c>
      <c r="F11" s="425">
        <f>VLOOKUP(B11,'CADERNO DE COMPOSIÇÕES'!$A$7:$J$16960,10,FALSE)</f>
        <v>54.59</v>
      </c>
      <c r="G11" s="382">
        <f>TRUNC(F11*E11,2)</f>
        <v>92.25</v>
      </c>
      <c r="H11" s="383">
        <f t="shared" ref="H11:H13" si="2">G11/$G$173</f>
        <v>8.7026988271875147E-3</v>
      </c>
      <c r="I11" s="391" t="str">
        <f t="shared" si="0"/>
        <v>ok</v>
      </c>
      <c r="J11" s="391" t="str">
        <f t="shared" si="1"/>
        <v>ok</v>
      </c>
      <c r="K11" s="451">
        <v>54.59</v>
      </c>
      <c r="L11" s="451">
        <v>92.26</v>
      </c>
      <c r="M11" s="449">
        <v>2.541187192943804E-3</v>
      </c>
    </row>
    <row r="12" spans="1:14">
      <c r="A12" s="379" t="s">
        <v>93</v>
      </c>
      <c r="B12" s="442">
        <v>73361</v>
      </c>
      <c r="C12" s="380" t="s">
        <v>481</v>
      </c>
      <c r="D12" s="379" t="s">
        <v>392</v>
      </c>
      <c r="E12" s="381">
        <v>1.6200000000000003</v>
      </c>
      <c r="F12" s="425">
        <f>VLOOKUP(B12,'CADERNO DE COMPOSIÇÕES'!$A$7:$J$16960,10,FALSE)</f>
        <v>341.03999999999996</v>
      </c>
      <c r="G12" s="382">
        <f>TRUNC(F12*E12,2)</f>
        <v>552.48</v>
      </c>
      <c r="H12" s="383">
        <f t="shared" si="2"/>
        <v>5.2119968000483012E-2</v>
      </c>
      <c r="I12" s="391" t="str">
        <f t="shared" si="0"/>
        <v>ok</v>
      </c>
      <c r="J12" s="391" t="str">
        <f t="shared" si="1"/>
        <v>ok</v>
      </c>
      <c r="K12" s="451">
        <v>341.15</v>
      </c>
      <c r="L12" s="451">
        <v>552.66</v>
      </c>
      <c r="M12" s="449">
        <v>2.541187192943804E-3</v>
      </c>
    </row>
    <row r="13" spans="1:14">
      <c r="A13" s="492" t="s">
        <v>482</v>
      </c>
      <c r="B13" s="492"/>
      <c r="C13" s="492"/>
      <c r="D13" s="492"/>
      <c r="E13" s="492"/>
      <c r="F13" s="427"/>
      <c r="G13" s="384">
        <f>G11+G12</f>
        <v>644.73</v>
      </c>
      <c r="H13" s="385">
        <f t="shared" si="2"/>
        <v>6.0822666827670527E-2</v>
      </c>
      <c r="I13" s="391" t="str">
        <f t="shared" si="0"/>
        <v>ok</v>
      </c>
      <c r="J13" s="391" t="str">
        <f t="shared" si="1"/>
        <v>ok</v>
      </c>
      <c r="L13" s="451">
        <v>644.91999999999996</v>
      </c>
      <c r="M13" s="449">
        <v>6.0718754442669207E-2</v>
      </c>
    </row>
    <row r="14" spans="1:14">
      <c r="A14" s="378" t="s">
        <v>12</v>
      </c>
      <c r="B14" s="430"/>
      <c r="C14" s="493" t="s">
        <v>483</v>
      </c>
      <c r="D14" s="493"/>
      <c r="E14" s="493"/>
      <c r="F14" s="493"/>
      <c r="G14" s="493"/>
      <c r="H14" s="493"/>
      <c r="I14" s="391" t="str">
        <f t="shared" si="0"/>
        <v>ok</v>
      </c>
      <c r="J14" s="391" t="str">
        <f t="shared" si="1"/>
        <v>ok</v>
      </c>
    </row>
    <row r="15" spans="1:14" ht="51">
      <c r="A15" s="379" t="s">
        <v>13</v>
      </c>
      <c r="B15" s="443">
        <v>87506</v>
      </c>
      <c r="C15" s="380" t="s">
        <v>484</v>
      </c>
      <c r="D15" s="379" t="s">
        <v>376</v>
      </c>
      <c r="E15" s="381">
        <v>17.659999999999997</v>
      </c>
      <c r="F15" s="425">
        <f>VLOOKUP(B15,'CADERNO DE COMPOSIÇÕES'!$A$7:$J$16960,10,FALSE)</f>
        <v>49.8</v>
      </c>
      <c r="G15" s="382">
        <f>TRUNC(F15*E15,2)</f>
        <v>879.46</v>
      </c>
      <c r="H15" s="383">
        <f t="shared" ref="H15:H17" si="3">G15/$G$173</f>
        <v>8.2966672201174332E-2</v>
      </c>
      <c r="I15" s="391" t="str">
        <f t="shared" si="0"/>
        <v>ok</v>
      </c>
      <c r="J15" s="391" t="str">
        <f t="shared" si="1"/>
        <v>ok</v>
      </c>
      <c r="K15" s="451">
        <v>50.09</v>
      </c>
      <c r="L15" s="451">
        <v>884.59</v>
      </c>
      <c r="M15" s="449">
        <v>8.3283512672022511E-2</v>
      </c>
    </row>
    <row r="16" spans="1:14" ht="25.5">
      <c r="A16" s="436" t="s">
        <v>22</v>
      </c>
      <c r="B16" s="442">
        <v>95465</v>
      </c>
      <c r="C16" s="437" t="s">
        <v>485</v>
      </c>
      <c r="D16" s="436" t="s">
        <v>376</v>
      </c>
      <c r="E16" s="438">
        <v>0.24</v>
      </c>
      <c r="F16" s="425">
        <f>VLOOKUP(B16,'CADERNO DE COMPOSIÇÕES'!$A$7:$J$16960,10,FALSE)</f>
        <v>86.33</v>
      </c>
      <c r="G16" s="382">
        <f>TRUNC(F16*E16,2)</f>
        <v>20.71</v>
      </c>
      <c r="H16" s="440">
        <f t="shared" si="3"/>
        <v>1.9537440944287633E-3</v>
      </c>
      <c r="I16" s="391" t="str">
        <f t="shared" si="0"/>
        <v>ok</v>
      </c>
      <c r="J16" s="391" t="str">
        <f t="shared" si="1"/>
        <v>ok</v>
      </c>
      <c r="K16" s="451">
        <v>86.63</v>
      </c>
      <c r="L16" s="451">
        <v>20.79</v>
      </c>
      <c r="M16" s="449">
        <v>1.9573635565079276E-3</v>
      </c>
    </row>
    <row r="17" spans="1:13">
      <c r="A17" s="492" t="s">
        <v>486</v>
      </c>
      <c r="B17" s="492"/>
      <c r="C17" s="492"/>
      <c r="D17" s="492"/>
      <c r="E17" s="492"/>
      <c r="F17" s="427"/>
      <c r="G17" s="384">
        <f>G15+G16</f>
        <v>900.17000000000007</v>
      </c>
      <c r="H17" s="385">
        <f t="shared" si="3"/>
        <v>8.4920416295603096E-2</v>
      </c>
      <c r="I17" s="391" t="str">
        <f t="shared" si="0"/>
        <v>ok</v>
      </c>
      <c r="J17" s="391" t="str">
        <f t="shared" si="1"/>
        <v>ok</v>
      </c>
      <c r="L17" s="451">
        <v>905.38</v>
      </c>
      <c r="M17" s="449">
        <v>8.5240876228530438E-2</v>
      </c>
    </row>
    <row r="18" spans="1:13">
      <c r="A18" s="378" t="s">
        <v>87</v>
      </c>
      <c r="B18" s="430"/>
      <c r="C18" s="493" t="s">
        <v>487</v>
      </c>
      <c r="D18" s="493"/>
      <c r="E18" s="493"/>
      <c r="F18" s="493"/>
      <c r="G18" s="493"/>
      <c r="H18" s="493"/>
      <c r="I18" s="391" t="str">
        <f t="shared" si="0"/>
        <v>ok</v>
      </c>
      <c r="J18" s="391" t="str">
        <f t="shared" si="1"/>
        <v>ok</v>
      </c>
    </row>
    <row r="19" spans="1:13" ht="38.25">
      <c r="A19" s="379" t="s">
        <v>74</v>
      </c>
      <c r="B19" s="442">
        <v>87878</v>
      </c>
      <c r="C19" s="380" t="s">
        <v>488</v>
      </c>
      <c r="D19" s="379" t="s">
        <v>376</v>
      </c>
      <c r="E19" s="381">
        <v>32.64</v>
      </c>
      <c r="F19" s="425">
        <f>VLOOKUP(B19,'CADERNO DE COMPOSIÇÕES'!$A$7:$J$16960,10,FALSE)</f>
        <v>3.07</v>
      </c>
      <c r="G19" s="382">
        <f>TRUNC(F19*E19,2)</f>
        <v>100.2</v>
      </c>
      <c r="H19" s="383">
        <f t="shared" ref="H19:H23" si="4">G19/$G$173</f>
        <v>9.4526875066036735E-3</v>
      </c>
      <c r="I19" s="391" t="str">
        <f t="shared" si="0"/>
        <v>ok</v>
      </c>
      <c r="J19" s="391" t="str">
        <f t="shared" si="1"/>
        <v>ok</v>
      </c>
      <c r="K19" s="451">
        <v>3.07</v>
      </c>
      <c r="L19" s="451">
        <v>100.2</v>
      </c>
      <c r="M19" s="449">
        <v>9.4337579779747178E-3</v>
      </c>
    </row>
    <row r="20" spans="1:13" ht="38.25">
      <c r="A20" s="379" t="s">
        <v>75</v>
      </c>
      <c r="B20" s="443">
        <v>87530</v>
      </c>
      <c r="C20" s="380" t="s">
        <v>489</v>
      </c>
      <c r="D20" s="379" t="s">
        <v>376</v>
      </c>
      <c r="E20" s="381">
        <v>4.74</v>
      </c>
      <c r="F20" s="425">
        <f>VLOOKUP(B20,'CADERNO DE COMPOSIÇÕES'!$A$7:$J$16960,10,FALSE)</f>
        <v>28</v>
      </c>
      <c r="G20" s="382">
        <f>TRUNC(F20*E20,2)</f>
        <v>132.72</v>
      </c>
      <c r="H20" s="383">
        <f t="shared" si="4"/>
        <v>1.2520565727309776E-2</v>
      </c>
      <c r="I20" s="391" t="str">
        <f t="shared" si="0"/>
        <v>ok</v>
      </c>
      <c r="J20" s="391" t="str">
        <f t="shared" si="1"/>
        <v>ok</v>
      </c>
      <c r="K20" s="451">
        <v>28.01</v>
      </c>
      <c r="L20" s="451">
        <v>132.77000000000001</v>
      </c>
      <c r="M20" s="449">
        <v>1.2500200067222588E-2</v>
      </c>
    </row>
    <row r="21" spans="1:13" ht="38.25">
      <c r="A21" s="379" t="s">
        <v>76</v>
      </c>
      <c r="B21" s="443">
        <v>87777</v>
      </c>
      <c r="C21" s="380" t="s">
        <v>490</v>
      </c>
      <c r="D21" s="379" t="s">
        <v>376</v>
      </c>
      <c r="E21" s="381">
        <v>25.92</v>
      </c>
      <c r="F21" s="425">
        <f>VLOOKUP(B21,'CADERNO DE COMPOSIÇÕES'!$A$7:$J$16960,10,FALSE)</f>
        <v>40.370000000000005</v>
      </c>
      <c r="G21" s="382">
        <f>TRUNC(F21*E21,2)</f>
        <v>1046.3900000000001</v>
      </c>
      <c r="H21" s="383">
        <f t="shared" si="4"/>
        <v>9.8714547704940314E-2</v>
      </c>
      <c r="I21" s="391" t="str">
        <f t="shared" si="0"/>
        <v>ok</v>
      </c>
      <c r="J21" s="391" t="str">
        <f t="shared" si="1"/>
        <v>ok</v>
      </c>
      <c r="K21" s="451">
        <v>40.380000000000003</v>
      </c>
      <c r="L21" s="451">
        <v>1046.6500000000001</v>
      </c>
      <c r="M21" s="449">
        <v>9.8541345186100179E-2</v>
      </c>
    </row>
    <row r="22" spans="1:13" ht="38.25">
      <c r="A22" s="386" t="s">
        <v>77</v>
      </c>
      <c r="B22" s="443">
        <v>87251</v>
      </c>
      <c r="C22" s="437" t="s">
        <v>491</v>
      </c>
      <c r="D22" s="436" t="s">
        <v>376</v>
      </c>
      <c r="E22" s="438">
        <v>10.220000000000001</v>
      </c>
      <c r="F22" s="425">
        <f>VLOOKUP(B22,'CADERNO DE COMPOSIÇÕES'!$A$7:$J$16960,10,FALSE)</f>
        <v>26.089999999999996</v>
      </c>
      <c r="G22" s="382">
        <f>TRUNC(F22*E22,2)</f>
        <v>266.63</v>
      </c>
      <c r="H22" s="389">
        <f t="shared" si="4"/>
        <v>2.5153393911035306E-2</v>
      </c>
      <c r="I22" s="391" t="str">
        <f t="shared" si="0"/>
        <v>ok</v>
      </c>
      <c r="J22" s="391" t="str">
        <f t="shared" si="1"/>
        <v>ok</v>
      </c>
      <c r="K22" s="451">
        <v>26.16</v>
      </c>
      <c r="L22" s="451">
        <v>267.36</v>
      </c>
      <c r="M22" s="449">
        <v>2.5171751826260684E-2</v>
      </c>
    </row>
    <row r="23" spans="1:13">
      <c r="A23" s="492" t="s">
        <v>492</v>
      </c>
      <c r="B23" s="492"/>
      <c r="C23" s="492"/>
      <c r="D23" s="492"/>
      <c r="E23" s="492"/>
      <c r="F23" s="427"/>
      <c r="G23" s="384">
        <f>SUM(G19:G22)</f>
        <v>1545.94</v>
      </c>
      <c r="H23" s="385">
        <f t="shared" si="4"/>
        <v>0.14584119484988906</v>
      </c>
      <c r="I23" s="391" t="str">
        <f t="shared" si="0"/>
        <v>ok</v>
      </c>
      <c r="J23" s="391" t="str">
        <f t="shared" si="1"/>
        <v>ok</v>
      </c>
      <c r="L23" s="451">
        <v>1546.98</v>
      </c>
      <c r="M23" s="449">
        <v>0.14564705505755818</v>
      </c>
    </row>
    <row r="24" spans="1:13">
      <c r="A24" s="378" t="s">
        <v>123</v>
      </c>
      <c r="B24" s="430"/>
      <c r="C24" s="493" t="s">
        <v>8</v>
      </c>
      <c r="D24" s="493"/>
      <c r="E24" s="493"/>
      <c r="F24" s="493"/>
      <c r="G24" s="493"/>
      <c r="H24" s="493"/>
      <c r="I24" s="391" t="str">
        <f t="shared" si="0"/>
        <v>ok</v>
      </c>
      <c r="J24" s="391" t="str">
        <f t="shared" si="1"/>
        <v>ok</v>
      </c>
    </row>
    <row r="25" spans="1:13">
      <c r="A25" s="379" t="s">
        <v>131</v>
      </c>
      <c r="B25" s="442">
        <v>96995</v>
      </c>
      <c r="C25" s="380" t="s">
        <v>493</v>
      </c>
      <c r="D25" s="379" t="s">
        <v>392</v>
      </c>
      <c r="E25" s="381">
        <v>0.45999999999999996</v>
      </c>
      <c r="F25" s="425">
        <f>VLOOKUP(B25,'CADERNO DE COMPOSIÇÕES'!$A$7:$J$16960,10,FALSE)</f>
        <v>33.1</v>
      </c>
      <c r="G25" s="382">
        <f>TRUNC(F25*E25,2)</f>
        <v>15.22</v>
      </c>
      <c r="H25" s="383">
        <f t="shared" ref="H25:H29" si="5">G25/$G$173</f>
        <v>1.435827383737604E-3</v>
      </c>
      <c r="I25" s="391" t="str">
        <f t="shared" si="0"/>
        <v>ok</v>
      </c>
      <c r="J25" s="391" t="str">
        <f t="shared" si="1"/>
        <v>ok</v>
      </c>
      <c r="K25" s="451">
        <v>33.1</v>
      </c>
      <c r="L25" s="451">
        <v>15.23</v>
      </c>
      <c r="M25" s="449">
        <v>1.4338935529396701E-3</v>
      </c>
    </row>
    <row r="26" spans="1:13" ht="38.25">
      <c r="A26" s="379" t="s">
        <v>132</v>
      </c>
      <c r="B26" s="443">
        <v>87757</v>
      </c>
      <c r="C26" s="380" t="s">
        <v>494</v>
      </c>
      <c r="D26" s="379" t="s">
        <v>376</v>
      </c>
      <c r="E26" s="381">
        <v>2.09</v>
      </c>
      <c r="F26" s="425">
        <f>VLOOKUP(B26,'CADERNO DE COMPOSIÇÕES'!$A$7:$J$16960,10,FALSE)</f>
        <v>38.15</v>
      </c>
      <c r="G26" s="382">
        <f>TRUNC(F26*E26,2)</f>
        <v>79.73</v>
      </c>
      <c r="H26" s="383">
        <f t="shared" si="5"/>
        <v>7.5215845798553985E-3</v>
      </c>
      <c r="I26" s="391" t="str">
        <f t="shared" si="0"/>
        <v>ok</v>
      </c>
      <c r="J26" s="391" t="str">
        <f t="shared" si="1"/>
        <v>ok</v>
      </c>
      <c r="K26" s="451">
        <v>38.17</v>
      </c>
      <c r="L26" s="451">
        <v>79.78</v>
      </c>
      <c r="M26" s="449">
        <v>7.5112296555171947E-3</v>
      </c>
    </row>
    <row r="27" spans="1:13" ht="25.5">
      <c r="A27" s="386" t="s">
        <v>133</v>
      </c>
      <c r="B27" s="442">
        <v>94990</v>
      </c>
      <c r="C27" s="437" t="s">
        <v>495</v>
      </c>
      <c r="D27" s="436" t="s">
        <v>392</v>
      </c>
      <c r="E27" s="438">
        <v>0.28999999999999998</v>
      </c>
      <c r="F27" s="425">
        <f>VLOOKUP(B27,'CADERNO DE COMPOSIÇÕES'!$A$7:$J$16960,10,FALSE)</f>
        <v>408.53</v>
      </c>
      <c r="G27" s="382">
        <f>TRUNC(F27*E27,2)</f>
        <v>118.47</v>
      </c>
      <c r="H27" s="389">
        <f t="shared" si="5"/>
        <v>1.1176246396280811E-2</v>
      </c>
      <c r="I27" s="391" t="str">
        <f t="shared" si="0"/>
        <v>ok</v>
      </c>
      <c r="J27" s="391" t="str">
        <f t="shared" si="1"/>
        <v>ok</v>
      </c>
      <c r="K27" s="451">
        <v>408.75</v>
      </c>
      <c r="L27" s="451">
        <v>118.54</v>
      </c>
      <c r="M27" s="449">
        <v>1.116045579550023E-2</v>
      </c>
    </row>
    <row r="28" spans="1:13" ht="38.25">
      <c r="A28" s="386" t="s">
        <v>134</v>
      </c>
      <c r="B28" s="444">
        <v>87251</v>
      </c>
      <c r="C28" s="387" t="s">
        <v>491</v>
      </c>
      <c r="D28" s="386" t="s">
        <v>376</v>
      </c>
      <c r="E28" s="388">
        <v>2.09</v>
      </c>
      <c r="F28" s="425">
        <f>VLOOKUP(B28,'CADERNO DE COMPOSIÇÕES'!$A$7:$J$16960,10,FALSE)</f>
        <v>26.089999999999996</v>
      </c>
      <c r="G28" s="382">
        <f>TRUNC(F28*E28,2)</f>
        <v>54.52</v>
      </c>
      <c r="H28" s="389">
        <f t="shared" si="5"/>
        <v>5.1433185914174888E-3</v>
      </c>
      <c r="I28" s="391" t="str">
        <f t="shared" si="0"/>
        <v>ok</v>
      </c>
      <c r="J28" s="391" t="str">
        <f t="shared" si="1"/>
        <v>ok</v>
      </c>
      <c r="K28" s="451">
        <v>26.16</v>
      </c>
      <c r="L28" s="451">
        <v>54.67</v>
      </c>
      <c r="M28" s="449">
        <v>5.1471412041504769E-3</v>
      </c>
    </row>
    <row r="29" spans="1:13">
      <c r="A29" s="492" t="s">
        <v>496</v>
      </c>
      <c r="B29" s="492"/>
      <c r="C29" s="492"/>
      <c r="D29" s="492"/>
      <c r="E29" s="492"/>
      <c r="F29" s="427"/>
      <c r="G29" s="384">
        <f>SUM(G25:G28)</f>
        <v>267.94</v>
      </c>
      <c r="H29" s="385">
        <f t="shared" si="5"/>
        <v>2.5276976951291302E-2</v>
      </c>
      <c r="I29" s="391" t="str">
        <f t="shared" si="0"/>
        <v>ok</v>
      </c>
      <c r="J29" s="391" t="str">
        <f t="shared" si="1"/>
        <v>ok</v>
      </c>
      <c r="L29" s="451">
        <v>268.22000000000003</v>
      </c>
      <c r="M29" s="449">
        <v>2.5252720208107572E-2</v>
      </c>
    </row>
    <row r="30" spans="1:13">
      <c r="A30" s="378" t="s">
        <v>130</v>
      </c>
      <c r="B30" s="430"/>
      <c r="C30" s="493" t="s">
        <v>497</v>
      </c>
      <c r="D30" s="493"/>
      <c r="E30" s="493"/>
      <c r="F30" s="493"/>
      <c r="G30" s="493"/>
      <c r="H30" s="493"/>
      <c r="I30" s="391" t="str">
        <f t="shared" si="0"/>
        <v>ok</v>
      </c>
      <c r="J30" s="391" t="str">
        <f t="shared" si="1"/>
        <v>ok</v>
      </c>
    </row>
    <row r="31" spans="1:13">
      <c r="A31" s="378" t="s">
        <v>168</v>
      </c>
      <c r="B31" s="430"/>
      <c r="C31" s="493" t="s">
        <v>498</v>
      </c>
      <c r="D31" s="493"/>
      <c r="E31" s="493"/>
      <c r="F31" s="493"/>
      <c r="G31" s="493"/>
      <c r="H31" s="493"/>
      <c r="I31" s="391" t="str">
        <f t="shared" si="0"/>
        <v>ok</v>
      </c>
      <c r="J31" s="391" t="str">
        <f t="shared" si="1"/>
        <v>ok</v>
      </c>
    </row>
    <row r="32" spans="1:13" ht="25.5">
      <c r="A32" s="379" t="s">
        <v>188</v>
      </c>
      <c r="B32" s="442" t="s">
        <v>499</v>
      </c>
      <c r="C32" s="380" t="s">
        <v>500</v>
      </c>
      <c r="D32" s="379" t="s">
        <v>376</v>
      </c>
      <c r="E32" s="381">
        <v>5.9499999999999993</v>
      </c>
      <c r="F32" s="425">
        <f>VLOOKUP(B32,'CADERNO DE COMPOSIÇÕES'!$A$7:$J$16960,10,FALSE)</f>
        <v>65.08</v>
      </c>
      <c r="G32" s="382">
        <f>TRUNC(F32*E32,2)</f>
        <v>387.22</v>
      </c>
      <c r="H32" s="383">
        <f t="shared" ref="H32:H33" si="6">G32/$G$173</f>
        <v>3.652963728849376E-2</v>
      </c>
      <c r="I32" s="391" t="str">
        <f t="shared" si="0"/>
        <v>ok</v>
      </c>
      <c r="J32" s="391" t="str">
        <f t="shared" si="1"/>
        <v>ok</v>
      </c>
      <c r="K32" s="451">
        <v>65.11</v>
      </c>
      <c r="L32" s="451">
        <v>387.4</v>
      </c>
      <c r="M32" s="449">
        <v>3.6473431543586878E-2</v>
      </c>
    </row>
    <row r="33" spans="1:13" ht="25.5">
      <c r="A33" s="379" t="s">
        <v>189</v>
      </c>
      <c r="B33" s="442" t="s">
        <v>501</v>
      </c>
      <c r="C33" s="380" t="s">
        <v>502</v>
      </c>
      <c r="D33" s="379" t="s">
        <v>376</v>
      </c>
      <c r="E33" s="381">
        <v>5.9499999999999993</v>
      </c>
      <c r="F33" s="425">
        <f>VLOOKUP(B33,'CADERNO DE COMPOSIÇÕES'!$A$7:$J$16960,10,FALSE)</f>
        <v>52.01</v>
      </c>
      <c r="G33" s="382">
        <f>TRUNC(F33*E33,2)</f>
        <v>309.45</v>
      </c>
      <c r="H33" s="383">
        <f t="shared" si="6"/>
        <v>2.919295557802901E-2</v>
      </c>
      <c r="I33" s="391" t="str">
        <f t="shared" si="0"/>
        <v>ok</v>
      </c>
      <c r="J33" s="391" t="str">
        <f t="shared" si="1"/>
        <v>ok</v>
      </c>
      <c r="K33" s="451">
        <v>52.08</v>
      </c>
      <c r="L33" s="451">
        <v>309.88</v>
      </c>
      <c r="M33" s="449">
        <v>2.9174979263620809E-2</v>
      </c>
    </row>
    <row r="34" spans="1:13">
      <c r="A34" s="378" t="s">
        <v>169</v>
      </c>
      <c r="B34" s="430"/>
      <c r="C34" s="493" t="s">
        <v>503</v>
      </c>
      <c r="D34" s="493"/>
      <c r="E34" s="493"/>
      <c r="F34" s="493"/>
      <c r="G34" s="493"/>
      <c r="H34" s="493"/>
      <c r="I34" s="391" t="str">
        <f t="shared" si="0"/>
        <v>ok</v>
      </c>
      <c r="J34" s="391" t="str">
        <f t="shared" si="1"/>
        <v>ok</v>
      </c>
    </row>
    <row r="35" spans="1:13" ht="38.25">
      <c r="A35" s="379" t="s">
        <v>247</v>
      </c>
      <c r="B35" s="442">
        <v>92785</v>
      </c>
      <c r="C35" s="380" t="s">
        <v>504</v>
      </c>
      <c r="D35" s="379" t="s">
        <v>386</v>
      </c>
      <c r="E35" s="381">
        <v>5.4</v>
      </c>
      <c r="F35" s="425">
        <f>VLOOKUP(B35,'CADERNO DE COMPOSIÇÕES'!$A$7:$J$16960,10,FALSE)</f>
        <v>8.2200000000000006</v>
      </c>
      <c r="G35" s="382">
        <f>TRUNC(F35*E35,2)</f>
        <v>44.38</v>
      </c>
      <c r="H35" s="383">
        <f t="shared" ref="H35:H37" si="7">G35/$G$173</f>
        <v>4.1867292569168768E-3</v>
      </c>
      <c r="I35" s="391" t="str">
        <f t="shared" si="0"/>
        <v>ok</v>
      </c>
      <c r="J35" s="391" t="str">
        <f t="shared" si="1"/>
        <v>ok</v>
      </c>
      <c r="K35" s="451">
        <v>8.24</v>
      </c>
      <c r="L35" s="451">
        <v>44.5</v>
      </c>
      <c r="M35" s="449">
        <v>4.1896430141704086E-3</v>
      </c>
    </row>
    <row r="36" spans="1:13" ht="25.5">
      <c r="A36" s="379" t="s">
        <v>505</v>
      </c>
      <c r="B36" s="443">
        <v>94975</v>
      </c>
      <c r="C36" s="387" t="s">
        <v>506</v>
      </c>
      <c r="D36" s="379" t="s">
        <v>392</v>
      </c>
      <c r="E36" s="381">
        <v>0.09</v>
      </c>
      <c r="F36" s="425">
        <f>VLOOKUP(B36,'CADERNO DE COMPOSIÇÕES'!$A$7:$J$16960,10,FALSE)</f>
        <v>378.01</v>
      </c>
      <c r="G36" s="382">
        <f>TRUNC(F36*E36,2)</f>
        <v>34.020000000000003</v>
      </c>
      <c r="H36" s="383">
        <f t="shared" si="7"/>
        <v>3.2093855187091519E-3</v>
      </c>
      <c r="I36" s="391" t="str">
        <f t="shared" si="0"/>
        <v>ok</v>
      </c>
      <c r="J36" s="391" t="str">
        <f t="shared" si="1"/>
        <v>ok</v>
      </c>
      <c r="K36" s="451">
        <v>380.84</v>
      </c>
      <c r="L36" s="451">
        <v>34.28</v>
      </c>
      <c r="M36" s="449">
        <v>3.2274373601294741E-3</v>
      </c>
    </row>
    <row r="37" spans="1:13">
      <c r="A37" s="379" t="s">
        <v>507</v>
      </c>
      <c r="B37" s="442">
        <v>92271</v>
      </c>
      <c r="C37" s="387" t="s">
        <v>508</v>
      </c>
      <c r="D37" s="386" t="s">
        <v>376</v>
      </c>
      <c r="E37" s="381">
        <v>1.58</v>
      </c>
      <c r="F37" s="425">
        <f>VLOOKUP(B37,'CADERNO DE COMPOSIÇÕES'!$A$7:$J$16960,10,FALSE)</f>
        <v>46.4</v>
      </c>
      <c r="G37" s="382">
        <f>TRUNC(F37*E37,2)</f>
        <v>73.31</v>
      </c>
      <c r="H37" s="383">
        <f t="shared" si="7"/>
        <v>6.9159333444023486E-3</v>
      </c>
      <c r="I37" s="391" t="str">
        <f t="shared" si="0"/>
        <v>ok</v>
      </c>
      <c r="J37" s="391" t="str">
        <f t="shared" si="1"/>
        <v>ok</v>
      </c>
      <c r="K37" s="451">
        <v>46.44</v>
      </c>
      <c r="L37" s="451">
        <v>73.38</v>
      </c>
      <c r="M37" s="449">
        <v>6.9086742557263941E-3</v>
      </c>
    </row>
    <row r="38" spans="1:13">
      <c r="A38" s="378" t="s">
        <v>170</v>
      </c>
      <c r="B38" s="430"/>
      <c r="C38" s="493" t="s">
        <v>509</v>
      </c>
      <c r="D38" s="493"/>
      <c r="E38" s="493"/>
      <c r="F38" s="493"/>
      <c r="G38" s="493"/>
      <c r="H38" s="493"/>
      <c r="I38" s="391" t="str">
        <f t="shared" si="0"/>
        <v>ok</v>
      </c>
      <c r="J38" s="391" t="str">
        <f t="shared" si="1"/>
        <v>ok</v>
      </c>
    </row>
    <row r="39" spans="1:13" ht="25.5">
      <c r="A39" s="386" t="s">
        <v>250</v>
      </c>
      <c r="B39" s="442">
        <v>94231</v>
      </c>
      <c r="C39" s="441" t="s">
        <v>510</v>
      </c>
      <c r="D39" s="442" t="s">
        <v>7</v>
      </c>
      <c r="E39" s="438">
        <v>2.4</v>
      </c>
      <c r="F39" s="425">
        <f>VLOOKUP(B39,'CADERNO DE COMPOSIÇÕES'!$A$7:$J$16960,10,FALSE)</f>
        <v>19.630000000000003</v>
      </c>
      <c r="G39" s="382">
        <f>TRUNC(F39*E39,2)</f>
        <v>47.11</v>
      </c>
      <c r="H39" s="389">
        <f t="shared" ref="H39:H40" si="8">G39/$G$173</f>
        <v>4.444272539282426E-3</v>
      </c>
      <c r="I39" s="391" t="str">
        <f t="shared" si="0"/>
        <v>ok</v>
      </c>
      <c r="J39" s="391" t="str">
        <f t="shared" si="1"/>
        <v>ok</v>
      </c>
      <c r="K39" s="452">
        <v>19.64</v>
      </c>
      <c r="L39" s="451">
        <v>47.14</v>
      </c>
      <c r="M39" s="449">
        <v>4.4381971165841135E-3</v>
      </c>
    </row>
    <row r="40" spans="1:13">
      <c r="A40" s="492" t="s">
        <v>511</v>
      </c>
      <c r="B40" s="492"/>
      <c r="C40" s="492"/>
      <c r="D40" s="492"/>
      <c r="E40" s="492"/>
      <c r="F40" s="427"/>
      <c r="G40" s="384">
        <f>SUM(G32:G39)</f>
        <v>895.49000000000012</v>
      </c>
      <c r="H40" s="385">
        <f t="shared" si="8"/>
        <v>8.4478913525833588E-2</v>
      </c>
      <c r="I40" s="391" t="str">
        <f t="shared" si="0"/>
        <v>ok</v>
      </c>
      <c r="J40" s="391" t="str">
        <f t="shared" si="1"/>
        <v>ok</v>
      </c>
      <c r="L40" s="451">
        <v>896.57999999999993</v>
      </c>
      <c r="M40" s="449">
        <v>8.4412362553818052E-2</v>
      </c>
    </row>
    <row r="41" spans="1:13">
      <c r="A41" s="378" t="s">
        <v>139</v>
      </c>
      <c r="B41" s="430"/>
      <c r="C41" s="493" t="s">
        <v>460</v>
      </c>
      <c r="D41" s="493"/>
      <c r="E41" s="493"/>
      <c r="F41" s="493"/>
      <c r="G41" s="493"/>
      <c r="H41" s="493"/>
      <c r="I41" s="391" t="str">
        <f t="shared" si="0"/>
        <v>ok</v>
      </c>
      <c r="J41" s="391" t="str">
        <f t="shared" si="1"/>
        <v>ok</v>
      </c>
    </row>
    <row r="42" spans="1:13" ht="25.5">
      <c r="A42" s="379" t="s">
        <v>140</v>
      </c>
      <c r="B42" s="442">
        <v>91341</v>
      </c>
      <c r="C42" s="380" t="s">
        <v>512</v>
      </c>
      <c r="D42" s="379" t="s">
        <v>376</v>
      </c>
      <c r="E42" s="381">
        <v>1.26</v>
      </c>
      <c r="F42" s="425">
        <f>VLOOKUP(B42,'CADERNO DE COMPOSIÇÕES'!$A$7:$J$16960,10,FALSE)</f>
        <v>427.40000000000003</v>
      </c>
      <c r="G42" s="382">
        <f>TRUNC(F42*E42,2)</f>
        <v>538.52</v>
      </c>
      <c r="H42" s="383">
        <f t="shared" ref="H42:H43" si="9">G42/$G$173</f>
        <v>5.0803006747067968E-2</v>
      </c>
      <c r="I42" s="391" t="str">
        <f t="shared" si="0"/>
        <v>ok</v>
      </c>
      <c r="J42" s="391" t="str">
        <f t="shared" si="1"/>
        <v>ok</v>
      </c>
      <c r="K42" s="451">
        <v>427.71</v>
      </c>
      <c r="L42" s="451">
        <v>538.91</v>
      </c>
      <c r="M42" s="449">
        <v>5.07379891408219E-2</v>
      </c>
    </row>
    <row r="43" spans="1:13">
      <c r="A43" s="492" t="s">
        <v>513</v>
      </c>
      <c r="B43" s="492"/>
      <c r="C43" s="492"/>
      <c r="D43" s="492"/>
      <c r="E43" s="492"/>
      <c r="F43" s="427"/>
      <c r="G43" s="384">
        <f>G42</f>
        <v>538.52</v>
      </c>
      <c r="H43" s="385">
        <f t="shared" si="9"/>
        <v>5.0803006747067968E-2</v>
      </c>
      <c r="I43" s="391" t="str">
        <f t="shared" si="0"/>
        <v>ok</v>
      </c>
      <c r="J43" s="391" t="str">
        <f t="shared" si="1"/>
        <v>ok</v>
      </c>
      <c r="L43" s="451">
        <v>538.91</v>
      </c>
      <c r="M43" s="449">
        <v>5.07379891408219E-2</v>
      </c>
    </row>
    <row r="44" spans="1:13">
      <c r="A44" s="378" t="s">
        <v>514</v>
      </c>
      <c r="B44" s="430"/>
      <c r="C44" s="493" t="s">
        <v>515</v>
      </c>
      <c r="D44" s="493"/>
      <c r="E44" s="493"/>
      <c r="F44" s="493"/>
      <c r="G44" s="493"/>
      <c r="H44" s="493"/>
      <c r="I44" s="391" t="str">
        <f t="shared" si="0"/>
        <v>ok</v>
      </c>
      <c r="J44" s="391" t="str">
        <f t="shared" si="1"/>
        <v>ok</v>
      </c>
    </row>
    <row r="45" spans="1:13">
      <c r="A45" s="379" t="s">
        <v>429</v>
      </c>
      <c r="B45" s="442">
        <v>88487</v>
      </c>
      <c r="C45" s="380" t="s">
        <v>516</v>
      </c>
      <c r="D45" s="379" t="s">
        <v>376</v>
      </c>
      <c r="E45" s="381">
        <v>23.36</v>
      </c>
      <c r="F45" s="425">
        <f>VLOOKUP(B45,'CADERNO DE COMPOSIÇÕES'!$A$7:$J$16960,10,FALSE)</f>
        <v>7.77</v>
      </c>
      <c r="G45" s="382">
        <f>TRUNC(F45*E45,2)</f>
        <v>181.5</v>
      </c>
      <c r="H45" s="383">
        <f t="shared" ref="H45:H46" si="10">G45/$G$173</f>
        <v>1.7122383058368929E-2</v>
      </c>
      <c r="I45" s="391" t="str">
        <f t="shared" si="0"/>
        <v>ok</v>
      </c>
      <c r="J45" s="391" t="str">
        <f t="shared" si="1"/>
        <v>ok</v>
      </c>
      <c r="K45" s="451">
        <v>7.78</v>
      </c>
      <c r="L45" s="451">
        <v>181.74</v>
      </c>
      <c r="M45" s="449">
        <v>1.7110690368434382E-2</v>
      </c>
    </row>
    <row r="46" spans="1:13">
      <c r="A46" s="492" t="s">
        <v>517</v>
      </c>
      <c r="B46" s="492"/>
      <c r="C46" s="492"/>
      <c r="D46" s="492"/>
      <c r="E46" s="492"/>
      <c r="F46" s="427"/>
      <c r="G46" s="384">
        <f>G45</f>
        <v>181.5</v>
      </c>
      <c r="H46" s="385">
        <f t="shared" si="10"/>
        <v>1.7122383058368929E-2</v>
      </c>
      <c r="I46" s="391" t="str">
        <f t="shared" si="0"/>
        <v>ok</v>
      </c>
      <c r="J46" s="391" t="str">
        <f t="shared" si="1"/>
        <v>ok</v>
      </c>
      <c r="L46" s="451">
        <v>181.74</v>
      </c>
      <c r="M46" s="449">
        <v>1.7110690368434382E-2</v>
      </c>
    </row>
    <row r="47" spans="1:13">
      <c r="A47" s="378" t="s">
        <v>518</v>
      </c>
      <c r="B47" s="430"/>
      <c r="C47" s="493" t="s">
        <v>519</v>
      </c>
      <c r="D47" s="493"/>
      <c r="E47" s="493"/>
      <c r="F47" s="493"/>
      <c r="G47" s="493"/>
      <c r="H47" s="493"/>
      <c r="I47" s="391" t="str">
        <f t="shared" si="0"/>
        <v>ok</v>
      </c>
      <c r="J47" s="391" t="str">
        <f t="shared" si="1"/>
        <v>ok</v>
      </c>
    </row>
    <row r="48" spans="1:13" ht="25.5">
      <c r="A48" s="379" t="s">
        <v>461</v>
      </c>
      <c r="B48" s="442">
        <v>89401</v>
      </c>
      <c r="C48" s="380" t="s">
        <v>520</v>
      </c>
      <c r="D48" s="379" t="s">
        <v>389</v>
      </c>
      <c r="E48" s="381">
        <v>3.1</v>
      </c>
      <c r="F48" s="425">
        <f>VLOOKUP(B48,'CADERNO DE COMPOSIÇÕES'!$A$7:$J$16960,10,FALSE)</f>
        <v>4.91</v>
      </c>
      <c r="G48" s="382">
        <f>TRUNC(F48*E48,2)</f>
        <v>15.22</v>
      </c>
      <c r="H48" s="383">
        <f t="shared" ref="H48:H52" si="11">G48/$G$173</f>
        <v>1.435827383737604E-3</v>
      </c>
      <c r="I48" s="391" t="str">
        <f t="shared" si="0"/>
        <v>ok</v>
      </c>
      <c r="J48" s="391" t="str">
        <f t="shared" si="1"/>
        <v>ok</v>
      </c>
      <c r="K48" s="451">
        <v>4.92</v>
      </c>
      <c r="L48" s="451">
        <v>15.25</v>
      </c>
      <c r="M48" s="449">
        <v>1.4357765385640162E-3</v>
      </c>
    </row>
    <row r="49" spans="1:13" ht="25.5">
      <c r="A49" s="379" t="s">
        <v>521</v>
      </c>
      <c r="B49" s="442">
        <v>89358</v>
      </c>
      <c r="C49" s="380" t="s">
        <v>522</v>
      </c>
      <c r="D49" s="379" t="s">
        <v>472</v>
      </c>
      <c r="E49" s="381">
        <v>2</v>
      </c>
      <c r="F49" s="425">
        <f>VLOOKUP(B49,'CADERNO DE COMPOSIÇÕES'!$A$7:$J$16960,10,FALSE)</f>
        <v>4.9000000000000004</v>
      </c>
      <c r="G49" s="382">
        <f>TRUNC(F49*E49,2)</f>
        <v>9.8000000000000007</v>
      </c>
      <c r="H49" s="383">
        <f t="shared" si="11"/>
        <v>9.2451434695325365E-4</v>
      </c>
      <c r="I49" s="391" t="str">
        <f t="shared" si="0"/>
        <v>ok</v>
      </c>
      <c r="J49" s="391" t="str">
        <f t="shared" si="1"/>
        <v>ok</v>
      </c>
      <c r="K49" s="451">
        <v>4.91</v>
      </c>
      <c r="L49" s="451">
        <v>9.82</v>
      </c>
      <c r="M49" s="449">
        <v>9.2454594155400916E-4</v>
      </c>
    </row>
    <row r="50" spans="1:13" ht="38.25">
      <c r="A50" s="379" t="s">
        <v>523</v>
      </c>
      <c r="B50" s="442">
        <v>94783</v>
      </c>
      <c r="C50" s="380" t="s">
        <v>524</v>
      </c>
      <c r="D50" s="379" t="s">
        <v>472</v>
      </c>
      <c r="E50" s="381">
        <v>1</v>
      </c>
      <c r="F50" s="425">
        <f>VLOOKUP(B50,'CADERNO DE COMPOSIÇÕES'!$A$7:$J$16960,10,FALSE)</f>
        <v>14.3</v>
      </c>
      <c r="G50" s="382">
        <f>TRUNC(F50*E50,2)</f>
        <v>14.3</v>
      </c>
      <c r="H50" s="383">
        <f t="shared" si="11"/>
        <v>1.3490362409624007E-3</v>
      </c>
      <c r="I50" s="391" t="str">
        <f t="shared" si="0"/>
        <v>ok</v>
      </c>
      <c r="J50" s="391" t="str">
        <f t="shared" si="1"/>
        <v>ok</v>
      </c>
      <c r="K50" s="451">
        <v>14.32</v>
      </c>
      <c r="L50" s="451">
        <v>14.32</v>
      </c>
      <c r="M50" s="449">
        <v>1.3482177070319157E-3</v>
      </c>
    </row>
    <row r="51" spans="1:13" ht="25.5">
      <c r="A51" s="436" t="s">
        <v>525</v>
      </c>
      <c r="B51" s="442" t="s">
        <v>526</v>
      </c>
      <c r="C51" s="437" t="s">
        <v>527</v>
      </c>
      <c r="D51" s="436" t="s">
        <v>472</v>
      </c>
      <c r="E51" s="438">
        <v>1</v>
      </c>
      <c r="F51" s="439">
        <f>VLOOKUP(B51,'CADERNO DE COMPOSIÇÕES'!$A$7:$J$16960,10,FALSE)</f>
        <v>11.239999999999998</v>
      </c>
      <c r="G51" s="382">
        <f>TRUNC(F51*E51,2)</f>
        <v>11.24</v>
      </c>
      <c r="H51" s="440">
        <f t="shared" si="11"/>
        <v>1.0603613530361807E-3</v>
      </c>
      <c r="I51" s="391" t="str">
        <f t="shared" si="0"/>
        <v>ok</v>
      </c>
      <c r="J51" s="391" t="str">
        <f t="shared" si="1"/>
        <v>ok</v>
      </c>
      <c r="K51" s="451">
        <v>11.29</v>
      </c>
      <c r="L51" s="451">
        <v>11.29</v>
      </c>
      <c r="M51" s="449">
        <v>1.0629453849434584E-3</v>
      </c>
    </row>
    <row r="52" spans="1:13">
      <c r="A52" s="492" t="s">
        <v>528</v>
      </c>
      <c r="B52" s="492"/>
      <c r="C52" s="492"/>
      <c r="D52" s="492"/>
      <c r="E52" s="492"/>
      <c r="F52" s="427"/>
      <c r="G52" s="384">
        <f>SUM(G48:G51)</f>
        <v>50.560000000000009</v>
      </c>
      <c r="H52" s="385">
        <f t="shared" si="11"/>
        <v>4.7697393246894397E-3</v>
      </c>
      <c r="I52" s="391" t="str">
        <f t="shared" si="0"/>
        <v>ok</v>
      </c>
      <c r="J52" s="391" t="str">
        <f t="shared" si="1"/>
        <v>ok</v>
      </c>
      <c r="L52" s="451">
        <v>50.68</v>
      </c>
      <c r="M52" s="449">
        <v>4.7714855720933994E-3</v>
      </c>
    </row>
    <row r="53" spans="1:13">
      <c r="A53" s="378" t="s">
        <v>529</v>
      </c>
      <c r="B53" s="430"/>
      <c r="C53" s="493" t="s">
        <v>530</v>
      </c>
      <c r="D53" s="493"/>
      <c r="E53" s="493"/>
      <c r="F53" s="493"/>
      <c r="G53" s="493"/>
      <c r="H53" s="493"/>
      <c r="I53" s="391" t="str">
        <f t="shared" si="0"/>
        <v>ok</v>
      </c>
      <c r="J53" s="391" t="str">
        <f t="shared" si="1"/>
        <v>ok</v>
      </c>
    </row>
    <row r="54" spans="1:13" ht="25.5">
      <c r="A54" s="379" t="s">
        <v>466</v>
      </c>
      <c r="B54" s="442">
        <v>89446</v>
      </c>
      <c r="C54" s="380" t="s">
        <v>531</v>
      </c>
      <c r="D54" s="379" t="s">
        <v>389</v>
      </c>
      <c r="E54" s="381">
        <v>5.2</v>
      </c>
      <c r="F54" s="425">
        <f>VLOOKUP(B54,'CADERNO DE COMPOSIÇÕES'!$A$7:$J$16960,10,FALSE)</f>
        <v>3</v>
      </c>
      <c r="G54" s="382">
        <f t="shared" ref="G54:G67" si="12">TRUNC(F54*E54,2)</f>
        <v>15.6</v>
      </c>
      <c r="H54" s="383">
        <f t="shared" ref="H54:H94" si="13">G54/$G$173</f>
        <v>1.4716758992317097E-3</v>
      </c>
      <c r="I54" s="391" t="str">
        <f t="shared" si="0"/>
        <v>ok</v>
      </c>
      <c r="J54" s="391" t="str">
        <f t="shared" si="1"/>
        <v>ok</v>
      </c>
      <c r="K54" s="451">
        <v>3.01</v>
      </c>
      <c r="L54" s="451">
        <v>15.65</v>
      </c>
      <c r="M54" s="449">
        <v>1.4734362510509414E-3</v>
      </c>
    </row>
    <row r="55" spans="1:13" ht="25.5">
      <c r="A55" s="379" t="s">
        <v>467</v>
      </c>
      <c r="B55" s="442">
        <v>89401</v>
      </c>
      <c r="C55" s="380" t="s">
        <v>532</v>
      </c>
      <c r="D55" s="379" t="s">
        <v>389</v>
      </c>
      <c r="E55" s="381">
        <v>2.7406999999999999</v>
      </c>
      <c r="F55" s="425">
        <f>VLOOKUP(B55,'CADERNO DE COMPOSIÇÕES'!$A$7:$J$16960,10,FALSE)</f>
        <v>4.91</v>
      </c>
      <c r="G55" s="382">
        <f t="shared" si="12"/>
        <v>13.45</v>
      </c>
      <c r="H55" s="383">
        <f t="shared" si="13"/>
        <v>1.2688487720940061E-3</v>
      </c>
      <c r="I55" s="391" t="str">
        <f t="shared" si="0"/>
        <v>ok</v>
      </c>
      <c r="J55" s="391" t="str">
        <f t="shared" si="1"/>
        <v>ok</v>
      </c>
      <c r="K55" s="451">
        <v>4.92</v>
      </c>
      <c r="L55" s="451">
        <v>13.48</v>
      </c>
      <c r="M55" s="449">
        <v>1.2691323108093731E-3</v>
      </c>
    </row>
    <row r="56" spans="1:13" ht="25.5">
      <c r="A56" s="379" t="s">
        <v>468</v>
      </c>
      <c r="B56" s="442">
        <v>89393</v>
      </c>
      <c r="C56" s="380" t="s">
        <v>533</v>
      </c>
      <c r="D56" s="379" t="s">
        <v>472</v>
      </c>
      <c r="E56" s="381">
        <v>3</v>
      </c>
      <c r="F56" s="425">
        <f>VLOOKUP(B56,'CADERNO DE COMPOSIÇÕES'!$A$7:$J$16960,10,FALSE)</f>
        <v>6.82</v>
      </c>
      <c r="G56" s="382">
        <f t="shared" si="12"/>
        <v>20.46</v>
      </c>
      <c r="H56" s="383">
        <f t="shared" si="13"/>
        <v>1.9301595447615886E-3</v>
      </c>
      <c r="I56" s="391" t="str">
        <f t="shared" si="0"/>
        <v>ok</v>
      </c>
      <c r="J56" s="391" t="str">
        <f t="shared" si="1"/>
        <v>ok</v>
      </c>
      <c r="K56" s="451">
        <v>6.83</v>
      </c>
      <c r="L56" s="451">
        <v>20.49</v>
      </c>
      <c r="M56" s="449">
        <v>1.9291187721427339E-3</v>
      </c>
    </row>
    <row r="57" spans="1:13" ht="25.5">
      <c r="A57" s="379" t="s">
        <v>469</v>
      </c>
      <c r="B57" s="442">
        <v>89395</v>
      </c>
      <c r="C57" s="380" t="s">
        <v>534</v>
      </c>
      <c r="D57" s="379" t="s">
        <v>472</v>
      </c>
      <c r="E57" s="381">
        <v>2</v>
      </c>
      <c r="F57" s="425">
        <f>VLOOKUP(B57,'CADERNO DE COMPOSIÇÕES'!$A$7:$J$16960,10,FALSE)</f>
        <v>8.18</v>
      </c>
      <c r="G57" s="382">
        <f t="shared" si="12"/>
        <v>16.36</v>
      </c>
      <c r="H57" s="383">
        <f t="shared" si="13"/>
        <v>1.5433729302199212E-3</v>
      </c>
      <c r="I57" s="391" t="str">
        <f t="shared" si="0"/>
        <v>ok</v>
      </c>
      <c r="J57" s="391" t="str">
        <f t="shared" si="1"/>
        <v>ok</v>
      </c>
      <c r="K57" s="451">
        <v>8.19</v>
      </c>
      <c r="L57" s="451">
        <v>16.38</v>
      </c>
      <c r="M57" s="449">
        <v>1.5421652263395793E-3</v>
      </c>
    </row>
    <row r="58" spans="1:13" ht="25.5">
      <c r="A58" s="379" t="s">
        <v>535</v>
      </c>
      <c r="B58" s="442">
        <v>89481</v>
      </c>
      <c r="C58" s="380" t="s">
        <v>536</v>
      </c>
      <c r="D58" s="379" t="s">
        <v>472</v>
      </c>
      <c r="E58" s="381">
        <v>2</v>
      </c>
      <c r="F58" s="425">
        <f>VLOOKUP(B58,'CADERNO DE COMPOSIÇÕES'!$A$7:$J$16960,10,FALSE)</f>
        <v>3.04</v>
      </c>
      <c r="G58" s="382">
        <f t="shared" si="12"/>
        <v>6.08</v>
      </c>
      <c r="H58" s="383">
        <f t="shared" si="13"/>
        <v>5.7357624790569197E-4</v>
      </c>
      <c r="I58" s="391" t="str">
        <f t="shared" si="0"/>
        <v>ok</v>
      </c>
      <c r="J58" s="391" t="str">
        <f t="shared" si="1"/>
        <v>ok</v>
      </c>
      <c r="K58" s="451">
        <v>3.05</v>
      </c>
      <c r="L58" s="451">
        <v>6.1</v>
      </c>
      <c r="M58" s="449">
        <v>5.7431061542560649E-4</v>
      </c>
    </row>
    <row r="59" spans="1:13" ht="25.5">
      <c r="A59" s="379" t="s">
        <v>537</v>
      </c>
      <c r="B59" s="442">
        <v>89404</v>
      </c>
      <c r="C59" s="380" t="s">
        <v>538</v>
      </c>
      <c r="D59" s="379" t="s">
        <v>472</v>
      </c>
      <c r="E59" s="381">
        <v>3</v>
      </c>
      <c r="F59" s="425">
        <f>VLOOKUP(B59,'CADERNO DE COMPOSIÇÕES'!$A$7:$J$16960,10,FALSE)</f>
        <v>3.2700000000000005</v>
      </c>
      <c r="G59" s="382">
        <f t="shared" si="12"/>
        <v>9.81</v>
      </c>
      <c r="H59" s="383">
        <f t="shared" si="13"/>
        <v>9.2545772893994061E-4</v>
      </c>
      <c r="I59" s="391" t="str">
        <f t="shared" si="0"/>
        <v>ok</v>
      </c>
      <c r="J59" s="391" t="str">
        <f t="shared" si="1"/>
        <v>ok</v>
      </c>
      <c r="K59" s="451">
        <v>3.28</v>
      </c>
      <c r="L59" s="451">
        <v>9.84</v>
      </c>
      <c r="M59" s="449">
        <v>9.2642892717835544E-4</v>
      </c>
    </row>
    <row r="60" spans="1:13" ht="25.5">
      <c r="A60" s="436" t="s">
        <v>539</v>
      </c>
      <c r="B60" s="442" t="s">
        <v>540</v>
      </c>
      <c r="C60" s="437" t="s">
        <v>541</v>
      </c>
      <c r="D60" s="436" t="s">
        <v>472</v>
      </c>
      <c r="E60" s="438">
        <v>4</v>
      </c>
      <c r="F60" s="439">
        <f>VLOOKUP(B60,'CADERNO DE COMPOSIÇÕES'!$A$7:$J$16960,10,FALSE)</f>
        <v>4.46</v>
      </c>
      <c r="G60" s="382">
        <f t="shared" si="12"/>
        <v>17.84</v>
      </c>
      <c r="H60" s="440">
        <f t="shared" si="13"/>
        <v>1.6829934642495963E-3</v>
      </c>
      <c r="I60" s="391" t="str">
        <f t="shared" si="0"/>
        <v>ok</v>
      </c>
      <c r="J60" s="391" t="str">
        <f t="shared" si="1"/>
        <v>ok</v>
      </c>
      <c r="K60" s="451">
        <v>4.47</v>
      </c>
      <c r="L60" s="451">
        <v>17.88</v>
      </c>
      <c r="M60" s="449">
        <v>1.6833891481655482E-3</v>
      </c>
    </row>
    <row r="61" spans="1:13" ht="25.5">
      <c r="A61" s="379" t="s">
        <v>542</v>
      </c>
      <c r="B61" s="442">
        <v>89373</v>
      </c>
      <c r="C61" s="380" t="s">
        <v>543</v>
      </c>
      <c r="D61" s="379" t="s">
        <v>472</v>
      </c>
      <c r="E61" s="381">
        <v>1</v>
      </c>
      <c r="F61" s="425">
        <f>VLOOKUP(B61,'CADERNO DE COMPOSIÇÕES'!$A$7:$J$16960,10,FALSE)</f>
        <v>3.29</v>
      </c>
      <c r="G61" s="382">
        <f t="shared" si="12"/>
        <v>3.29</v>
      </c>
      <c r="H61" s="383">
        <f t="shared" si="13"/>
        <v>3.1037267362002082E-4</v>
      </c>
      <c r="I61" s="391" t="str">
        <f t="shared" si="0"/>
        <v>ok</v>
      </c>
      <c r="J61" s="391" t="str">
        <f t="shared" si="1"/>
        <v>ok</v>
      </c>
      <c r="K61" s="451">
        <v>3.3</v>
      </c>
      <c r="L61" s="451">
        <v>3.3</v>
      </c>
      <c r="M61" s="449">
        <v>3.1069262801713135E-4</v>
      </c>
    </row>
    <row r="62" spans="1:13" ht="38.25">
      <c r="A62" s="379" t="s">
        <v>544</v>
      </c>
      <c r="B62" s="442">
        <v>95141</v>
      </c>
      <c r="C62" s="380" t="s">
        <v>545</v>
      </c>
      <c r="D62" s="379" t="s">
        <v>472</v>
      </c>
      <c r="E62" s="381">
        <v>3</v>
      </c>
      <c r="F62" s="425">
        <f>VLOOKUP(B62,'CADERNO DE COMPOSIÇÕES'!$A$7:$J$16960,10,FALSE)</f>
        <v>23.08</v>
      </c>
      <c r="G62" s="382">
        <f t="shared" si="12"/>
        <v>69.239999999999995</v>
      </c>
      <c r="H62" s="383">
        <f t="shared" si="13"/>
        <v>6.5319768758207416E-3</v>
      </c>
      <c r="I62" s="391" t="str">
        <f t="shared" si="0"/>
        <v>ok</v>
      </c>
      <c r="J62" s="391" t="str">
        <f t="shared" si="1"/>
        <v>ok</v>
      </c>
      <c r="K62" s="451">
        <v>23.09</v>
      </c>
      <c r="L62" s="451">
        <v>69.27</v>
      </c>
      <c r="M62" s="449">
        <v>6.5217207099232399E-3</v>
      </c>
    </row>
    <row r="63" spans="1:13" ht="25.5">
      <c r="A63" s="379" t="s">
        <v>546</v>
      </c>
      <c r="B63" s="442" t="s">
        <v>547</v>
      </c>
      <c r="C63" s="380" t="s">
        <v>548</v>
      </c>
      <c r="D63" s="379" t="s">
        <v>472</v>
      </c>
      <c r="E63" s="381">
        <v>2</v>
      </c>
      <c r="F63" s="425">
        <f>VLOOKUP(B63,'CADERNO DE COMPOSIÇÕES'!$A$7:$J$16960,10,FALSE)</f>
        <v>14.52</v>
      </c>
      <c r="G63" s="382">
        <f t="shared" si="12"/>
        <v>29.04</v>
      </c>
      <c r="H63" s="383">
        <f t="shared" si="13"/>
        <v>2.7395812893390289E-3</v>
      </c>
      <c r="I63" s="391" t="str">
        <f t="shared" si="0"/>
        <v>ok</v>
      </c>
      <c r="J63" s="391" t="str">
        <f t="shared" si="1"/>
        <v>ok</v>
      </c>
      <c r="K63" s="451">
        <v>14.53</v>
      </c>
      <c r="L63" s="451">
        <v>29.06</v>
      </c>
      <c r="M63" s="449">
        <v>2.7359781121751026E-3</v>
      </c>
    </row>
    <row r="64" spans="1:13" ht="25.5">
      <c r="A64" s="436" t="s">
        <v>549</v>
      </c>
      <c r="B64" s="442" t="s">
        <v>550</v>
      </c>
      <c r="C64" s="437" t="s">
        <v>551</v>
      </c>
      <c r="D64" s="436" t="s">
        <v>472</v>
      </c>
      <c r="E64" s="438">
        <v>1</v>
      </c>
      <c r="F64" s="439">
        <f>VLOOKUP(B64,'CADERNO DE COMPOSIÇÕES'!$A$7:$J$16960,10,FALSE)</f>
        <v>3.69</v>
      </c>
      <c r="G64" s="382">
        <f t="shared" si="12"/>
        <v>3.69</v>
      </c>
      <c r="H64" s="440">
        <f t="shared" si="13"/>
        <v>3.4810795308750058E-4</v>
      </c>
      <c r="I64" s="391" t="str">
        <f t="shared" si="0"/>
        <v>ok</v>
      </c>
      <c r="J64" s="391" t="str">
        <f t="shared" si="1"/>
        <v>ok</v>
      </c>
      <c r="K64" s="451">
        <v>3.7</v>
      </c>
      <c r="L64" s="451">
        <v>3.7</v>
      </c>
      <c r="M64" s="449">
        <v>3.4835234050405644E-4</v>
      </c>
    </row>
    <row r="65" spans="1:13" ht="25.5">
      <c r="A65" s="379" t="s">
        <v>552</v>
      </c>
      <c r="B65" s="442" t="s">
        <v>553</v>
      </c>
      <c r="C65" s="380" t="s">
        <v>554</v>
      </c>
      <c r="D65" s="379" t="s">
        <v>472</v>
      </c>
      <c r="E65" s="381">
        <v>1</v>
      </c>
      <c r="F65" s="425">
        <f>VLOOKUP(B65,'CADERNO DE COMPOSIÇÕES'!$A$7:$J$16960,10,FALSE)</f>
        <v>13.22</v>
      </c>
      <c r="G65" s="382">
        <f t="shared" si="12"/>
        <v>13.22</v>
      </c>
      <c r="H65" s="383">
        <f t="shared" si="13"/>
        <v>1.2471509864002053E-3</v>
      </c>
      <c r="I65" s="391" t="str">
        <f t="shared" si="0"/>
        <v>ok</v>
      </c>
      <c r="J65" s="391" t="str">
        <f t="shared" si="1"/>
        <v>ok</v>
      </c>
      <c r="K65" s="451">
        <v>13.23</v>
      </c>
      <c r="L65" s="451">
        <v>13.23</v>
      </c>
      <c r="M65" s="449">
        <v>1.245594990505045E-3</v>
      </c>
    </row>
    <row r="66" spans="1:13" ht="25.5">
      <c r="A66" s="379" t="s">
        <v>555</v>
      </c>
      <c r="B66" s="442">
        <v>89394</v>
      </c>
      <c r="C66" s="380" t="s">
        <v>556</v>
      </c>
      <c r="D66" s="379" t="s">
        <v>472</v>
      </c>
      <c r="E66" s="381">
        <v>1</v>
      </c>
      <c r="F66" s="425">
        <f>VLOOKUP(B66,'CADERNO DE COMPOSIÇÕES'!$A$7:$J$16960,10,FALSE)</f>
        <v>13</v>
      </c>
      <c r="G66" s="382">
        <f t="shared" si="12"/>
        <v>13</v>
      </c>
      <c r="H66" s="383">
        <f t="shared" si="13"/>
        <v>1.2263965826930915E-3</v>
      </c>
      <c r="I66" s="391" t="str">
        <f t="shared" si="0"/>
        <v>ok</v>
      </c>
      <c r="J66" s="391" t="str">
        <f t="shared" si="1"/>
        <v>ok</v>
      </c>
      <c r="K66" s="451">
        <v>13.01</v>
      </c>
      <c r="L66" s="451">
        <v>13.01</v>
      </c>
      <c r="M66" s="449">
        <v>1.2248821486372363E-3</v>
      </c>
    </row>
    <row r="67" spans="1:13" ht="25.5">
      <c r="A67" s="436" t="s">
        <v>557</v>
      </c>
      <c r="B67" s="442" t="s">
        <v>558</v>
      </c>
      <c r="C67" s="437" t="s">
        <v>559</v>
      </c>
      <c r="D67" s="436" t="s">
        <v>472</v>
      </c>
      <c r="E67" s="438">
        <v>1</v>
      </c>
      <c r="F67" s="439">
        <f>VLOOKUP(B67,'CADERNO DE COMPOSIÇÕES'!$A$7:$J$16960,10,FALSE)</f>
        <v>4.96</v>
      </c>
      <c r="G67" s="382">
        <f t="shared" si="12"/>
        <v>4.96</v>
      </c>
      <c r="H67" s="440">
        <f t="shared" si="13"/>
        <v>4.6791746539674874E-4</v>
      </c>
      <c r="I67" s="391" t="str">
        <f t="shared" si="0"/>
        <v>ok</v>
      </c>
      <c r="J67" s="391" t="str">
        <f t="shared" si="1"/>
        <v>ok</v>
      </c>
      <c r="K67" s="451">
        <v>4.97</v>
      </c>
      <c r="L67" s="451">
        <v>4.97</v>
      </c>
      <c r="M67" s="449">
        <v>4.6792192765004331E-4</v>
      </c>
    </row>
    <row r="68" spans="1:13">
      <c r="A68" s="492" t="s">
        <v>560</v>
      </c>
      <c r="B68" s="492"/>
      <c r="C68" s="492"/>
      <c r="D68" s="492"/>
      <c r="E68" s="492"/>
      <c r="F68" s="427"/>
      <c r="G68" s="384">
        <f>SUM(G54:G67)</f>
        <v>236.04</v>
      </c>
      <c r="H68" s="385">
        <f t="shared" si="13"/>
        <v>2.2267588413759792E-2</v>
      </c>
      <c r="I68" s="391" t="str">
        <f t="shared" si="0"/>
        <v>ok</v>
      </c>
      <c r="J68" s="391" t="str">
        <f t="shared" si="1"/>
        <v>ok</v>
      </c>
      <c r="L68" s="451">
        <v>236.35999999999996</v>
      </c>
      <c r="M68" s="449">
        <v>2.2253124108523994E-2</v>
      </c>
    </row>
    <row r="69" spans="1:13">
      <c r="A69" s="378" t="s">
        <v>561</v>
      </c>
      <c r="B69" s="430"/>
      <c r="C69" s="493" t="s">
        <v>562</v>
      </c>
      <c r="D69" s="493"/>
      <c r="E69" s="493"/>
      <c r="F69" s="493"/>
      <c r="G69" s="493"/>
      <c r="H69" s="493"/>
      <c r="I69" s="391" t="str">
        <f t="shared" si="0"/>
        <v>ok</v>
      </c>
      <c r="J69" s="391" t="str">
        <f t="shared" si="1"/>
        <v>ok</v>
      </c>
    </row>
    <row r="70" spans="1:13" ht="25.5">
      <c r="A70" s="436" t="s">
        <v>563</v>
      </c>
      <c r="B70" s="442" t="s">
        <v>564</v>
      </c>
      <c r="C70" s="437" t="s">
        <v>565</v>
      </c>
      <c r="D70" s="436" t="s">
        <v>472</v>
      </c>
      <c r="E70" s="438">
        <v>1</v>
      </c>
      <c r="F70" s="439">
        <f>VLOOKUP(B70,'CADERNO DE COMPOSIÇÕES'!$A$7:$J$16960,10,FALSE)</f>
        <v>135.44999999999999</v>
      </c>
      <c r="G70" s="382">
        <f t="shared" ref="G70:G83" si="14">TRUNC(F70*E70,2)</f>
        <v>135.44999999999999</v>
      </c>
      <c r="H70" s="440">
        <f t="shared" si="13"/>
        <v>1.2778109009675324E-2</v>
      </c>
      <c r="I70" s="391" t="str">
        <f t="shared" si="0"/>
        <v>ok</v>
      </c>
      <c r="J70" s="391" t="str">
        <f t="shared" si="1"/>
        <v>ok</v>
      </c>
      <c r="K70" s="451">
        <v>135.52000000000001</v>
      </c>
      <c r="L70" s="451">
        <v>135.52000000000001</v>
      </c>
      <c r="M70" s="449">
        <v>1.2759110590570198E-2</v>
      </c>
    </row>
    <row r="71" spans="1:13" ht="51">
      <c r="A71" s="379" t="s">
        <v>566</v>
      </c>
      <c r="B71" s="442">
        <v>86939</v>
      </c>
      <c r="C71" s="380" t="s">
        <v>567</v>
      </c>
      <c r="D71" s="379" t="s">
        <v>472</v>
      </c>
      <c r="E71" s="381">
        <v>1</v>
      </c>
      <c r="F71" s="439">
        <f>VLOOKUP(B71,'CADERNO DE COMPOSIÇÕES'!$A$7:$J$16960,10,FALSE)</f>
        <v>257.78000000000003</v>
      </c>
      <c r="G71" s="382">
        <f t="shared" si="14"/>
        <v>257.77999999999997</v>
      </c>
      <c r="H71" s="383">
        <f t="shared" si="13"/>
        <v>2.4318500852817313E-2</v>
      </c>
      <c r="I71" s="391" t="str">
        <f t="shared" si="0"/>
        <v>ok</v>
      </c>
      <c r="J71" s="391" t="str">
        <f t="shared" si="1"/>
        <v>ok</v>
      </c>
      <c r="K71" s="451">
        <v>257.94</v>
      </c>
      <c r="L71" s="451">
        <v>257.94</v>
      </c>
      <c r="M71" s="449">
        <v>2.4284865597193596E-2</v>
      </c>
    </row>
    <row r="72" spans="1:13" ht="25.5">
      <c r="A72" s="379" t="s">
        <v>568</v>
      </c>
      <c r="B72" s="442">
        <v>95469</v>
      </c>
      <c r="C72" s="380" t="s">
        <v>569</v>
      </c>
      <c r="D72" s="379" t="s">
        <v>472</v>
      </c>
      <c r="E72" s="381">
        <v>1</v>
      </c>
      <c r="F72" s="439">
        <f>VLOOKUP(B72,'CADERNO DE COMPOSIÇÕES'!$A$7:$J$16960,10,FALSE)</f>
        <v>162.17000000000002</v>
      </c>
      <c r="G72" s="382">
        <f t="shared" si="14"/>
        <v>162.16999999999999</v>
      </c>
      <c r="H72" s="383">
        <f t="shared" si="13"/>
        <v>1.5298825678102972E-2</v>
      </c>
      <c r="I72" s="391" t="str">
        <f t="shared" si="0"/>
        <v>ok</v>
      </c>
      <c r="J72" s="391" t="str">
        <f t="shared" si="1"/>
        <v>ok</v>
      </c>
      <c r="K72" s="451">
        <v>162.26</v>
      </c>
      <c r="L72" s="451">
        <v>162.26</v>
      </c>
      <c r="M72" s="449">
        <v>1.5276662370321133E-2</v>
      </c>
    </row>
    <row r="73" spans="1:13" ht="25.5">
      <c r="A73" s="436" t="s">
        <v>570</v>
      </c>
      <c r="B73" s="442" t="s">
        <v>571</v>
      </c>
      <c r="C73" s="437" t="s">
        <v>572</v>
      </c>
      <c r="D73" s="436" t="s">
        <v>472</v>
      </c>
      <c r="E73" s="438">
        <v>1</v>
      </c>
      <c r="F73" s="439">
        <f>VLOOKUP(B73,'CADERNO DE COMPOSIÇÕES'!$A$7:$J$16960,10,FALSE)</f>
        <v>22.46</v>
      </c>
      <c r="G73" s="382">
        <f t="shared" si="14"/>
        <v>22.46</v>
      </c>
      <c r="H73" s="440">
        <f t="shared" si="13"/>
        <v>2.1188359420989873E-3</v>
      </c>
      <c r="I73" s="391" t="str">
        <f t="shared" ref="I73:I136" si="15">IF(F73&gt;K73,"CONFERIR","ok")</f>
        <v>ok</v>
      </c>
      <c r="J73" s="391" t="str">
        <f t="shared" ref="J73:J136" si="16">IF(G73&gt;L73,"CONFERIR","ok")</f>
        <v>ok</v>
      </c>
      <c r="K73" s="451">
        <v>22.48</v>
      </c>
      <c r="L73" s="451">
        <v>22.48</v>
      </c>
      <c r="M73" s="449">
        <v>2.1164758417651862E-3</v>
      </c>
    </row>
    <row r="74" spans="1:13" ht="25.5">
      <c r="A74" s="436" t="s">
        <v>573</v>
      </c>
      <c r="B74" s="442" t="s">
        <v>574</v>
      </c>
      <c r="C74" s="437" t="s">
        <v>575</v>
      </c>
      <c r="D74" s="436" t="s">
        <v>472</v>
      </c>
      <c r="E74" s="438">
        <v>1</v>
      </c>
      <c r="F74" s="439">
        <f>VLOOKUP(B74,'CADERNO DE COMPOSIÇÕES'!$A$7:$J$16960,10,FALSE)</f>
        <v>27.1</v>
      </c>
      <c r="G74" s="382">
        <f t="shared" si="14"/>
        <v>27.1</v>
      </c>
      <c r="H74" s="440">
        <f t="shared" si="13"/>
        <v>2.5565651839217522E-3</v>
      </c>
      <c r="I74" s="391" t="str">
        <f t="shared" si="15"/>
        <v>ok</v>
      </c>
      <c r="J74" s="391" t="str">
        <f t="shared" si="16"/>
        <v>ok</v>
      </c>
      <c r="K74" s="451">
        <v>27.12</v>
      </c>
      <c r="L74" s="451">
        <v>27.12</v>
      </c>
      <c r="M74" s="449">
        <v>2.5533285066135164E-3</v>
      </c>
    </row>
    <row r="75" spans="1:13" ht="25.5">
      <c r="A75" s="436" t="s">
        <v>576</v>
      </c>
      <c r="B75" s="442" t="s">
        <v>577</v>
      </c>
      <c r="C75" s="437" t="s">
        <v>578</v>
      </c>
      <c r="D75" s="436" t="s">
        <v>472</v>
      </c>
      <c r="E75" s="438">
        <v>1</v>
      </c>
      <c r="F75" s="439">
        <f>VLOOKUP(B75,'CADERNO DE COMPOSIÇÕES'!$A$7:$J$16960,10,FALSE)</f>
        <v>8.2100000000000009</v>
      </c>
      <c r="G75" s="382">
        <f t="shared" si="14"/>
        <v>8.2100000000000009</v>
      </c>
      <c r="H75" s="440">
        <f t="shared" si="13"/>
        <v>7.7451661107002167E-4</v>
      </c>
      <c r="I75" s="391" t="str">
        <f t="shared" si="15"/>
        <v>ok</v>
      </c>
      <c r="J75" s="391" t="str">
        <f t="shared" si="16"/>
        <v>ok</v>
      </c>
      <c r="K75" s="451">
        <v>8.2200000000000006</v>
      </c>
      <c r="L75" s="451">
        <v>8.2200000000000006</v>
      </c>
      <c r="M75" s="449">
        <v>7.7390709160630913E-4</v>
      </c>
    </row>
    <row r="76" spans="1:13" ht="25.5">
      <c r="A76" s="379" t="s">
        <v>579</v>
      </c>
      <c r="B76" s="442" t="s">
        <v>580</v>
      </c>
      <c r="C76" s="380" t="s">
        <v>581</v>
      </c>
      <c r="D76" s="379" t="s">
        <v>472</v>
      </c>
      <c r="E76" s="381">
        <v>1</v>
      </c>
      <c r="F76" s="439">
        <f>VLOOKUP(B76,'CADERNO DE COMPOSIÇÕES'!$A$7:$J$16960,10,FALSE)</f>
        <v>5.9</v>
      </c>
      <c r="G76" s="382">
        <f t="shared" si="14"/>
        <v>5.9</v>
      </c>
      <c r="H76" s="383">
        <f t="shared" si="13"/>
        <v>5.5659537214532617E-4</v>
      </c>
      <c r="I76" s="391" t="str">
        <f t="shared" si="15"/>
        <v>ok</v>
      </c>
      <c r="J76" s="391" t="str">
        <f t="shared" si="16"/>
        <v>ok</v>
      </c>
      <c r="K76" s="451">
        <v>5.91</v>
      </c>
      <c r="L76" s="451">
        <v>5.91</v>
      </c>
      <c r="M76" s="449">
        <v>5.5642225199431712E-4</v>
      </c>
    </row>
    <row r="77" spans="1:13" ht="25.5">
      <c r="A77" s="379" t="s">
        <v>582</v>
      </c>
      <c r="B77" s="442" t="s">
        <v>583</v>
      </c>
      <c r="C77" s="380" t="s">
        <v>584</v>
      </c>
      <c r="D77" s="379" t="s">
        <v>472</v>
      </c>
      <c r="E77" s="381">
        <v>1</v>
      </c>
      <c r="F77" s="439">
        <f>VLOOKUP(B77,'CADERNO DE COMPOSIÇÕES'!$A$7:$J$16960,10,FALSE)</f>
        <v>2.35</v>
      </c>
      <c r="G77" s="382">
        <f t="shared" si="14"/>
        <v>2.35</v>
      </c>
      <c r="H77" s="383">
        <f t="shared" si="13"/>
        <v>2.2169476687144347E-4</v>
      </c>
      <c r="I77" s="391" t="str">
        <f t="shared" si="15"/>
        <v>ok</v>
      </c>
      <c r="J77" s="391" t="str">
        <f t="shared" si="16"/>
        <v>ok</v>
      </c>
      <c r="K77" s="451">
        <v>2.36</v>
      </c>
      <c r="L77" s="451">
        <v>2.36</v>
      </c>
      <c r="M77" s="449">
        <v>2.221923036728576E-4</v>
      </c>
    </row>
    <row r="78" spans="1:13">
      <c r="A78" s="379" t="s">
        <v>585</v>
      </c>
      <c r="B78" s="443">
        <v>95545</v>
      </c>
      <c r="C78" s="387" t="s">
        <v>586</v>
      </c>
      <c r="D78" s="379" t="s">
        <v>472</v>
      </c>
      <c r="E78" s="381">
        <v>1</v>
      </c>
      <c r="F78" s="439">
        <f>VLOOKUP(B78,'CADERNO DE COMPOSIÇÕES'!$A$7:$J$16960,10,FALSE)</f>
        <v>32.81</v>
      </c>
      <c r="G78" s="382">
        <f t="shared" si="14"/>
        <v>32.81</v>
      </c>
      <c r="H78" s="383">
        <f t="shared" si="13"/>
        <v>3.0952362983200257E-3</v>
      </c>
      <c r="I78" s="391" t="str">
        <f t="shared" si="15"/>
        <v>ok</v>
      </c>
      <c r="J78" s="391" t="str">
        <f t="shared" si="16"/>
        <v>ok</v>
      </c>
      <c r="K78" s="451">
        <v>32.840000000000003</v>
      </c>
      <c r="L78" s="451">
        <v>32.840000000000003</v>
      </c>
      <c r="M78" s="449">
        <v>3.0918623951765442E-3</v>
      </c>
    </row>
    <row r="79" spans="1:13" ht="25.5">
      <c r="A79" s="379" t="s">
        <v>587</v>
      </c>
      <c r="B79" s="442">
        <v>95544</v>
      </c>
      <c r="C79" s="387" t="s">
        <v>588</v>
      </c>
      <c r="D79" s="379" t="s">
        <v>472</v>
      </c>
      <c r="E79" s="381">
        <v>1</v>
      </c>
      <c r="F79" s="439">
        <f>VLOOKUP(B79,'CADERNO DE COMPOSIÇÕES'!$A$7:$J$16960,10,FALSE)</f>
        <v>33.58</v>
      </c>
      <c r="G79" s="382">
        <f t="shared" si="14"/>
        <v>33.58</v>
      </c>
      <c r="H79" s="383">
        <f t="shared" si="13"/>
        <v>3.1678767112949236E-3</v>
      </c>
      <c r="I79" s="391" t="str">
        <f t="shared" si="15"/>
        <v>ok</v>
      </c>
      <c r="J79" s="391" t="str">
        <f t="shared" si="16"/>
        <v>ok</v>
      </c>
      <c r="K79" s="451">
        <v>33.61</v>
      </c>
      <c r="L79" s="451">
        <v>33.61</v>
      </c>
      <c r="M79" s="449">
        <v>3.1643573417138747E-3</v>
      </c>
    </row>
    <row r="80" spans="1:13" ht="25.5">
      <c r="A80" s="436" t="s">
        <v>589</v>
      </c>
      <c r="B80" s="442" t="s">
        <v>590</v>
      </c>
      <c r="C80" s="437" t="s">
        <v>591</v>
      </c>
      <c r="D80" s="436" t="s">
        <v>472</v>
      </c>
      <c r="E80" s="438">
        <v>1</v>
      </c>
      <c r="F80" s="439">
        <f>VLOOKUP(B80,'CADERNO DE COMPOSIÇÕES'!$A$7:$J$16960,10,FALSE)</f>
        <v>4.5</v>
      </c>
      <c r="G80" s="382">
        <f t="shared" si="14"/>
        <v>4.5</v>
      </c>
      <c r="H80" s="440">
        <f t="shared" si="13"/>
        <v>4.2452189400914706E-4</v>
      </c>
      <c r="I80" s="391" t="str">
        <f t="shared" si="15"/>
        <v>ok</v>
      </c>
      <c r="J80" s="391" t="str">
        <f t="shared" si="16"/>
        <v>ok</v>
      </c>
      <c r="K80" s="451">
        <v>4.51</v>
      </c>
      <c r="L80" s="451">
        <v>4.51</v>
      </c>
      <c r="M80" s="449">
        <v>4.2461325829007955E-4</v>
      </c>
    </row>
    <row r="81" spans="1:13" ht="25.5">
      <c r="A81" s="436" t="s">
        <v>592</v>
      </c>
      <c r="B81" s="442" t="s">
        <v>593</v>
      </c>
      <c r="C81" s="437" t="s">
        <v>594</v>
      </c>
      <c r="D81" s="436" t="s">
        <v>472</v>
      </c>
      <c r="E81" s="438">
        <v>1</v>
      </c>
      <c r="F81" s="439">
        <f>VLOOKUP(B81,'CADERNO DE COMPOSIÇÕES'!$A$7:$J$16960,10,FALSE)</f>
        <v>3.86</v>
      </c>
      <c r="G81" s="382">
        <f t="shared" si="14"/>
        <v>3.86</v>
      </c>
      <c r="H81" s="440">
        <f t="shared" si="13"/>
        <v>3.6414544686117942E-4</v>
      </c>
      <c r="I81" s="391" t="str">
        <f t="shared" si="15"/>
        <v>ok</v>
      </c>
      <c r="J81" s="391" t="str">
        <f t="shared" si="16"/>
        <v>ok</v>
      </c>
      <c r="K81" s="451">
        <v>3.87</v>
      </c>
      <c r="L81" s="451">
        <v>3.87</v>
      </c>
      <c r="M81" s="449">
        <v>3.6435771831099954E-4</v>
      </c>
    </row>
    <row r="82" spans="1:13" ht="25.5">
      <c r="A82" s="379" t="s">
        <v>595</v>
      </c>
      <c r="B82" s="442">
        <v>86914</v>
      </c>
      <c r="C82" s="380" t="s">
        <v>596</v>
      </c>
      <c r="D82" s="379" t="s">
        <v>472</v>
      </c>
      <c r="E82" s="381">
        <v>2</v>
      </c>
      <c r="F82" s="439">
        <f>VLOOKUP(B82,'CADERNO DE COMPOSIÇÕES'!$A$7:$J$16960,10,FALSE)</f>
        <v>32.519999999999996</v>
      </c>
      <c r="G82" s="382">
        <f t="shared" si="14"/>
        <v>65.040000000000006</v>
      </c>
      <c r="H82" s="383">
        <f t="shared" si="13"/>
        <v>6.1357564414122054E-3</v>
      </c>
      <c r="I82" s="391" t="str">
        <f t="shared" si="15"/>
        <v>ok</v>
      </c>
      <c r="J82" s="391" t="str">
        <f t="shared" si="16"/>
        <v>ok</v>
      </c>
      <c r="K82" s="451">
        <v>32.54</v>
      </c>
      <c r="L82" s="451">
        <v>65.08</v>
      </c>
      <c r="M82" s="449">
        <v>6.1272352216227002E-3</v>
      </c>
    </row>
    <row r="83" spans="1:13" ht="25.5">
      <c r="A83" s="379" t="s">
        <v>597</v>
      </c>
      <c r="B83" s="442" t="s">
        <v>598</v>
      </c>
      <c r="C83" s="380" t="s">
        <v>599</v>
      </c>
      <c r="D83" s="379" t="s">
        <v>472</v>
      </c>
      <c r="E83" s="381">
        <v>1</v>
      </c>
      <c r="F83" s="439">
        <f>VLOOKUP(B83,'CADERNO DE COMPOSIÇÕES'!$A$7:$J$16960,10,FALSE)</f>
        <v>175.02</v>
      </c>
      <c r="G83" s="382">
        <f t="shared" si="14"/>
        <v>175.02</v>
      </c>
      <c r="H83" s="383">
        <f t="shared" si="13"/>
        <v>1.651107153099576E-2</v>
      </c>
      <c r="I83" s="391" t="str">
        <f t="shared" si="15"/>
        <v>ok</v>
      </c>
      <c r="J83" s="391" t="str">
        <f t="shared" si="16"/>
        <v>ok</v>
      </c>
      <c r="K83" s="451">
        <v>175.11</v>
      </c>
      <c r="L83" s="451">
        <v>175.11</v>
      </c>
      <c r="M83" s="449">
        <v>1.6486480633963602E-2</v>
      </c>
    </row>
    <row r="84" spans="1:13">
      <c r="A84" s="492" t="s">
        <v>600</v>
      </c>
      <c r="B84" s="492"/>
      <c r="C84" s="492"/>
      <c r="D84" s="492"/>
      <c r="E84" s="492"/>
      <c r="F84" s="427"/>
      <c r="G84" s="384">
        <f>SUM(G70:G83)</f>
        <v>936.23</v>
      </c>
      <c r="H84" s="385">
        <f t="shared" si="13"/>
        <v>8.8322251739596389E-2</v>
      </c>
      <c r="I84" s="391" t="str">
        <f t="shared" si="15"/>
        <v>ok</v>
      </c>
      <c r="J84" s="391" t="str">
        <f t="shared" si="16"/>
        <v>ok</v>
      </c>
      <c r="L84" s="451">
        <v>936.83000000000015</v>
      </c>
      <c r="M84" s="449">
        <v>8.8201871122814912E-2</v>
      </c>
    </row>
    <row r="85" spans="1:13">
      <c r="A85" s="378" t="s">
        <v>601</v>
      </c>
      <c r="B85" s="430"/>
      <c r="C85" s="493" t="s">
        <v>602</v>
      </c>
      <c r="D85" s="493"/>
      <c r="E85" s="493"/>
      <c r="F85" s="493"/>
      <c r="G85" s="493"/>
      <c r="H85" s="493"/>
      <c r="I85" s="391" t="str">
        <f t="shared" si="15"/>
        <v>ok</v>
      </c>
      <c r="J85" s="391" t="str">
        <f t="shared" si="16"/>
        <v>ok</v>
      </c>
    </row>
    <row r="86" spans="1:13" ht="25.5">
      <c r="A86" s="379" t="s">
        <v>603</v>
      </c>
      <c r="B86" s="442">
        <v>89714</v>
      </c>
      <c r="C86" s="380" t="s">
        <v>604</v>
      </c>
      <c r="D86" s="379" t="s">
        <v>389</v>
      </c>
      <c r="E86" s="381">
        <v>9.5</v>
      </c>
      <c r="F86" s="425">
        <f>VLOOKUP(B86,'CADERNO DE COMPOSIÇÕES'!$A$7:$J$16960,10,FALSE)</f>
        <v>34.85</v>
      </c>
      <c r="G86" s="382">
        <f t="shared" ref="G86:G94" si="17">TRUNC(F86*E86,2)</f>
        <v>331.07</v>
      </c>
      <c r="H86" s="383">
        <f t="shared" si="13"/>
        <v>3.1232547433246289E-2</v>
      </c>
      <c r="I86" s="391" t="str">
        <f t="shared" si="15"/>
        <v>ok</v>
      </c>
      <c r="J86" s="391" t="str">
        <f t="shared" si="16"/>
        <v>ok</v>
      </c>
      <c r="K86" s="451">
        <v>34.86</v>
      </c>
      <c r="L86" s="451">
        <v>331.17</v>
      </c>
      <c r="M86" s="449">
        <v>3.1179417460737397E-2</v>
      </c>
    </row>
    <row r="87" spans="1:13" ht="25.5">
      <c r="A87" s="379" t="s">
        <v>605</v>
      </c>
      <c r="B87" s="442">
        <v>89798</v>
      </c>
      <c r="C87" s="380" t="s">
        <v>606</v>
      </c>
      <c r="D87" s="379" t="s">
        <v>389</v>
      </c>
      <c r="E87" s="381">
        <v>2.5</v>
      </c>
      <c r="F87" s="425">
        <f>VLOOKUP(B87,'CADERNO DE COMPOSIÇÕES'!$A$7:$J$16960,10,FALSE)</f>
        <v>6.99</v>
      </c>
      <c r="G87" s="382">
        <f t="shared" si="17"/>
        <v>17.47</v>
      </c>
      <c r="H87" s="383">
        <f t="shared" si="13"/>
        <v>1.6480883307421774E-3</v>
      </c>
      <c r="I87" s="391" t="str">
        <f t="shared" si="15"/>
        <v>ok</v>
      </c>
      <c r="J87" s="391" t="str">
        <f t="shared" si="16"/>
        <v>ok</v>
      </c>
      <c r="K87" s="451">
        <v>7</v>
      </c>
      <c r="L87" s="451">
        <v>17.5</v>
      </c>
      <c r="M87" s="449">
        <v>1.6476124213029694E-3</v>
      </c>
    </row>
    <row r="88" spans="1:13" ht="25.5">
      <c r="A88" s="379" t="s">
        <v>607</v>
      </c>
      <c r="B88" s="442">
        <v>89711</v>
      </c>
      <c r="C88" s="380" t="s">
        <v>608</v>
      </c>
      <c r="D88" s="379" t="s">
        <v>389</v>
      </c>
      <c r="E88" s="381">
        <v>3.42</v>
      </c>
      <c r="F88" s="425">
        <f>VLOOKUP(B88,'CADERNO DE COMPOSIÇÕES'!$A$7:$J$16960,10,FALSE)</f>
        <v>12.33</v>
      </c>
      <c r="G88" s="382">
        <f t="shared" si="17"/>
        <v>42.16</v>
      </c>
      <c r="H88" s="383">
        <f t="shared" si="13"/>
        <v>3.9772984558723639E-3</v>
      </c>
      <c r="I88" s="391" t="str">
        <f t="shared" si="15"/>
        <v>ok</v>
      </c>
      <c r="J88" s="391" t="str">
        <f t="shared" si="16"/>
        <v>ok</v>
      </c>
      <c r="K88" s="451">
        <v>12.34</v>
      </c>
      <c r="L88" s="451">
        <v>42.2</v>
      </c>
      <c r="M88" s="449">
        <v>3.9730996673705892E-3</v>
      </c>
    </row>
    <row r="89" spans="1:13" ht="38.25">
      <c r="A89" s="379" t="s">
        <v>609</v>
      </c>
      <c r="B89" s="442">
        <v>89744</v>
      </c>
      <c r="C89" s="380" t="s">
        <v>610</v>
      </c>
      <c r="D89" s="379" t="s">
        <v>472</v>
      </c>
      <c r="E89" s="381">
        <v>3</v>
      </c>
      <c r="F89" s="425">
        <f>VLOOKUP(B89,'CADERNO DE COMPOSIÇÕES'!$A$7:$J$16960,10,FALSE)</f>
        <v>17.060000000000002</v>
      </c>
      <c r="G89" s="382">
        <f t="shared" si="17"/>
        <v>51.18</v>
      </c>
      <c r="H89" s="383">
        <f t="shared" si="13"/>
        <v>4.8282290078640322E-3</v>
      </c>
      <c r="I89" s="391" t="str">
        <f t="shared" si="15"/>
        <v>ok</v>
      </c>
      <c r="J89" s="391" t="str">
        <f t="shared" si="16"/>
        <v>ok</v>
      </c>
      <c r="K89" s="451">
        <v>17.079999999999998</v>
      </c>
      <c r="L89" s="451">
        <v>51.24</v>
      </c>
      <c r="M89" s="449">
        <v>4.8242091695750947E-3</v>
      </c>
    </row>
    <row r="90" spans="1:13" ht="38.25">
      <c r="A90" s="379" t="s">
        <v>611</v>
      </c>
      <c r="B90" s="442">
        <v>89731</v>
      </c>
      <c r="C90" s="380" t="s">
        <v>612</v>
      </c>
      <c r="D90" s="379" t="s">
        <v>472</v>
      </c>
      <c r="E90" s="381">
        <v>1</v>
      </c>
      <c r="F90" s="425">
        <f>VLOOKUP(B90,'CADERNO DE COMPOSIÇÕES'!$A$7:$J$16960,10,FALSE)</f>
        <v>7.5299999999999994</v>
      </c>
      <c r="G90" s="382">
        <f t="shared" si="17"/>
        <v>7.53</v>
      </c>
      <c r="H90" s="383">
        <f t="shared" si="13"/>
        <v>7.1036663597530609E-4</v>
      </c>
      <c r="I90" s="391" t="str">
        <f t="shared" si="15"/>
        <v>ok</v>
      </c>
      <c r="J90" s="391" t="str">
        <f t="shared" si="16"/>
        <v>ok</v>
      </c>
      <c r="K90" s="451">
        <v>7.55</v>
      </c>
      <c r="L90" s="451">
        <v>7.55</v>
      </c>
      <c r="M90" s="449">
        <v>7.1082707319070971E-4</v>
      </c>
    </row>
    <row r="91" spans="1:13" ht="25.5">
      <c r="A91" s="379" t="s">
        <v>613</v>
      </c>
      <c r="B91" s="442">
        <v>89732</v>
      </c>
      <c r="C91" s="380" t="s">
        <v>614</v>
      </c>
      <c r="D91" s="379" t="s">
        <v>472</v>
      </c>
      <c r="E91" s="381">
        <v>2</v>
      </c>
      <c r="F91" s="425">
        <f>VLOOKUP(B91,'CADERNO DE COMPOSIÇÕES'!$A$7:$J$16960,10,FALSE)</f>
        <v>8.09</v>
      </c>
      <c r="G91" s="382">
        <f t="shared" si="17"/>
        <v>16.18</v>
      </c>
      <c r="H91" s="383">
        <f t="shared" si="13"/>
        <v>1.5263920544595553E-3</v>
      </c>
      <c r="I91" s="391" t="str">
        <f t="shared" si="15"/>
        <v>ok</v>
      </c>
      <c r="J91" s="391" t="str">
        <f t="shared" si="16"/>
        <v>ok</v>
      </c>
      <c r="K91" s="451">
        <v>8.11</v>
      </c>
      <c r="L91" s="451">
        <v>16.22</v>
      </c>
      <c r="M91" s="449">
        <v>1.5271013413448093E-3</v>
      </c>
    </row>
    <row r="92" spans="1:13" ht="38.25">
      <c r="A92" s="379" t="s">
        <v>615</v>
      </c>
      <c r="B92" s="442">
        <v>89724</v>
      </c>
      <c r="C92" s="380" t="s">
        <v>616</v>
      </c>
      <c r="D92" s="379" t="s">
        <v>472</v>
      </c>
      <c r="E92" s="381">
        <v>3</v>
      </c>
      <c r="F92" s="425">
        <f>VLOOKUP(B92,'CADERNO DE COMPOSIÇÕES'!$A$7:$J$16960,10,FALSE)</f>
        <v>5.28</v>
      </c>
      <c r="G92" s="382">
        <f t="shared" si="17"/>
        <v>15.84</v>
      </c>
      <c r="H92" s="383">
        <f t="shared" si="13"/>
        <v>1.4943170669121976E-3</v>
      </c>
      <c r="I92" s="391" t="str">
        <f t="shared" si="15"/>
        <v>ok</v>
      </c>
      <c r="J92" s="391" t="str">
        <f t="shared" si="16"/>
        <v>ok</v>
      </c>
      <c r="K92" s="451">
        <v>5.3</v>
      </c>
      <c r="L92" s="451">
        <v>15.9</v>
      </c>
      <c r="M92" s="449">
        <v>1.4969735713552695E-3</v>
      </c>
    </row>
    <row r="93" spans="1:13" ht="38.25">
      <c r="A93" s="379" t="s">
        <v>617</v>
      </c>
      <c r="B93" s="442">
        <v>89726</v>
      </c>
      <c r="C93" s="380" t="s">
        <v>618</v>
      </c>
      <c r="D93" s="379" t="s">
        <v>472</v>
      </c>
      <c r="E93" s="381">
        <v>2</v>
      </c>
      <c r="F93" s="425">
        <f>VLOOKUP(B93,'CADERNO DE COMPOSIÇÕES'!$A$7:$J$16960,10,FALSE)</f>
        <v>6.05</v>
      </c>
      <c r="G93" s="382">
        <f t="shared" si="17"/>
        <v>12.1</v>
      </c>
      <c r="H93" s="383">
        <f t="shared" si="13"/>
        <v>1.141492203891262E-3</v>
      </c>
      <c r="I93" s="391" t="str">
        <f t="shared" si="15"/>
        <v>ok</v>
      </c>
      <c r="J93" s="391" t="str">
        <f t="shared" si="16"/>
        <v>ok</v>
      </c>
      <c r="K93" s="451">
        <v>6.07</v>
      </c>
      <c r="L93" s="451">
        <v>12.14</v>
      </c>
      <c r="M93" s="449">
        <v>1.1429722739781743E-3</v>
      </c>
    </row>
    <row r="94" spans="1:13" ht="25.5">
      <c r="A94" s="379" t="s">
        <v>619</v>
      </c>
      <c r="B94" s="442">
        <v>89796</v>
      </c>
      <c r="C94" s="380" t="s">
        <v>620</v>
      </c>
      <c r="D94" s="379" t="s">
        <v>472</v>
      </c>
      <c r="E94" s="381">
        <v>3</v>
      </c>
      <c r="F94" s="425">
        <f>VLOOKUP(B94,'CADERNO DE COMPOSIÇÕES'!$A$7:$J$16960,10,FALSE)</f>
        <v>28.259999999999998</v>
      </c>
      <c r="G94" s="382">
        <f t="shared" si="17"/>
        <v>84.78</v>
      </c>
      <c r="H94" s="383">
        <f t="shared" si="13"/>
        <v>7.9979924831323299E-3</v>
      </c>
      <c r="I94" s="391" t="str">
        <f t="shared" si="15"/>
        <v>ok</v>
      </c>
      <c r="J94" s="391" t="str">
        <f t="shared" si="16"/>
        <v>ok</v>
      </c>
      <c r="K94" s="451">
        <v>28.3</v>
      </c>
      <c r="L94" s="451">
        <v>84.9</v>
      </c>
      <c r="M94" s="449">
        <v>7.993273975349836E-3</v>
      </c>
    </row>
    <row r="95" spans="1:13">
      <c r="A95" s="379" t="s">
        <v>621</v>
      </c>
      <c r="B95" s="390"/>
      <c r="C95" s="387" t="s">
        <v>622</v>
      </c>
      <c r="D95" s="386"/>
      <c r="E95" s="388"/>
      <c r="F95" s="425"/>
      <c r="G95" s="382"/>
      <c r="H95" s="383"/>
      <c r="I95" s="391" t="str">
        <f t="shared" si="15"/>
        <v>ok</v>
      </c>
      <c r="J95" s="391" t="str">
        <f t="shared" si="16"/>
        <v>ok</v>
      </c>
      <c r="K95" s="451"/>
      <c r="L95" s="451"/>
      <c r="M95" s="449"/>
    </row>
    <row r="96" spans="1:13">
      <c r="A96" s="386" t="s">
        <v>623</v>
      </c>
      <c r="B96" s="445"/>
      <c r="C96" s="494" t="s">
        <v>624</v>
      </c>
      <c r="D96" s="494"/>
      <c r="E96" s="494"/>
      <c r="F96" s="494"/>
      <c r="G96" s="494"/>
      <c r="H96" s="494"/>
      <c r="I96" s="391" t="str">
        <f t="shared" si="15"/>
        <v>ok</v>
      </c>
      <c r="J96" s="391" t="str">
        <f t="shared" si="16"/>
        <v>ok</v>
      </c>
    </row>
    <row r="97" spans="1:13">
      <c r="A97" s="386" t="s">
        <v>625</v>
      </c>
      <c r="B97" s="442">
        <v>93358</v>
      </c>
      <c r="C97" s="387" t="s">
        <v>626</v>
      </c>
      <c r="D97" s="386" t="s">
        <v>6</v>
      </c>
      <c r="E97" s="388">
        <v>0.14000000000000001</v>
      </c>
      <c r="F97" s="425">
        <f>VLOOKUP(B97,'CADERNO DE COMPOSIÇÕES'!$A$7:$J$16960,10,FALSE)</f>
        <v>54.59</v>
      </c>
      <c r="G97" s="382">
        <f>TRUNC(F97*E97,2)</f>
        <v>7.64</v>
      </c>
      <c r="H97" s="389">
        <f t="shared" ref="H97:H101" si="18">G97/$G$173</f>
        <v>7.2074383782886296E-4</v>
      </c>
      <c r="I97" s="391" t="str">
        <f t="shared" si="15"/>
        <v>ok</v>
      </c>
      <c r="J97" s="391" t="str">
        <f t="shared" si="16"/>
        <v>ok</v>
      </c>
      <c r="K97" s="451">
        <v>54.59</v>
      </c>
      <c r="L97" s="451">
        <v>7.64</v>
      </c>
      <c r="M97" s="449">
        <v>7.193005085002678E-4</v>
      </c>
    </row>
    <row r="98" spans="1:13" ht="51">
      <c r="A98" s="386" t="s">
        <v>627</v>
      </c>
      <c r="B98" s="443">
        <v>87506</v>
      </c>
      <c r="C98" s="387" t="s">
        <v>628</v>
      </c>
      <c r="D98" s="386" t="s">
        <v>376</v>
      </c>
      <c r="E98" s="388">
        <v>0.88</v>
      </c>
      <c r="F98" s="425">
        <f>VLOOKUP(B98,'CADERNO DE COMPOSIÇÕES'!$A$7:$J$16960,10,FALSE)</f>
        <v>49.8</v>
      </c>
      <c r="G98" s="382">
        <f>TRUNC(F98*E98,2)</f>
        <v>43.82</v>
      </c>
      <c r="H98" s="389">
        <f t="shared" si="18"/>
        <v>4.1338998656624054E-3</v>
      </c>
      <c r="I98" s="391" t="str">
        <f t="shared" si="15"/>
        <v>ok</v>
      </c>
      <c r="J98" s="391" t="str">
        <f t="shared" si="16"/>
        <v>ok</v>
      </c>
      <c r="K98" s="451">
        <v>50.09</v>
      </c>
      <c r="L98" s="451">
        <v>44.08</v>
      </c>
      <c r="M98" s="449">
        <v>4.1501003160591366E-3</v>
      </c>
    </row>
    <row r="99" spans="1:13" ht="51">
      <c r="A99" s="386" t="s">
        <v>629</v>
      </c>
      <c r="B99" s="442">
        <v>87547</v>
      </c>
      <c r="C99" s="387" t="s">
        <v>630</v>
      </c>
      <c r="D99" s="386" t="s">
        <v>5</v>
      </c>
      <c r="E99" s="388">
        <v>0.64000000000000012</v>
      </c>
      <c r="F99" s="425">
        <f>VLOOKUP(B99,'CADERNO DE COMPOSIÇÕES'!$A$7:$J$16960,10,FALSE)</f>
        <v>16.07</v>
      </c>
      <c r="G99" s="382">
        <f>TRUNC(F99*E99,2)</f>
        <v>10.28</v>
      </c>
      <c r="H99" s="389">
        <f t="shared" si="18"/>
        <v>9.6979668231422919E-4</v>
      </c>
      <c r="I99" s="391" t="str">
        <f t="shared" si="15"/>
        <v>ok</v>
      </c>
      <c r="J99" s="391" t="str">
        <f t="shared" si="16"/>
        <v>ok</v>
      </c>
      <c r="K99" s="451">
        <v>16.07</v>
      </c>
      <c r="L99" s="451">
        <v>10.28</v>
      </c>
      <c r="M99" s="449">
        <v>9.6785461091397293E-4</v>
      </c>
    </row>
    <row r="100" spans="1:13" ht="25.5">
      <c r="A100" s="386" t="s">
        <v>631</v>
      </c>
      <c r="B100" s="443">
        <v>73361</v>
      </c>
      <c r="C100" s="387" t="s">
        <v>632</v>
      </c>
      <c r="D100" s="386" t="s">
        <v>6</v>
      </c>
      <c r="E100" s="388">
        <v>0.03</v>
      </c>
      <c r="F100" s="425">
        <f>VLOOKUP(B100,'CADERNO DE COMPOSIÇÕES'!$A$7:$J$16960,10,FALSE)</f>
        <v>341.03999999999996</v>
      </c>
      <c r="G100" s="382">
        <f>TRUNC(F100*E100,2)</f>
        <v>10.23</v>
      </c>
      <c r="H100" s="389">
        <f t="shared" si="18"/>
        <v>9.6507977238079429E-4</v>
      </c>
      <c r="I100" s="391" t="str">
        <f t="shared" si="15"/>
        <v>ok</v>
      </c>
      <c r="J100" s="391" t="str">
        <f t="shared" si="16"/>
        <v>ok</v>
      </c>
      <c r="K100" s="451">
        <v>341.15</v>
      </c>
      <c r="L100" s="451">
        <v>10.23</v>
      </c>
      <c r="M100" s="449">
        <v>9.6314714685310739E-4</v>
      </c>
    </row>
    <row r="101" spans="1:13" ht="25.5">
      <c r="A101" s="386" t="s">
        <v>633</v>
      </c>
      <c r="B101" s="442">
        <v>94974</v>
      </c>
      <c r="C101" s="387" t="s">
        <v>634</v>
      </c>
      <c r="D101" s="386" t="s">
        <v>6</v>
      </c>
      <c r="E101" s="388">
        <v>0.01</v>
      </c>
      <c r="F101" s="425">
        <f>VLOOKUP(B101,'CADERNO DE COMPOSIÇÕES'!$A$7:$J$16960,10,FALSE)</f>
        <v>349.34999999999997</v>
      </c>
      <c r="G101" s="382">
        <f>TRUNC(F101*E101,2)</f>
        <v>3.49</v>
      </c>
      <c r="H101" s="389">
        <f t="shared" si="18"/>
        <v>3.292403133537607E-4</v>
      </c>
      <c r="I101" s="391" t="str">
        <f t="shared" si="15"/>
        <v>ok</v>
      </c>
      <c r="J101" s="391" t="str">
        <f t="shared" si="16"/>
        <v>ok</v>
      </c>
      <c r="K101" s="451">
        <v>351.59</v>
      </c>
      <c r="L101" s="451">
        <v>3.52</v>
      </c>
      <c r="M101" s="449">
        <v>3.3140546988494015E-4</v>
      </c>
    </row>
    <row r="102" spans="1:13">
      <c r="A102" s="386" t="s">
        <v>635</v>
      </c>
      <c r="B102" s="446"/>
      <c r="C102" s="495" t="s">
        <v>636</v>
      </c>
      <c r="D102" s="495"/>
      <c r="E102" s="495"/>
      <c r="F102" s="495"/>
      <c r="G102" s="495"/>
      <c r="H102" s="495"/>
      <c r="I102" s="391" t="str">
        <f t="shared" si="15"/>
        <v>ok</v>
      </c>
      <c r="J102" s="391" t="str">
        <f t="shared" si="16"/>
        <v>ok</v>
      </c>
    </row>
    <row r="103" spans="1:13">
      <c r="A103" s="386" t="s">
        <v>637</v>
      </c>
      <c r="B103" s="442">
        <v>92267</v>
      </c>
      <c r="C103" s="387" t="s">
        <v>508</v>
      </c>
      <c r="D103" s="386" t="s">
        <v>376</v>
      </c>
      <c r="E103" s="388">
        <v>1.2</v>
      </c>
      <c r="F103" s="425">
        <f>VLOOKUP(B103,'CADERNO DE COMPOSIÇÕES'!$A$7:$J$16960,10,FALSE)</f>
        <v>29.15</v>
      </c>
      <c r="G103" s="382">
        <f>TRUNC(F103*E103,2)</f>
        <v>34.979999999999997</v>
      </c>
      <c r="H103" s="389">
        <f t="shared" ref="H103:H106" si="19">G103/$G$173</f>
        <v>3.2999501894311026E-3</v>
      </c>
      <c r="I103" s="391" t="str">
        <f t="shared" si="15"/>
        <v>ok</v>
      </c>
      <c r="J103" s="391" t="str">
        <f t="shared" si="16"/>
        <v>ok</v>
      </c>
      <c r="K103" s="451">
        <v>29.17</v>
      </c>
      <c r="L103" s="451">
        <v>35</v>
      </c>
      <c r="M103" s="449">
        <v>3.2952248426059388E-3</v>
      </c>
    </row>
    <row r="104" spans="1:13" ht="25.5">
      <c r="A104" s="386" t="s">
        <v>638</v>
      </c>
      <c r="B104" s="443">
        <v>94975</v>
      </c>
      <c r="C104" s="387" t="s">
        <v>506</v>
      </c>
      <c r="D104" s="386" t="s">
        <v>392</v>
      </c>
      <c r="E104" s="388">
        <v>0.04</v>
      </c>
      <c r="F104" s="425">
        <f>VLOOKUP(B104,'CADERNO DE COMPOSIÇÕES'!$A$7:$J$16960,10,FALSE)</f>
        <v>378.01</v>
      </c>
      <c r="G104" s="382">
        <f>TRUNC(F104*E104,2)</f>
        <v>15.12</v>
      </c>
      <c r="H104" s="389">
        <f t="shared" si="19"/>
        <v>1.4263935638707339E-3</v>
      </c>
      <c r="I104" s="391" t="str">
        <f t="shared" si="15"/>
        <v>ok</v>
      </c>
      <c r="J104" s="391" t="str">
        <f t="shared" si="16"/>
        <v>ok</v>
      </c>
      <c r="K104" s="451">
        <v>380.84</v>
      </c>
      <c r="L104" s="451">
        <v>15.23</v>
      </c>
      <c r="M104" s="449">
        <v>1.4338935529396701E-3</v>
      </c>
    </row>
    <row r="105" spans="1:13" ht="38.25">
      <c r="A105" s="386" t="s">
        <v>639</v>
      </c>
      <c r="B105" s="442">
        <v>92785</v>
      </c>
      <c r="C105" s="387" t="s">
        <v>640</v>
      </c>
      <c r="D105" s="386" t="s">
        <v>386</v>
      </c>
      <c r="E105" s="388">
        <v>1.91</v>
      </c>
      <c r="F105" s="425">
        <f>VLOOKUP(B105,'CADERNO DE COMPOSIÇÕES'!$A$7:$J$16960,10,FALSE)</f>
        <v>8.2200000000000006</v>
      </c>
      <c r="G105" s="382">
        <f>TRUNC(F105*E105,2)</f>
        <v>15.7</v>
      </c>
      <c r="H105" s="389">
        <f t="shared" si="19"/>
        <v>1.4811097190985795E-3</v>
      </c>
      <c r="I105" s="391" t="str">
        <f t="shared" si="15"/>
        <v>ok</v>
      </c>
      <c r="J105" s="391" t="str">
        <f t="shared" si="16"/>
        <v>ok</v>
      </c>
      <c r="K105" s="451">
        <v>8.24</v>
      </c>
      <c r="L105" s="451">
        <v>15.74</v>
      </c>
      <c r="M105" s="449">
        <v>1.4819096863604995E-3</v>
      </c>
    </row>
    <row r="106" spans="1:13" ht="25.5">
      <c r="A106" s="386" t="s">
        <v>641</v>
      </c>
      <c r="B106" s="442" t="s">
        <v>642</v>
      </c>
      <c r="C106" s="387" t="s">
        <v>643</v>
      </c>
      <c r="D106" s="386" t="s">
        <v>472</v>
      </c>
      <c r="E106" s="388">
        <v>1</v>
      </c>
      <c r="F106" s="425">
        <f>VLOOKUP(B106,'CADERNO DE COMPOSIÇÕES'!$A$7:$J$16960,10,FALSE)</f>
        <v>6.07</v>
      </c>
      <c r="G106" s="382">
        <f>TRUNC(F106*E106,2)</f>
        <v>6.07</v>
      </c>
      <c r="H106" s="389">
        <f t="shared" si="19"/>
        <v>5.7263286591900501E-4</v>
      </c>
      <c r="I106" s="391" t="str">
        <f t="shared" si="15"/>
        <v>ok</v>
      </c>
      <c r="J106" s="391" t="str">
        <f t="shared" si="16"/>
        <v>ok</v>
      </c>
      <c r="K106" s="451">
        <v>6.07</v>
      </c>
      <c r="L106" s="451">
        <v>6.07</v>
      </c>
      <c r="M106" s="449">
        <v>5.7148613698908713E-4</v>
      </c>
    </row>
    <row r="107" spans="1:13">
      <c r="A107" s="393" t="s">
        <v>644</v>
      </c>
      <c r="B107" s="447"/>
      <c r="C107" s="387" t="s">
        <v>645</v>
      </c>
      <c r="D107" s="386"/>
      <c r="E107" s="388"/>
      <c r="F107" s="425"/>
      <c r="G107" s="382"/>
      <c r="H107" s="383"/>
      <c r="I107" s="391" t="str">
        <f t="shared" si="15"/>
        <v>ok</v>
      </c>
      <c r="J107" s="391" t="str">
        <f t="shared" si="16"/>
        <v>ok</v>
      </c>
      <c r="K107" s="451"/>
      <c r="L107" s="451"/>
      <c r="M107" s="449"/>
    </row>
    <row r="108" spans="1:13">
      <c r="A108" s="392" t="s">
        <v>646</v>
      </c>
      <c r="B108" s="445"/>
      <c r="C108" s="494" t="s">
        <v>624</v>
      </c>
      <c r="D108" s="494"/>
      <c r="E108" s="494"/>
      <c r="F108" s="494"/>
      <c r="G108" s="494"/>
      <c r="H108" s="494"/>
      <c r="I108" s="391" t="str">
        <f t="shared" si="15"/>
        <v>ok</v>
      </c>
      <c r="J108" s="391" t="str">
        <f t="shared" si="16"/>
        <v>ok</v>
      </c>
    </row>
    <row r="109" spans="1:13">
      <c r="A109" s="392" t="s">
        <v>647</v>
      </c>
      <c r="B109" s="442">
        <v>93358</v>
      </c>
      <c r="C109" s="387" t="s">
        <v>626</v>
      </c>
      <c r="D109" s="386" t="s">
        <v>6</v>
      </c>
      <c r="E109" s="388">
        <v>0.14000000000000001</v>
      </c>
      <c r="F109" s="425">
        <f>VLOOKUP(B109,'CADERNO DE COMPOSIÇÕES'!$A$7:$J$16960,10,FALSE)</f>
        <v>54.59</v>
      </c>
      <c r="G109" s="382">
        <f>TRUNC(F109*E109,2)</f>
        <v>7.64</v>
      </c>
      <c r="H109" s="389">
        <f t="shared" ref="H109:H113" si="20">G109/$G$173</f>
        <v>7.2074383782886296E-4</v>
      </c>
      <c r="I109" s="391" t="str">
        <f t="shared" si="15"/>
        <v>ok</v>
      </c>
      <c r="J109" s="391" t="str">
        <f t="shared" si="16"/>
        <v>ok</v>
      </c>
      <c r="K109" s="451">
        <v>54.59</v>
      </c>
      <c r="L109" s="451">
        <v>7.64</v>
      </c>
      <c r="M109" s="449">
        <v>7.193005085002678E-4</v>
      </c>
    </row>
    <row r="110" spans="1:13" ht="51">
      <c r="A110" s="392" t="s">
        <v>648</v>
      </c>
      <c r="B110" s="443">
        <v>87506</v>
      </c>
      <c r="C110" s="387" t="s">
        <v>628</v>
      </c>
      <c r="D110" s="386" t="s">
        <v>376</v>
      </c>
      <c r="E110" s="388">
        <v>0.88</v>
      </c>
      <c r="F110" s="425">
        <f>VLOOKUP(B110,'CADERNO DE COMPOSIÇÕES'!$A$7:$J$16960,10,FALSE)</f>
        <v>49.8</v>
      </c>
      <c r="G110" s="382">
        <f>TRUNC(F110*E110,2)</f>
        <v>43.82</v>
      </c>
      <c r="H110" s="389">
        <f t="shared" si="20"/>
        <v>4.1338998656624054E-3</v>
      </c>
      <c r="I110" s="391" t="str">
        <f t="shared" si="15"/>
        <v>ok</v>
      </c>
      <c r="J110" s="391" t="str">
        <f t="shared" si="16"/>
        <v>ok</v>
      </c>
      <c r="K110" s="451">
        <v>50.09</v>
      </c>
      <c r="L110" s="451">
        <v>44.08</v>
      </c>
      <c r="M110" s="449">
        <v>4.1501003160591366E-3</v>
      </c>
    </row>
    <row r="111" spans="1:13" ht="51">
      <c r="A111" s="392" t="s">
        <v>649</v>
      </c>
      <c r="B111" s="442">
        <v>87547</v>
      </c>
      <c r="C111" s="387" t="s">
        <v>630</v>
      </c>
      <c r="D111" s="386" t="s">
        <v>5</v>
      </c>
      <c r="E111" s="388">
        <v>0.64000000000000012</v>
      </c>
      <c r="F111" s="425">
        <f>VLOOKUP(B111,'CADERNO DE COMPOSIÇÕES'!$A$7:$J$16960,10,FALSE)</f>
        <v>16.07</v>
      </c>
      <c r="G111" s="382">
        <f>TRUNC(F111*E111,2)</f>
        <v>10.28</v>
      </c>
      <c r="H111" s="389">
        <f t="shared" si="20"/>
        <v>9.6979668231422919E-4</v>
      </c>
      <c r="I111" s="391" t="str">
        <f t="shared" si="15"/>
        <v>ok</v>
      </c>
      <c r="J111" s="391" t="str">
        <f t="shared" si="16"/>
        <v>ok</v>
      </c>
      <c r="K111" s="451">
        <v>16.07</v>
      </c>
      <c r="L111" s="451">
        <v>10.28</v>
      </c>
      <c r="M111" s="449">
        <v>9.6785461091397293E-4</v>
      </c>
    </row>
    <row r="112" spans="1:13" ht="25.5">
      <c r="A112" s="392" t="s">
        <v>650</v>
      </c>
      <c r="B112" s="443">
        <v>73361</v>
      </c>
      <c r="C112" s="387" t="s">
        <v>632</v>
      </c>
      <c r="D112" s="386" t="s">
        <v>6</v>
      </c>
      <c r="E112" s="388">
        <v>0.03</v>
      </c>
      <c r="F112" s="425">
        <f>VLOOKUP(B112,'CADERNO DE COMPOSIÇÕES'!$A$7:$J$16960,10,FALSE)</f>
        <v>341.03999999999996</v>
      </c>
      <c r="G112" s="382">
        <f>TRUNC(F112*E112,2)</f>
        <v>10.23</v>
      </c>
      <c r="H112" s="389">
        <f t="shared" si="20"/>
        <v>9.6507977238079429E-4</v>
      </c>
      <c r="I112" s="391" t="str">
        <f t="shared" si="15"/>
        <v>ok</v>
      </c>
      <c r="J112" s="391" t="str">
        <f t="shared" si="16"/>
        <v>ok</v>
      </c>
      <c r="K112" s="451">
        <v>341.15</v>
      </c>
      <c r="L112" s="451">
        <v>10.23</v>
      </c>
      <c r="M112" s="449">
        <v>9.6314714685310739E-4</v>
      </c>
    </row>
    <row r="113" spans="1:13" ht="25.5">
      <c r="A113" s="392" t="s">
        <v>651</v>
      </c>
      <c r="B113" s="442">
        <v>94974</v>
      </c>
      <c r="C113" s="387" t="s">
        <v>634</v>
      </c>
      <c r="D113" s="386" t="s">
        <v>6</v>
      </c>
      <c r="E113" s="388">
        <v>0.01</v>
      </c>
      <c r="F113" s="425">
        <f>VLOOKUP(B113,'CADERNO DE COMPOSIÇÕES'!$A$7:$J$16960,10,FALSE)</f>
        <v>349.34999999999997</v>
      </c>
      <c r="G113" s="382">
        <f>TRUNC(F113*E113,2)</f>
        <v>3.49</v>
      </c>
      <c r="H113" s="389">
        <f t="shared" si="20"/>
        <v>3.292403133537607E-4</v>
      </c>
      <c r="I113" s="391" t="str">
        <f t="shared" si="15"/>
        <v>ok</v>
      </c>
      <c r="J113" s="391" t="str">
        <f t="shared" si="16"/>
        <v>ok</v>
      </c>
      <c r="K113" s="451">
        <v>351.59</v>
      </c>
      <c r="L113" s="451">
        <v>3.52</v>
      </c>
      <c r="M113" s="449">
        <v>3.3140546988494015E-4</v>
      </c>
    </row>
    <row r="114" spans="1:13">
      <c r="A114" s="392" t="s">
        <v>652</v>
      </c>
      <c r="B114" s="446"/>
      <c r="C114" s="495" t="s">
        <v>636</v>
      </c>
      <c r="D114" s="495"/>
      <c r="E114" s="495"/>
      <c r="F114" s="495"/>
      <c r="G114" s="495"/>
      <c r="H114" s="495"/>
      <c r="I114" s="391" t="str">
        <f t="shared" si="15"/>
        <v>ok</v>
      </c>
      <c r="J114" s="391" t="str">
        <f t="shared" si="16"/>
        <v>ok</v>
      </c>
    </row>
    <row r="115" spans="1:13" ht="25.5">
      <c r="A115" s="392" t="s">
        <v>653</v>
      </c>
      <c r="B115" s="443">
        <v>92267</v>
      </c>
      <c r="C115" s="387" t="s">
        <v>654</v>
      </c>
      <c r="D115" s="386" t="s">
        <v>376</v>
      </c>
      <c r="E115" s="388">
        <v>1.2</v>
      </c>
      <c r="F115" s="425">
        <f>VLOOKUP(B115,'CADERNO DE COMPOSIÇÕES'!$A$7:$J$16960,10,FALSE)</f>
        <v>29.15</v>
      </c>
      <c r="G115" s="382">
        <f>TRUNC(F115*E115,2)</f>
        <v>34.979999999999997</v>
      </c>
      <c r="H115" s="389">
        <f t="shared" ref="H115:H120" si="21">G115/$G$173</f>
        <v>3.2999501894311026E-3</v>
      </c>
      <c r="I115" s="391" t="str">
        <f t="shared" si="15"/>
        <v>ok</v>
      </c>
      <c r="J115" s="391" t="str">
        <f t="shared" si="16"/>
        <v>ok</v>
      </c>
      <c r="K115" s="451">
        <v>29.17</v>
      </c>
      <c r="L115" s="451">
        <v>35</v>
      </c>
      <c r="M115" s="449">
        <v>3.2952248426059388E-3</v>
      </c>
    </row>
    <row r="116" spans="1:13" ht="25.5">
      <c r="A116" s="392" t="s">
        <v>655</v>
      </c>
      <c r="B116" s="443">
        <v>94975</v>
      </c>
      <c r="C116" s="387" t="s">
        <v>506</v>
      </c>
      <c r="D116" s="386" t="s">
        <v>392</v>
      </c>
      <c r="E116" s="388">
        <v>0.04</v>
      </c>
      <c r="F116" s="425">
        <f>VLOOKUP(B116,'CADERNO DE COMPOSIÇÕES'!$A$7:$J$16960,10,FALSE)</f>
        <v>378.01</v>
      </c>
      <c r="G116" s="382">
        <f>TRUNC(F116*E116,2)</f>
        <v>15.12</v>
      </c>
      <c r="H116" s="389">
        <f t="shared" si="21"/>
        <v>1.4263935638707339E-3</v>
      </c>
      <c r="I116" s="391" t="str">
        <f t="shared" si="15"/>
        <v>ok</v>
      </c>
      <c r="J116" s="391" t="str">
        <f t="shared" si="16"/>
        <v>ok</v>
      </c>
      <c r="K116" s="451">
        <v>380.84</v>
      </c>
      <c r="L116" s="451">
        <v>15.23</v>
      </c>
      <c r="M116" s="449">
        <v>1.4338935529396701E-3</v>
      </c>
    </row>
    <row r="117" spans="1:13" ht="38.25">
      <c r="A117" s="392" t="s">
        <v>656</v>
      </c>
      <c r="B117" s="442">
        <v>92785</v>
      </c>
      <c r="C117" s="387" t="s">
        <v>640</v>
      </c>
      <c r="D117" s="386" t="s">
        <v>386</v>
      </c>
      <c r="E117" s="388">
        <v>1.91</v>
      </c>
      <c r="F117" s="425">
        <f>VLOOKUP(B117,'CADERNO DE COMPOSIÇÕES'!$A$7:$J$16960,10,FALSE)</f>
        <v>8.2200000000000006</v>
      </c>
      <c r="G117" s="382">
        <f>TRUNC(F117*E117,2)</f>
        <v>15.7</v>
      </c>
      <c r="H117" s="389">
        <f t="shared" si="21"/>
        <v>1.4811097190985795E-3</v>
      </c>
      <c r="I117" s="391" t="str">
        <f t="shared" si="15"/>
        <v>ok</v>
      </c>
      <c r="J117" s="391" t="str">
        <f t="shared" si="16"/>
        <v>ok</v>
      </c>
      <c r="K117" s="451">
        <v>8.24</v>
      </c>
      <c r="L117" s="451">
        <v>15.74</v>
      </c>
      <c r="M117" s="449">
        <v>1.4819096863604995E-3</v>
      </c>
    </row>
    <row r="118" spans="1:13" ht="25.5">
      <c r="A118" s="392" t="s">
        <v>657</v>
      </c>
      <c r="B118" s="442" t="s">
        <v>642</v>
      </c>
      <c r="C118" s="387" t="s">
        <v>643</v>
      </c>
      <c r="D118" s="386" t="s">
        <v>472</v>
      </c>
      <c r="E118" s="388">
        <v>1</v>
      </c>
      <c r="F118" s="425">
        <f>VLOOKUP(B118,'CADERNO DE COMPOSIÇÕES'!$A$7:$J$16960,10,FALSE)</f>
        <v>6.07</v>
      </c>
      <c r="G118" s="382">
        <f>TRUNC(F118*E118,2)</f>
        <v>6.07</v>
      </c>
      <c r="H118" s="389">
        <f t="shared" si="21"/>
        <v>5.7263286591900501E-4</v>
      </c>
      <c r="I118" s="391" t="str">
        <f t="shared" si="15"/>
        <v>ok</v>
      </c>
      <c r="J118" s="391" t="str">
        <f t="shared" si="16"/>
        <v>ok</v>
      </c>
      <c r="K118" s="451">
        <v>6.07</v>
      </c>
      <c r="L118" s="451">
        <v>6.07</v>
      </c>
      <c r="M118" s="449">
        <v>5.7148613698908713E-4</v>
      </c>
    </row>
    <row r="119" spans="1:13" ht="25.5">
      <c r="A119" s="379" t="s">
        <v>658</v>
      </c>
      <c r="B119" s="442">
        <v>89482</v>
      </c>
      <c r="C119" s="437" t="s">
        <v>659</v>
      </c>
      <c r="D119" s="436" t="s">
        <v>472</v>
      </c>
      <c r="E119" s="438">
        <v>1</v>
      </c>
      <c r="F119" s="425">
        <f>VLOOKUP(B119,'CADERNO DE COMPOSIÇÕES'!$A$7:$J$16960,10,FALSE)</f>
        <v>12.700000000000001</v>
      </c>
      <c r="G119" s="382">
        <f>TRUNC(F119*E119,2)</f>
        <v>12.7</v>
      </c>
      <c r="H119" s="383">
        <f t="shared" si="21"/>
        <v>1.1980951230924817E-3</v>
      </c>
      <c r="I119" s="391" t="str">
        <f t="shared" si="15"/>
        <v>ok</v>
      </c>
      <c r="J119" s="391" t="str">
        <f t="shared" si="16"/>
        <v>ok</v>
      </c>
      <c r="K119" s="451">
        <v>12.72</v>
      </c>
      <c r="L119" s="451">
        <v>12.72</v>
      </c>
      <c r="M119" s="449">
        <v>1.1975788570842156E-3</v>
      </c>
    </row>
    <row r="120" spans="1:13">
      <c r="A120" s="492" t="s">
        <v>660</v>
      </c>
      <c r="B120" s="492"/>
      <c r="C120" s="492"/>
      <c r="D120" s="492"/>
      <c r="E120" s="492"/>
      <c r="F120" s="427"/>
      <c r="G120" s="384">
        <f>SUM(G86:G119)</f>
        <v>885.6700000000003</v>
      </c>
      <c r="H120" s="385">
        <f t="shared" si="21"/>
        <v>8.3552512414906979E-2</v>
      </c>
      <c r="I120" s="391" t="str">
        <f t="shared" si="15"/>
        <v>ok</v>
      </c>
      <c r="J120" s="391" t="str">
        <f t="shared" si="16"/>
        <v>ok</v>
      </c>
      <c r="L120" s="451">
        <v>887.12000000000012</v>
      </c>
      <c r="M120" s="449">
        <v>8.352171035350231E-2</v>
      </c>
    </row>
    <row r="121" spans="1:13">
      <c r="A121" s="378" t="s">
        <v>661</v>
      </c>
      <c r="B121" s="430"/>
      <c r="C121" s="493" t="s">
        <v>662</v>
      </c>
      <c r="D121" s="493"/>
      <c r="E121" s="493"/>
      <c r="F121" s="493"/>
      <c r="G121" s="493"/>
      <c r="H121" s="493"/>
      <c r="I121" s="391" t="str">
        <f t="shared" si="15"/>
        <v>ok</v>
      </c>
      <c r="J121" s="391" t="str">
        <f t="shared" si="16"/>
        <v>ok</v>
      </c>
    </row>
    <row r="122" spans="1:13">
      <c r="A122" s="378" t="s">
        <v>663</v>
      </c>
      <c r="B122" s="430"/>
      <c r="C122" s="493" t="s">
        <v>624</v>
      </c>
      <c r="D122" s="493"/>
      <c r="E122" s="493"/>
      <c r="F122" s="493"/>
      <c r="G122" s="493"/>
      <c r="H122" s="493"/>
      <c r="I122" s="391" t="str">
        <f t="shared" si="15"/>
        <v>ok</v>
      </c>
      <c r="J122" s="391" t="str">
        <f t="shared" si="16"/>
        <v>ok</v>
      </c>
    </row>
    <row r="123" spans="1:13">
      <c r="A123" s="379" t="s">
        <v>664</v>
      </c>
      <c r="B123" s="442">
        <v>93358</v>
      </c>
      <c r="C123" s="380" t="s">
        <v>626</v>
      </c>
      <c r="D123" s="379" t="s">
        <v>6</v>
      </c>
      <c r="E123" s="388">
        <v>3.43</v>
      </c>
      <c r="F123" s="425">
        <f>VLOOKUP(B123,'CADERNO DE COMPOSIÇÕES'!$A$7:$J$16960,10,FALSE)</f>
        <v>54.59</v>
      </c>
      <c r="G123" s="382">
        <f t="shared" ref="G123:G128" si="22">TRUNC(F123*E123,2)</f>
        <v>187.24</v>
      </c>
      <c r="H123" s="383">
        <f t="shared" ref="H123:H128" si="23">G123/$G$173</f>
        <v>1.7663884318727265E-2</v>
      </c>
      <c r="I123" s="391" t="str">
        <f t="shared" si="15"/>
        <v>ok</v>
      </c>
      <c r="J123" s="391" t="str">
        <f t="shared" si="16"/>
        <v>ok</v>
      </c>
      <c r="K123" s="451">
        <v>54.59</v>
      </c>
      <c r="L123" s="451">
        <v>187.24</v>
      </c>
      <c r="M123" s="449">
        <v>1.76285114151296E-2</v>
      </c>
    </row>
    <row r="124" spans="1:13" ht="51">
      <c r="A124" s="379" t="s">
        <v>665</v>
      </c>
      <c r="B124" s="443">
        <v>87506</v>
      </c>
      <c r="C124" s="387" t="s">
        <v>628</v>
      </c>
      <c r="D124" s="386" t="s">
        <v>376</v>
      </c>
      <c r="E124" s="381">
        <v>7.02</v>
      </c>
      <c r="F124" s="425">
        <f>VLOOKUP(B124,'CADERNO DE COMPOSIÇÕES'!$A$7:$J$16960,10,FALSE)</f>
        <v>49.8</v>
      </c>
      <c r="G124" s="382">
        <f t="shared" si="22"/>
        <v>349.59</v>
      </c>
      <c r="H124" s="383">
        <f t="shared" si="23"/>
        <v>3.2979690872590603E-2</v>
      </c>
      <c r="I124" s="391" t="str">
        <f t="shared" si="15"/>
        <v>ok</v>
      </c>
      <c r="J124" s="391" t="str">
        <f t="shared" si="16"/>
        <v>ok</v>
      </c>
      <c r="K124" s="451">
        <v>50.09</v>
      </c>
      <c r="L124" s="451">
        <v>351.63</v>
      </c>
      <c r="M124" s="449">
        <v>3.3105711754443608E-2</v>
      </c>
    </row>
    <row r="125" spans="1:13" ht="25.5">
      <c r="A125" s="379" t="s">
        <v>666</v>
      </c>
      <c r="B125" s="443">
        <v>87878</v>
      </c>
      <c r="C125" s="387" t="s">
        <v>667</v>
      </c>
      <c r="D125" s="379" t="s">
        <v>376</v>
      </c>
      <c r="E125" s="388">
        <v>6.24</v>
      </c>
      <c r="F125" s="425">
        <f>VLOOKUP(B125,'CADERNO DE COMPOSIÇÕES'!$A$7:$J$16960,10,FALSE)</f>
        <v>3.07</v>
      </c>
      <c r="G125" s="382">
        <f t="shared" si="22"/>
        <v>19.149999999999999</v>
      </c>
      <c r="H125" s="383">
        <f t="shared" si="23"/>
        <v>1.8065765045055923E-3</v>
      </c>
      <c r="I125" s="391" t="str">
        <f t="shared" si="15"/>
        <v>ok</v>
      </c>
      <c r="J125" s="391" t="str">
        <f t="shared" si="16"/>
        <v>ok</v>
      </c>
      <c r="K125" s="451">
        <v>3.07</v>
      </c>
      <c r="L125" s="451">
        <v>19.16</v>
      </c>
      <c r="M125" s="449">
        <v>1.8039002281237083E-3</v>
      </c>
    </row>
    <row r="126" spans="1:13" ht="51">
      <c r="A126" s="379" t="s">
        <v>668</v>
      </c>
      <c r="B126" s="442">
        <v>87547</v>
      </c>
      <c r="C126" s="380" t="s">
        <v>630</v>
      </c>
      <c r="D126" s="379" t="s">
        <v>5</v>
      </c>
      <c r="E126" s="381">
        <v>6.24</v>
      </c>
      <c r="F126" s="425">
        <f>VLOOKUP(B126,'CADERNO DE COMPOSIÇÕES'!$A$7:$J$16960,10,FALSE)</f>
        <v>16.07</v>
      </c>
      <c r="G126" s="382">
        <f t="shared" si="22"/>
        <v>100.27</v>
      </c>
      <c r="H126" s="383">
        <f t="shared" si="23"/>
        <v>9.4592911805104832E-3</v>
      </c>
      <c r="I126" s="391" t="str">
        <f t="shared" si="15"/>
        <v>ok</v>
      </c>
      <c r="J126" s="391" t="str">
        <f t="shared" si="16"/>
        <v>ok</v>
      </c>
      <c r="K126" s="451">
        <v>16.07</v>
      </c>
      <c r="L126" s="451">
        <v>100.28</v>
      </c>
      <c r="M126" s="449">
        <v>9.4412899204721016E-3</v>
      </c>
    </row>
    <row r="127" spans="1:13" ht="25.5">
      <c r="A127" s="379" t="s">
        <v>669</v>
      </c>
      <c r="B127" s="443">
        <v>73361</v>
      </c>
      <c r="C127" s="380" t="s">
        <v>632</v>
      </c>
      <c r="D127" s="379" t="s">
        <v>6</v>
      </c>
      <c r="E127" s="381">
        <v>0.15</v>
      </c>
      <c r="F127" s="425">
        <f>VLOOKUP(B127,'CADERNO DE COMPOSIÇÕES'!$A$7:$J$16960,10,FALSE)</f>
        <v>341.03999999999996</v>
      </c>
      <c r="G127" s="382">
        <f t="shared" si="22"/>
        <v>51.15</v>
      </c>
      <c r="H127" s="383">
        <f t="shared" si="23"/>
        <v>4.8253988619039708E-3</v>
      </c>
      <c r="I127" s="391" t="str">
        <f t="shared" si="15"/>
        <v>ok</v>
      </c>
      <c r="J127" s="391" t="str">
        <f t="shared" si="16"/>
        <v>ok</v>
      </c>
      <c r="K127" s="451">
        <v>341.15</v>
      </c>
      <c r="L127" s="451">
        <v>51.17</v>
      </c>
      <c r="M127" s="449">
        <v>4.817618719889883E-3</v>
      </c>
    </row>
    <row r="128" spans="1:13" ht="25.5">
      <c r="A128" s="379" t="s">
        <v>670</v>
      </c>
      <c r="B128" s="442">
        <v>94974</v>
      </c>
      <c r="C128" s="380" t="s">
        <v>634</v>
      </c>
      <c r="D128" s="379" t="s">
        <v>6</v>
      </c>
      <c r="E128" s="381">
        <v>0.06</v>
      </c>
      <c r="F128" s="425">
        <f>VLOOKUP(B128,'CADERNO DE COMPOSIÇÕES'!$A$7:$J$16960,10,FALSE)</f>
        <v>349.34999999999997</v>
      </c>
      <c r="G128" s="382">
        <f t="shared" si="22"/>
        <v>20.96</v>
      </c>
      <c r="H128" s="383">
        <f t="shared" si="23"/>
        <v>1.9773286440959385E-3</v>
      </c>
      <c r="I128" s="391" t="str">
        <f t="shared" si="15"/>
        <v>ok</v>
      </c>
      <c r="J128" s="391" t="str">
        <f t="shared" si="16"/>
        <v>ok</v>
      </c>
      <c r="K128" s="451">
        <v>351.59</v>
      </c>
      <c r="L128" s="451">
        <v>21.1</v>
      </c>
      <c r="M128" s="449">
        <v>1.9865498336852946E-3</v>
      </c>
    </row>
    <row r="129" spans="1:13">
      <c r="A129" s="378" t="s">
        <v>671</v>
      </c>
      <c r="B129" s="430"/>
      <c r="C129" s="493" t="s">
        <v>636</v>
      </c>
      <c r="D129" s="493"/>
      <c r="E129" s="493"/>
      <c r="F129" s="493"/>
      <c r="G129" s="493"/>
      <c r="H129" s="493"/>
      <c r="I129" s="391" t="str">
        <f t="shared" si="15"/>
        <v>ok</v>
      </c>
      <c r="J129" s="391" t="str">
        <f t="shared" si="16"/>
        <v>ok</v>
      </c>
    </row>
    <row r="130" spans="1:13" ht="25.5">
      <c r="A130" s="379" t="s">
        <v>672</v>
      </c>
      <c r="B130" s="443">
        <v>92267</v>
      </c>
      <c r="C130" s="380" t="s">
        <v>654</v>
      </c>
      <c r="D130" s="379" t="s">
        <v>376</v>
      </c>
      <c r="E130" s="381">
        <v>4.66</v>
      </c>
      <c r="F130" s="425">
        <f>VLOOKUP(B130,'CADERNO DE COMPOSIÇÕES'!$A$7:$J$16960,10,FALSE)</f>
        <v>29.15</v>
      </c>
      <c r="G130" s="382">
        <f>TRUNC(F130*E130,2)</f>
        <v>135.83000000000001</v>
      </c>
      <c r="H130" s="383">
        <f t="shared" ref="H130:H134" si="24">G130/$G$173</f>
        <v>1.2813957525169433E-2</v>
      </c>
      <c r="I130" s="391" t="str">
        <f t="shared" si="15"/>
        <v>ok</v>
      </c>
      <c r="J130" s="391" t="str">
        <f t="shared" si="16"/>
        <v>ok</v>
      </c>
      <c r="K130" s="451">
        <v>29.17</v>
      </c>
      <c r="L130" s="451">
        <v>135.93</v>
      </c>
      <c r="M130" s="449">
        <v>1.2797711795869294E-2</v>
      </c>
    </row>
    <row r="131" spans="1:13" ht="25.5">
      <c r="A131" s="379" t="s">
        <v>673</v>
      </c>
      <c r="B131" s="443">
        <v>94975</v>
      </c>
      <c r="C131" s="387" t="s">
        <v>506</v>
      </c>
      <c r="D131" s="379" t="s">
        <v>392</v>
      </c>
      <c r="E131" s="381">
        <v>0.11</v>
      </c>
      <c r="F131" s="425">
        <f>VLOOKUP(B131,'CADERNO DE COMPOSIÇÕES'!$A$7:$J$16960,10,FALSE)</f>
        <v>378.01</v>
      </c>
      <c r="G131" s="382">
        <f>TRUNC(F131*E131,2)</f>
        <v>41.58</v>
      </c>
      <c r="H131" s="383">
        <f t="shared" si="24"/>
        <v>3.9225823006445188E-3</v>
      </c>
      <c r="I131" s="391" t="str">
        <f t="shared" si="15"/>
        <v>ok</v>
      </c>
      <c r="J131" s="391" t="str">
        <f t="shared" si="16"/>
        <v>ok</v>
      </c>
      <c r="K131" s="451">
        <v>380.84</v>
      </c>
      <c r="L131" s="451">
        <v>41.89</v>
      </c>
      <c r="M131" s="449">
        <v>3.9439133901932226E-3</v>
      </c>
    </row>
    <row r="132" spans="1:13" ht="38.25">
      <c r="A132" s="379" t="s">
        <v>674</v>
      </c>
      <c r="B132" s="442">
        <v>92785</v>
      </c>
      <c r="C132" s="380" t="s">
        <v>640</v>
      </c>
      <c r="D132" s="379" t="s">
        <v>386</v>
      </c>
      <c r="E132" s="381">
        <v>8.4499999999999993</v>
      </c>
      <c r="F132" s="425">
        <f>VLOOKUP(B132,'CADERNO DE COMPOSIÇÕES'!$A$7:$J$16960,10,FALSE)</f>
        <v>8.2200000000000006</v>
      </c>
      <c r="G132" s="382">
        <f>TRUNC(F132*E132,2)</f>
        <v>69.45</v>
      </c>
      <c r="H132" s="383">
        <f t="shared" si="24"/>
        <v>6.5517878975411697E-3</v>
      </c>
      <c r="I132" s="391" t="str">
        <f t="shared" si="15"/>
        <v>ok</v>
      </c>
      <c r="J132" s="391" t="str">
        <f t="shared" si="16"/>
        <v>ok</v>
      </c>
      <c r="K132" s="451">
        <v>8.24</v>
      </c>
      <c r="L132" s="451">
        <v>69.63</v>
      </c>
      <c r="M132" s="449">
        <v>6.5556144511614723E-3</v>
      </c>
    </row>
    <row r="133" spans="1:13" ht="25.5">
      <c r="A133" s="379" t="s">
        <v>675</v>
      </c>
      <c r="B133" s="442" t="s">
        <v>642</v>
      </c>
      <c r="C133" s="380" t="s">
        <v>643</v>
      </c>
      <c r="D133" s="379" t="s">
        <v>472</v>
      </c>
      <c r="E133" s="381">
        <v>4</v>
      </c>
      <c r="F133" s="425">
        <f>VLOOKUP(B133,'CADERNO DE COMPOSIÇÕES'!$A$7:$J$16960,10,FALSE)</f>
        <v>6.07</v>
      </c>
      <c r="G133" s="382">
        <f>TRUNC(F133*E133,2)</f>
        <v>24.28</v>
      </c>
      <c r="H133" s="383">
        <f t="shared" si="24"/>
        <v>2.2905314636760201E-3</v>
      </c>
      <c r="I133" s="391" t="str">
        <f t="shared" si="15"/>
        <v>ok</v>
      </c>
      <c r="J133" s="391" t="str">
        <f t="shared" si="16"/>
        <v>ok</v>
      </c>
      <c r="K133" s="451">
        <v>6.07</v>
      </c>
      <c r="L133" s="451">
        <v>24.28</v>
      </c>
      <c r="M133" s="449">
        <v>2.2859445479563485E-3</v>
      </c>
    </row>
    <row r="134" spans="1:13">
      <c r="A134" s="492" t="s">
        <v>676</v>
      </c>
      <c r="B134" s="492"/>
      <c r="C134" s="492"/>
      <c r="D134" s="492"/>
      <c r="E134" s="492"/>
      <c r="F134" s="427"/>
      <c r="G134" s="384">
        <f>SUM(G130:G133,G123:G128)</f>
        <v>999.5</v>
      </c>
      <c r="H134" s="385">
        <f t="shared" si="24"/>
        <v>9.4291029569364998E-2</v>
      </c>
      <c r="I134" s="391" t="str">
        <f t="shared" si="15"/>
        <v>ok</v>
      </c>
      <c r="J134" s="391" t="str">
        <f t="shared" si="16"/>
        <v>ok</v>
      </c>
      <c r="L134" s="451">
        <v>1002.31</v>
      </c>
      <c r="M134" s="449">
        <v>9.4366766056924525E-2</v>
      </c>
    </row>
    <row r="135" spans="1:13">
      <c r="A135" s="378" t="s">
        <v>677</v>
      </c>
      <c r="B135" s="430"/>
      <c r="C135" s="493" t="s">
        <v>678</v>
      </c>
      <c r="D135" s="493"/>
      <c r="E135" s="493"/>
      <c r="F135" s="493"/>
      <c r="G135" s="493"/>
      <c r="H135" s="493"/>
      <c r="I135" s="391" t="str">
        <f t="shared" si="15"/>
        <v>ok</v>
      </c>
      <c r="J135" s="391" t="str">
        <f t="shared" si="16"/>
        <v>ok</v>
      </c>
    </row>
    <row r="136" spans="1:13">
      <c r="A136" s="378" t="s">
        <v>679</v>
      </c>
      <c r="B136" s="430"/>
      <c r="C136" s="493" t="s">
        <v>624</v>
      </c>
      <c r="D136" s="493"/>
      <c r="E136" s="493"/>
      <c r="F136" s="493"/>
      <c r="G136" s="493"/>
      <c r="H136" s="493"/>
      <c r="I136" s="391" t="str">
        <f t="shared" si="15"/>
        <v>ok</v>
      </c>
      <c r="J136" s="391" t="str">
        <f t="shared" si="16"/>
        <v>ok</v>
      </c>
    </row>
    <row r="137" spans="1:13">
      <c r="A137" s="379" t="s">
        <v>680</v>
      </c>
      <c r="B137" s="442">
        <v>93358</v>
      </c>
      <c r="C137" s="380" t="s">
        <v>626</v>
      </c>
      <c r="D137" s="379" t="s">
        <v>392</v>
      </c>
      <c r="E137" s="381">
        <v>4.02705</v>
      </c>
      <c r="F137" s="425">
        <f>VLOOKUP(B137,'CADERNO DE COMPOSIÇÕES'!$A$7:$J$16960,10,FALSE)</f>
        <v>54.59</v>
      </c>
      <c r="G137" s="382">
        <f t="shared" ref="G137:G146" si="25">TRUNC(F137*E137,2)</f>
        <v>219.83</v>
      </c>
      <c r="H137" s="383">
        <f t="shared" ref="H137:H146" si="26">G137/$G$173</f>
        <v>2.0738366213340177E-2</v>
      </c>
      <c r="I137" s="391" t="str">
        <f t="shared" ref="I137:I182" si="27">IF(F137&gt;K137,"CONFERIR","ok")</f>
        <v>ok</v>
      </c>
      <c r="J137" s="391" t="str">
        <f t="shared" ref="J137:J182" si="28">IF(G137&gt;L137,"CONFERIR","ok")</f>
        <v>ok</v>
      </c>
      <c r="K137" s="451">
        <v>54.59</v>
      </c>
      <c r="L137" s="451">
        <v>219.84</v>
      </c>
      <c r="M137" s="449">
        <v>2.069777798281399E-2</v>
      </c>
    </row>
    <row r="138" spans="1:13" ht="25.5">
      <c r="A138" s="379" t="s">
        <v>681</v>
      </c>
      <c r="B138" s="442" t="s">
        <v>682</v>
      </c>
      <c r="C138" s="380" t="s">
        <v>683</v>
      </c>
      <c r="D138" s="379" t="s">
        <v>392</v>
      </c>
      <c r="E138" s="381">
        <v>1.57</v>
      </c>
      <c r="F138" s="425">
        <f>VLOOKUP(B138,'CADERNO DE COMPOSIÇÕES'!$A$7:$J$16960,10,FALSE)</f>
        <v>44.37</v>
      </c>
      <c r="G138" s="382">
        <f t="shared" si="25"/>
        <v>69.66</v>
      </c>
      <c r="H138" s="383">
        <f t="shared" si="26"/>
        <v>6.5715989192615962E-3</v>
      </c>
      <c r="I138" s="391" t="str">
        <f t="shared" si="27"/>
        <v>ok</v>
      </c>
      <c r="J138" s="391" t="str">
        <f t="shared" si="28"/>
        <v>ok</v>
      </c>
      <c r="K138" s="451">
        <v>44.4</v>
      </c>
      <c r="L138" s="451">
        <v>69.709999999999994</v>
      </c>
      <c r="M138" s="449">
        <v>6.563146393658857E-3</v>
      </c>
    </row>
    <row r="139" spans="1:13" ht="51">
      <c r="A139" s="379" t="s">
        <v>684</v>
      </c>
      <c r="B139" s="443">
        <v>87506</v>
      </c>
      <c r="C139" s="387" t="s">
        <v>685</v>
      </c>
      <c r="D139" s="379" t="s">
        <v>376</v>
      </c>
      <c r="E139" s="388">
        <v>8.7100000000000009</v>
      </c>
      <c r="F139" s="425">
        <f>VLOOKUP(B139,'CADERNO DE COMPOSIÇÕES'!$A$7:$J$16960,10,FALSE)</f>
        <v>49.8</v>
      </c>
      <c r="G139" s="382">
        <f t="shared" si="25"/>
        <v>433.75</v>
      </c>
      <c r="H139" s="383">
        <f t="shared" si="26"/>
        <v>4.0919193672548336E-2</v>
      </c>
      <c r="I139" s="391" t="str">
        <f t="shared" si="27"/>
        <v>ok</v>
      </c>
      <c r="J139" s="391" t="str">
        <f t="shared" si="28"/>
        <v>ok</v>
      </c>
      <c r="K139" s="451">
        <v>50.09</v>
      </c>
      <c r="L139" s="451">
        <v>436.28</v>
      </c>
      <c r="M139" s="449">
        <v>4.1075448409489117E-2</v>
      </c>
    </row>
    <row r="140" spans="1:13" ht="25.5">
      <c r="A140" s="379" t="s">
        <v>686</v>
      </c>
      <c r="B140" s="443">
        <v>87878</v>
      </c>
      <c r="C140" s="387" t="s">
        <v>667</v>
      </c>
      <c r="D140" s="379" t="s">
        <v>376</v>
      </c>
      <c r="E140" s="388">
        <v>8.0541</v>
      </c>
      <c r="F140" s="425">
        <f>VLOOKUP(B140,'CADERNO DE COMPOSIÇÕES'!$A$7:$J$16960,10,FALSE)</f>
        <v>3.07</v>
      </c>
      <c r="G140" s="382">
        <f t="shared" si="25"/>
        <v>24.72</v>
      </c>
      <c r="H140" s="383">
        <f t="shared" si="26"/>
        <v>2.3320402710902475E-3</v>
      </c>
      <c r="I140" s="391" t="str">
        <f t="shared" si="27"/>
        <v>ok</v>
      </c>
      <c r="J140" s="391" t="str">
        <f t="shared" si="28"/>
        <v>ok</v>
      </c>
      <c r="K140" s="451">
        <v>3.07</v>
      </c>
      <c r="L140" s="451">
        <v>24.73</v>
      </c>
      <c r="M140" s="449">
        <v>2.3283117245041394E-3</v>
      </c>
    </row>
    <row r="141" spans="1:13" ht="38.25">
      <c r="A141" s="379" t="s">
        <v>687</v>
      </c>
      <c r="B141" s="442">
        <v>87530</v>
      </c>
      <c r="C141" s="380" t="s">
        <v>688</v>
      </c>
      <c r="D141" s="379" t="s">
        <v>376</v>
      </c>
      <c r="E141" s="388">
        <v>8.0500000000000007</v>
      </c>
      <c r="F141" s="425">
        <f>VLOOKUP(B141,'CADERNO DE COMPOSIÇÕES'!$A$7:$J$16960,10,FALSE)</f>
        <v>28</v>
      </c>
      <c r="G141" s="382">
        <f t="shared" si="25"/>
        <v>225.4</v>
      </c>
      <c r="H141" s="383">
        <f t="shared" si="26"/>
        <v>2.1263829979924834E-2</v>
      </c>
      <c r="I141" s="391" t="str">
        <f t="shared" si="27"/>
        <v>ok</v>
      </c>
      <c r="J141" s="391" t="str">
        <f t="shared" si="28"/>
        <v>ok</v>
      </c>
      <c r="K141" s="451">
        <v>28.01</v>
      </c>
      <c r="L141" s="451">
        <v>225.48</v>
      </c>
      <c r="M141" s="449">
        <v>2.1228779928879633E-2</v>
      </c>
    </row>
    <row r="142" spans="1:13" ht="38.25">
      <c r="A142" s="379" t="s">
        <v>689</v>
      </c>
      <c r="B142" s="442">
        <v>92785</v>
      </c>
      <c r="C142" s="380" t="s">
        <v>690</v>
      </c>
      <c r="D142" s="379" t="s">
        <v>386</v>
      </c>
      <c r="E142" s="388">
        <v>9.65</v>
      </c>
      <c r="F142" s="425">
        <f>VLOOKUP(B142,'CADERNO DE COMPOSIÇÕES'!$A$7:$J$16960,10,FALSE)</f>
        <v>8.2200000000000006</v>
      </c>
      <c r="G142" s="382">
        <f t="shared" si="25"/>
        <v>79.319999999999993</v>
      </c>
      <c r="H142" s="383">
        <f t="shared" si="26"/>
        <v>7.4829059184012316E-3</v>
      </c>
      <c r="I142" s="391" t="str">
        <f t="shared" si="27"/>
        <v>ok</v>
      </c>
      <c r="J142" s="391" t="str">
        <f t="shared" si="28"/>
        <v>ok</v>
      </c>
      <c r="K142" s="451">
        <v>8.24</v>
      </c>
      <c r="L142" s="451">
        <v>79.52</v>
      </c>
      <c r="M142" s="449">
        <v>7.486750842400693E-3</v>
      </c>
    </row>
    <row r="143" spans="1:13" ht="25.5">
      <c r="A143" s="379" t="s">
        <v>691</v>
      </c>
      <c r="B143" s="443">
        <v>92267</v>
      </c>
      <c r="C143" s="380" t="s">
        <v>654</v>
      </c>
      <c r="D143" s="379" t="s">
        <v>376</v>
      </c>
      <c r="E143" s="388">
        <v>2.0099999999999998</v>
      </c>
      <c r="F143" s="425">
        <f>VLOOKUP(B143,'CADERNO DE COMPOSIÇÕES'!$A$7:$J$16960,10,FALSE)</f>
        <v>29.15</v>
      </c>
      <c r="G143" s="382">
        <f t="shared" si="25"/>
        <v>58.59</v>
      </c>
      <c r="H143" s="383">
        <f t="shared" si="26"/>
        <v>5.527275059999095E-3</v>
      </c>
      <c r="I143" s="391" t="str">
        <f t="shared" si="27"/>
        <v>ok</v>
      </c>
      <c r="J143" s="391" t="str">
        <f t="shared" si="28"/>
        <v>ok</v>
      </c>
      <c r="K143" s="451">
        <v>29.17</v>
      </c>
      <c r="L143" s="451">
        <v>58.63</v>
      </c>
      <c r="M143" s="449">
        <v>5.5199723577710347E-3</v>
      </c>
    </row>
    <row r="144" spans="1:13" ht="25.5">
      <c r="A144" s="379" t="s">
        <v>692</v>
      </c>
      <c r="B144" s="443">
        <v>94975</v>
      </c>
      <c r="C144" s="387" t="s">
        <v>693</v>
      </c>
      <c r="D144" s="379" t="s">
        <v>392</v>
      </c>
      <c r="E144" s="388">
        <v>0.09</v>
      </c>
      <c r="F144" s="425">
        <f>VLOOKUP(B144,'CADERNO DE COMPOSIÇÕES'!$A$7:$J$16960,10,FALSE)</f>
        <v>378.01</v>
      </c>
      <c r="G144" s="382">
        <f t="shared" si="25"/>
        <v>34.020000000000003</v>
      </c>
      <c r="H144" s="383">
        <f t="shared" si="26"/>
        <v>3.2093855187091519E-3</v>
      </c>
      <c r="I144" s="391" t="str">
        <f t="shared" si="27"/>
        <v>ok</v>
      </c>
      <c r="J144" s="391" t="str">
        <f t="shared" si="28"/>
        <v>ok</v>
      </c>
      <c r="K144" s="451">
        <v>380.84</v>
      </c>
      <c r="L144" s="451">
        <v>34.28</v>
      </c>
      <c r="M144" s="449">
        <v>3.2274373601294741E-3</v>
      </c>
    </row>
    <row r="145" spans="1:13" ht="25.5">
      <c r="A145" s="379" t="s">
        <v>694</v>
      </c>
      <c r="B145" s="443">
        <v>73361</v>
      </c>
      <c r="C145" s="380" t="s">
        <v>695</v>
      </c>
      <c r="D145" s="379" t="s">
        <v>6</v>
      </c>
      <c r="E145" s="388">
        <v>0.13</v>
      </c>
      <c r="F145" s="425">
        <f>VLOOKUP(B145,'CADERNO DE COMPOSIÇÕES'!$A$7:$J$16960,10,FALSE)</f>
        <v>341.03999999999996</v>
      </c>
      <c r="G145" s="382">
        <f t="shared" si="25"/>
        <v>44.33</v>
      </c>
      <c r="H145" s="383">
        <f t="shared" si="26"/>
        <v>4.1820123469834417E-3</v>
      </c>
      <c r="I145" s="391" t="str">
        <f t="shared" si="27"/>
        <v>ok</v>
      </c>
      <c r="J145" s="391" t="str">
        <f t="shared" si="28"/>
        <v>ok</v>
      </c>
      <c r="K145" s="451">
        <v>341.15</v>
      </c>
      <c r="L145" s="451">
        <v>44.35</v>
      </c>
      <c r="M145" s="449">
        <v>4.1755206219878114E-3</v>
      </c>
    </row>
    <row r="146" spans="1:13" ht="25.5">
      <c r="A146" s="379" t="s">
        <v>696</v>
      </c>
      <c r="B146" s="442">
        <v>94974</v>
      </c>
      <c r="C146" s="380" t="s">
        <v>697</v>
      </c>
      <c r="D146" s="379" t="s">
        <v>392</v>
      </c>
      <c r="E146" s="381">
        <v>0.09</v>
      </c>
      <c r="F146" s="425">
        <f>VLOOKUP(B146,'CADERNO DE COMPOSIÇÕES'!$A$7:$J$16960,10,FALSE)</f>
        <v>349.34999999999997</v>
      </c>
      <c r="G146" s="382">
        <f t="shared" si="25"/>
        <v>31.44</v>
      </c>
      <c r="H146" s="383">
        <f t="shared" si="26"/>
        <v>2.9659929661439073E-3</v>
      </c>
      <c r="I146" s="391" t="str">
        <f t="shared" si="27"/>
        <v>ok</v>
      </c>
      <c r="J146" s="391" t="str">
        <f t="shared" si="28"/>
        <v>ok</v>
      </c>
      <c r="K146" s="451">
        <v>351.59</v>
      </c>
      <c r="L146" s="451">
        <v>31.64</v>
      </c>
      <c r="M146" s="449">
        <v>2.9788832577157687E-3</v>
      </c>
    </row>
    <row r="147" spans="1:13">
      <c r="A147" s="378" t="s">
        <v>698</v>
      </c>
      <c r="B147" s="430"/>
      <c r="C147" s="493" t="s">
        <v>636</v>
      </c>
      <c r="D147" s="493"/>
      <c r="E147" s="493"/>
      <c r="F147" s="493"/>
      <c r="G147" s="493"/>
      <c r="H147" s="493"/>
      <c r="I147" s="391" t="str">
        <f t="shared" si="27"/>
        <v>ok</v>
      </c>
      <c r="J147" s="391" t="str">
        <f t="shared" si="28"/>
        <v>ok</v>
      </c>
    </row>
    <row r="148" spans="1:13" ht="38.25">
      <c r="A148" s="379" t="s">
        <v>699</v>
      </c>
      <c r="B148" s="442">
        <v>92785</v>
      </c>
      <c r="C148" s="380" t="s">
        <v>504</v>
      </c>
      <c r="D148" s="379" t="s">
        <v>386</v>
      </c>
      <c r="E148" s="381">
        <v>9.68</v>
      </c>
      <c r="F148" s="425">
        <f>VLOOKUP(B148,'CADERNO DE COMPOSIÇÕES'!$A$7:$J$16960,10,FALSE)</f>
        <v>8.2200000000000006</v>
      </c>
      <c r="G148" s="382">
        <f>TRUNC(F148*E148,2)</f>
        <v>79.56</v>
      </c>
      <c r="H148" s="383">
        <f t="shared" ref="H148:H152" si="29">G148/$G$173</f>
        <v>7.5055470860817194E-3</v>
      </c>
      <c r="I148" s="391" t="str">
        <f t="shared" si="27"/>
        <v>ok</v>
      </c>
      <c r="J148" s="391" t="str">
        <f t="shared" si="28"/>
        <v>ok</v>
      </c>
      <c r="K148" s="451">
        <v>8.24</v>
      </c>
      <c r="L148" s="451">
        <v>79.760000000000005</v>
      </c>
      <c r="M148" s="449">
        <v>7.5093466698928487E-3</v>
      </c>
    </row>
    <row r="149" spans="1:13" ht="25.5">
      <c r="A149" s="379" t="s">
        <v>700</v>
      </c>
      <c r="B149" s="443">
        <v>94975</v>
      </c>
      <c r="C149" s="387" t="s">
        <v>506</v>
      </c>
      <c r="D149" s="379" t="s">
        <v>392</v>
      </c>
      <c r="E149" s="381">
        <v>0.09</v>
      </c>
      <c r="F149" s="425">
        <f>VLOOKUP(B149,'CADERNO DE COMPOSIÇÕES'!$A$7:$J$16960,10,FALSE)</f>
        <v>378.01</v>
      </c>
      <c r="G149" s="382">
        <f>TRUNC(F149*E149,2)</f>
        <v>34.020000000000003</v>
      </c>
      <c r="H149" s="383">
        <f t="shared" si="29"/>
        <v>3.2093855187091519E-3</v>
      </c>
      <c r="I149" s="391" t="str">
        <f t="shared" si="27"/>
        <v>ok</v>
      </c>
      <c r="J149" s="391" t="str">
        <f t="shared" si="28"/>
        <v>ok</v>
      </c>
      <c r="K149" s="451">
        <v>380.84</v>
      </c>
      <c r="L149" s="451">
        <v>34.28</v>
      </c>
      <c r="M149" s="449">
        <v>3.2274373601294741E-3</v>
      </c>
    </row>
    <row r="150" spans="1:13" ht="25.5">
      <c r="A150" s="379" t="s">
        <v>701</v>
      </c>
      <c r="B150" s="443">
        <v>92267</v>
      </c>
      <c r="C150" s="380" t="s">
        <v>654</v>
      </c>
      <c r="D150" s="379" t="s">
        <v>376</v>
      </c>
      <c r="E150" s="381">
        <v>2.1</v>
      </c>
      <c r="F150" s="425">
        <f>VLOOKUP(B150,'CADERNO DE COMPOSIÇÕES'!$A$7:$J$16960,10,FALSE)</f>
        <v>29.15</v>
      </c>
      <c r="G150" s="382">
        <f>TRUNC(F150*E150,2)</f>
        <v>61.21</v>
      </c>
      <c r="H150" s="383">
        <f t="shared" si="29"/>
        <v>5.7744411405110871E-3</v>
      </c>
      <c r="I150" s="391" t="str">
        <f t="shared" si="27"/>
        <v>ok</v>
      </c>
      <c r="J150" s="391" t="str">
        <f t="shared" si="28"/>
        <v>ok</v>
      </c>
      <c r="K150" s="451">
        <v>29.17</v>
      </c>
      <c r="L150" s="451">
        <v>61.26</v>
      </c>
      <c r="M150" s="449">
        <v>5.7675849673725667E-3</v>
      </c>
    </row>
    <row r="151" spans="1:13" ht="25.5">
      <c r="A151" s="379" t="s">
        <v>702</v>
      </c>
      <c r="B151" s="442" t="s">
        <v>642</v>
      </c>
      <c r="C151" s="380" t="s">
        <v>643</v>
      </c>
      <c r="D151" s="379" t="s">
        <v>472</v>
      </c>
      <c r="E151" s="381">
        <v>4</v>
      </c>
      <c r="F151" s="425">
        <f>VLOOKUP(B151,'CADERNO DE COMPOSIÇÕES'!$A$7:$J$16960,10,FALSE)</f>
        <v>6.07</v>
      </c>
      <c r="G151" s="382">
        <f>TRUNC(F151*E151,2)</f>
        <v>24.28</v>
      </c>
      <c r="H151" s="383">
        <f t="shared" si="29"/>
        <v>2.2905314636760201E-3</v>
      </c>
      <c r="I151" s="391" t="str">
        <f t="shared" si="27"/>
        <v>ok</v>
      </c>
      <c r="J151" s="391" t="str">
        <f t="shared" si="28"/>
        <v>ok</v>
      </c>
      <c r="K151" s="451">
        <v>6.07</v>
      </c>
      <c r="L151" s="451">
        <v>24.28</v>
      </c>
      <c r="M151" s="449">
        <v>2.2859445479563485E-3</v>
      </c>
    </row>
    <row r="152" spans="1:13">
      <c r="A152" s="492" t="s">
        <v>703</v>
      </c>
      <c r="B152" s="492"/>
      <c r="C152" s="492"/>
      <c r="D152" s="492"/>
      <c r="E152" s="492"/>
      <c r="F152" s="427"/>
      <c r="G152" s="384">
        <f>SUM(G148:G151,G137:G146)</f>
        <v>1420.1299999999999</v>
      </c>
      <c r="H152" s="385">
        <f t="shared" si="29"/>
        <v>0.13397250607537997</v>
      </c>
      <c r="I152" s="391" t="str">
        <f t="shared" si="27"/>
        <v>ok</v>
      </c>
      <c r="J152" s="391" t="str">
        <f t="shared" si="28"/>
        <v>ok</v>
      </c>
      <c r="L152" s="451">
        <v>1424.04</v>
      </c>
      <c r="M152" s="449">
        <v>0.13407234242470176</v>
      </c>
    </row>
    <row r="153" spans="1:13">
      <c r="A153" s="378" t="s">
        <v>704</v>
      </c>
      <c r="B153" s="430"/>
      <c r="C153" s="493" t="s">
        <v>705</v>
      </c>
      <c r="D153" s="493"/>
      <c r="E153" s="493"/>
      <c r="F153" s="493"/>
      <c r="G153" s="493"/>
      <c r="H153" s="493"/>
      <c r="I153" s="391" t="str">
        <f t="shared" si="27"/>
        <v>ok</v>
      </c>
      <c r="J153" s="391" t="str">
        <f t="shared" si="28"/>
        <v>ok</v>
      </c>
    </row>
    <row r="154" spans="1:13">
      <c r="A154" s="378" t="s">
        <v>706</v>
      </c>
      <c r="B154" s="430"/>
      <c r="C154" s="493" t="s">
        <v>624</v>
      </c>
      <c r="D154" s="493"/>
      <c r="E154" s="493"/>
      <c r="F154" s="493"/>
      <c r="G154" s="493"/>
      <c r="H154" s="493"/>
      <c r="I154" s="391" t="str">
        <f t="shared" si="27"/>
        <v>ok</v>
      </c>
      <c r="J154" s="391" t="str">
        <f t="shared" si="28"/>
        <v>ok</v>
      </c>
    </row>
    <row r="155" spans="1:13">
      <c r="A155" s="379" t="s">
        <v>707</v>
      </c>
      <c r="B155" s="442">
        <v>93358</v>
      </c>
      <c r="C155" s="380" t="s">
        <v>626</v>
      </c>
      <c r="D155" s="379" t="s">
        <v>392</v>
      </c>
      <c r="E155" s="381">
        <v>4.1970025</v>
      </c>
      <c r="F155" s="425">
        <f>VLOOKUP(B155,'CADERNO DE COMPOSIÇÕES'!$A$7:$J$16960,10,FALSE)</f>
        <v>54.59</v>
      </c>
      <c r="G155" s="382">
        <f>TRUNC(F155*E155,2)</f>
        <v>229.11</v>
      </c>
      <c r="H155" s="383">
        <f t="shared" ref="H155:H157" si="30">G155/$G$173</f>
        <v>2.1613824696985709E-2</v>
      </c>
      <c r="I155" s="391" t="str">
        <f t="shared" si="27"/>
        <v>ok</v>
      </c>
      <c r="J155" s="391" t="str">
        <f t="shared" si="28"/>
        <v>ok</v>
      </c>
      <c r="K155" s="451">
        <v>54.59</v>
      </c>
      <c r="L155" s="451">
        <v>229.11</v>
      </c>
      <c r="M155" s="449">
        <v>2.1570541819698478E-2</v>
      </c>
    </row>
    <row r="156" spans="1:13" ht="25.5">
      <c r="A156" s="379" t="s">
        <v>708</v>
      </c>
      <c r="B156" s="442" t="s">
        <v>682</v>
      </c>
      <c r="C156" s="380" t="s">
        <v>683</v>
      </c>
      <c r="D156" s="379" t="s">
        <v>392</v>
      </c>
      <c r="E156" s="381">
        <v>0.88312500000000005</v>
      </c>
      <c r="F156" s="425">
        <f>VLOOKUP(B156,'CADERNO DE COMPOSIÇÕES'!$A$7:$J$16960,10,FALSE)</f>
        <v>44.37</v>
      </c>
      <c r="G156" s="382">
        <f>TRUNC(F156*E156,2)</f>
        <v>39.18</v>
      </c>
      <c r="H156" s="383">
        <f t="shared" si="30"/>
        <v>3.69617062383964E-3</v>
      </c>
      <c r="I156" s="391" t="str">
        <f t="shared" si="27"/>
        <v>ok</v>
      </c>
      <c r="J156" s="391" t="str">
        <f t="shared" si="28"/>
        <v>ok</v>
      </c>
      <c r="K156" s="451">
        <v>44.4</v>
      </c>
      <c r="L156" s="451">
        <v>39.21</v>
      </c>
      <c r="M156" s="449">
        <v>3.6915933165308249E-3</v>
      </c>
    </row>
    <row r="157" spans="1:13" ht="51">
      <c r="A157" s="379" t="s">
        <v>709</v>
      </c>
      <c r="B157" s="443">
        <v>87506</v>
      </c>
      <c r="C157" s="387" t="s">
        <v>484</v>
      </c>
      <c r="D157" s="379" t="s">
        <v>376</v>
      </c>
      <c r="E157" s="381">
        <v>9.8800000000000008</v>
      </c>
      <c r="F157" s="425">
        <f>VLOOKUP(B157,'CADERNO DE COMPOSIÇÕES'!$A$7:$J$16960,10,FALSE)</f>
        <v>49.8</v>
      </c>
      <c r="G157" s="382">
        <f>TRUNC(F157*E157,2)</f>
        <v>492.02</v>
      </c>
      <c r="H157" s="383">
        <f t="shared" si="30"/>
        <v>4.6416280508973451E-2</v>
      </c>
      <c r="I157" s="391" t="str">
        <f t="shared" si="27"/>
        <v>ok</v>
      </c>
      <c r="J157" s="391" t="str">
        <f t="shared" si="28"/>
        <v>ok</v>
      </c>
      <c r="K157" s="451">
        <v>50.09</v>
      </c>
      <c r="L157" s="451">
        <v>494.89</v>
      </c>
      <c r="M157" s="449">
        <v>4.6593537781635802E-2</v>
      </c>
    </row>
    <row r="158" spans="1:13">
      <c r="A158" s="378" t="s">
        <v>710</v>
      </c>
      <c r="B158" s="430"/>
      <c r="C158" s="493" t="s">
        <v>636</v>
      </c>
      <c r="D158" s="493"/>
      <c r="E158" s="493"/>
      <c r="F158" s="493"/>
      <c r="G158" s="493"/>
      <c r="H158" s="493"/>
      <c r="I158" s="391" t="str">
        <f t="shared" si="27"/>
        <v>ok</v>
      </c>
      <c r="J158" s="391" t="str">
        <f t="shared" si="28"/>
        <v>ok</v>
      </c>
    </row>
    <row r="159" spans="1:13" ht="38.25">
      <c r="A159" s="379" t="s">
        <v>711</v>
      </c>
      <c r="B159" s="442">
        <v>92785</v>
      </c>
      <c r="C159" s="380" t="s">
        <v>504</v>
      </c>
      <c r="D159" s="379" t="s">
        <v>386</v>
      </c>
      <c r="E159" s="381">
        <v>11.86</v>
      </c>
      <c r="F159" s="425">
        <f>VLOOKUP(B159,'CADERNO DE COMPOSIÇÕES'!$A$7:$J$16960,10,FALSE)</f>
        <v>8.2200000000000006</v>
      </c>
      <c r="G159" s="382">
        <f>TRUNC(F159*E159,2)</f>
        <v>97.48</v>
      </c>
      <c r="H159" s="383">
        <f t="shared" ref="H159:H162" si="31">G159/$G$173</f>
        <v>9.196087606224812E-3</v>
      </c>
      <c r="I159" s="391" t="str">
        <f t="shared" si="27"/>
        <v>ok</v>
      </c>
      <c r="J159" s="391" t="str">
        <f t="shared" si="28"/>
        <v>ok</v>
      </c>
      <c r="K159" s="451">
        <v>8.24</v>
      </c>
      <c r="L159" s="451">
        <v>97.73</v>
      </c>
      <c r="M159" s="449">
        <v>9.2012092533679552E-3</v>
      </c>
    </row>
    <row r="160" spans="1:13" ht="25.5">
      <c r="A160" s="379" t="s">
        <v>712</v>
      </c>
      <c r="B160" s="443">
        <v>94975</v>
      </c>
      <c r="C160" s="387" t="s">
        <v>506</v>
      </c>
      <c r="D160" s="379" t="s">
        <v>392</v>
      </c>
      <c r="E160" s="381">
        <v>0.11</v>
      </c>
      <c r="F160" s="425">
        <f>VLOOKUP(B160,'CADERNO DE COMPOSIÇÕES'!$A$7:$J$16960,10,FALSE)</f>
        <v>378.01</v>
      </c>
      <c r="G160" s="382">
        <f>TRUNC(F160*E160,2)</f>
        <v>41.58</v>
      </c>
      <c r="H160" s="383">
        <f t="shared" si="31"/>
        <v>3.9225823006445188E-3</v>
      </c>
      <c r="I160" s="391" t="str">
        <f t="shared" si="27"/>
        <v>ok</v>
      </c>
      <c r="J160" s="391" t="str">
        <f t="shared" si="28"/>
        <v>ok</v>
      </c>
      <c r="K160" s="451">
        <v>380.84</v>
      </c>
      <c r="L160" s="451">
        <v>41.89</v>
      </c>
      <c r="M160" s="449">
        <v>3.9439133901932226E-3</v>
      </c>
    </row>
    <row r="161" spans="1:13" ht="25.5">
      <c r="A161" s="379" t="s">
        <v>713</v>
      </c>
      <c r="B161" s="443">
        <v>92267</v>
      </c>
      <c r="C161" s="380" t="s">
        <v>654</v>
      </c>
      <c r="D161" s="379" t="s">
        <v>376</v>
      </c>
      <c r="E161" s="381">
        <v>2.64</v>
      </c>
      <c r="F161" s="425">
        <f>VLOOKUP(B161,'CADERNO DE COMPOSIÇÕES'!$A$7:$J$16960,10,FALSE)</f>
        <v>29.15</v>
      </c>
      <c r="G161" s="382">
        <f>TRUNC(F161*E161,2)</f>
        <v>76.95</v>
      </c>
      <c r="H161" s="383">
        <f t="shared" si="31"/>
        <v>7.2593243875564142E-3</v>
      </c>
      <c r="I161" s="391" t="str">
        <f t="shared" si="27"/>
        <v>ok</v>
      </c>
      <c r="J161" s="391" t="str">
        <f t="shared" si="28"/>
        <v>ok</v>
      </c>
      <c r="K161" s="451">
        <v>29.17</v>
      </c>
      <c r="L161" s="451">
        <v>77.010000000000005</v>
      </c>
      <c r="M161" s="449">
        <v>7.2504361465452393E-3</v>
      </c>
    </row>
    <row r="162" spans="1:13">
      <c r="A162" s="492" t="s">
        <v>714</v>
      </c>
      <c r="B162" s="492"/>
      <c r="C162" s="492"/>
      <c r="D162" s="492"/>
      <c r="E162" s="492"/>
      <c r="F162" s="427"/>
      <c r="G162" s="384">
        <f>SUM(G159:G161,G155:G157)</f>
        <v>976.31999999999994</v>
      </c>
      <c r="H162" s="385">
        <f t="shared" si="31"/>
        <v>9.2104270124224535E-2</v>
      </c>
      <c r="I162" s="391" t="str">
        <f t="shared" si="27"/>
        <v>ok</v>
      </c>
      <c r="J162" s="391" t="str">
        <f t="shared" si="28"/>
        <v>ok</v>
      </c>
      <c r="L162" s="451">
        <v>979.84</v>
      </c>
      <c r="M162" s="449">
        <v>9.2251231707971504E-2</v>
      </c>
    </row>
    <row r="163" spans="1:13">
      <c r="A163" s="378" t="s">
        <v>715</v>
      </c>
      <c r="B163" s="430"/>
      <c r="C163" s="493" t="s">
        <v>716</v>
      </c>
      <c r="D163" s="493"/>
      <c r="E163" s="493"/>
      <c r="F163" s="493"/>
      <c r="G163" s="493"/>
      <c r="H163" s="493"/>
      <c r="I163" s="391" t="str">
        <f t="shared" si="27"/>
        <v>ok</v>
      </c>
      <c r="J163" s="391" t="str">
        <f t="shared" si="28"/>
        <v>ok</v>
      </c>
    </row>
    <row r="164" spans="1:13" ht="25.5">
      <c r="A164" s="386" t="s">
        <v>717</v>
      </c>
      <c r="B164" s="443">
        <v>92029</v>
      </c>
      <c r="C164" s="387" t="s">
        <v>718</v>
      </c>
      <c r="D164" s="386" t="s">
        <v>102</v>
      </c>
      <c r="E164" s="388">
        <v>1</v>
      </c>
      <c r="F164" s="425">
        <f>VLOOKUP(B164,'CADERNO DE COMPOSIÇÕES'!$A$7:$J$16960,10,FALSE)</f>
        <v>34.08</v>
      </c>
      <c r="G164" s="382">
        <f>TRUNC(F164*E164,2)</f>
        <v>34.08</v>
      </c>
      <c r="H164" s="389">
        <f t="shared" ref="H164:H169" si="32">G164/$G$173</f>
        <v>3.2150458106292735E-3</v>
      </c>
      <c r="I164" s="391" t="str">
        <f t="shared" si="27"/>
        <v>ok</v>
      </c>
      <c r="J164" s="391" t="str">
        <f t="shared" si="28"/>
        <v>ok</v>
      </c>
      <c r="K164" s="451">
        <v>34.1</v>
      </c>
      <c r="L164" s="451">
        <v>34.1</v>
      </c>
      <c r="M164" s="449">
        <v>3.2104904895103579E-3</v>
      </c>
    </row>
    <row r="165" spans="1:13" ht="25.5">
      <c r="A165" s="379" t="s">
        <v>719</v>
      </c>
      <c r="B165" s="442">
        <v>93040</v>
      </c>
      <c r="C165" s="437" t="s">
        <v>720</v>
      </c>
      <c r="D165" s="436" t="s">
        <v>472</v>
      </c>
      <c r="E165" s="438">
        <v>1</v>
      </c>
      <c r="F165" s="425">
        <f>VLOOKUP(B165,'CADERNO DE COMPOSIÇÕES'!$A$7:$J$16960,10,FALSE)</f>
        <v>9.49</v>
      </c>
      <c r="G165" s="382">
        <f>TRUNC(F165*E165,2)</f>
        <v>9.49</v>
      </c>
      <c r="H165" s="383">
        <f t="shared" si="32"/>
        <v>8.9526950536595673E-4</v>
      </c>
      <c r="I165" s="391" t="str">
        <f t="shared" si="27"/>
        <v>ok</v>
      </c>
      <c r="J165" s="391" t="str">
        <f t="shared" si="28"/>
        <v>ok</v>
      </c>
      <c r="K165" s="391">
        <v>9.5</v>
      </c>
      <c r="L165" s="451">
        <v>9.5</v>
      </c>
      <c r="M165" s="449">
        <v>8.9441817156446913E-4</v>
      </c>
    </row>
    <row r="166" spans="1:13" ht="25.5">
      <c r="A166" s="379" t="s">
        <v>721</v>
      </c>
      <c r="B166" s="443">
        <v>91931</v>
      </c>
      <c r="C166" s="387" t="s">
        <v>722</v>
      </c>
      <c r="D166" s="379" t="s">
        <v>389</v>
      </c>
      <c r="E166" s="388">
        <v>3.18</v>
      </c>
      <c r="F166" s="425">
        <f>VLOOKUP(B166,'CADERNO DE COMPOSIÇÕES'!$A$7:$J$16960,10,FALSE)</f>
        <v>5.28</v>
      </c>
      <c r="G166" s="382">
        <f>TRUNC(F166*E166,2)</f>
        <v>16.79</v>
      </c>
      <c r="H166" s="383">
        <f t="shared" si="32"/>
        <v>1.5839383556474618E-3</v>
      </c>
      <c r="I166" s="391" t="str">
        <f t="shared" si="27"/>
        <v>ok</v>
      </c>
      <c r="J166" s="391" t="str">
        <f t="shared" si="28"/>
        <v>ok</v>
      </c>
      <c r="K166" s="453">
        <v>5.29</v>
      </c>
      <c r="L166" s="451">
        <v>16.82</v>
      </c>
      <c r="M166" s="449">
        <v>1.583590910075197E-3</v>
      </c>
    </row>
    <row r="167" spans="1:13" ht="25.5">
      <c r="A167" s="379" t="s">
        <v>723</v>
      </c>
      <c r="B167" s="442">
        <v>91873</v>
      </c>
      <c r="C167" s="387" t="s">
        <v>724</v>
      </c>
      <c r="D167" s="379" t="s">
        <v>389</v>
      </c>
      <c r="E167" s="388">
        <v>1.2000000000000002</v>
      </c>
      <c r="F167" s="425">
        <f>VLOOKUP(B167,'CADERNO DE COMPOSIÇÕES'!$A$7:$J$16960,10,FALSE)</f>
        <v>11.969999999999999</v>
      </c>
      <c r="G167" s="382">
        <f>TRUNC(F167*E167,2)</f>
        <v>14.36</v>
      </c>
      <c r="H167" s="383">
        <f t="shared" si="32"/>
        <v>1.3546965328825225E-3</v>
      </c>
      <c r="I167" s="391" t="str">
        <f t="shared" si="27"/>
        <v>ok</v>
      </c>
      <c r="J167" s="391" t="str">
        <f t="shared" si="28"/>
        <v>ok</v>
      </c>
      <c r="K167" s="451">
        <v>11.98</v>
      </c>
      <c r="L167" s="451">
        <v>14.38</v>
      </c>
      <c r="M167" s="449">
        <v>1.3538666639049545E-3</v>
      </c>
    </row>
    <row r="168" spans="1:13" ht="25.5">
      <c r="A168" s="436" t="s">
        <v>725</v>
      </c>
      <c r="B168" s="442" t="s">
        <v>726</v>
      </c>
      <c r="C168" s="437" t="s">
        <v>727</v>
      </c>
      <c r="D168" s="436" t="s">
        <v>728</v>
      </c>
      <c r="E168" s="438">
        <v>1</v>
      </c>
      <c r="F168" s="439">
        <f>VLOOKUP(B168,'CADERNO DE COMPOSIÇÕES'!$A$7:$J$16960,10,FALSE)</f>
        <v>5.8599999999999994</v>
      </c>
      <c r="G168" s="382">
        <f>TRUNC(F168*E168,2)</f>
        <v>5.86</v>
      </c>
      <c r="H168" s="440">
        <f t="shared" si="32"/>
        <v>5.5282184419857812E-4</v>
      </c>
      <c r="I168" s="391" t="str">
        <f t="shared" si="27"/>
        <v>ok</v>
      </c>
      <c r="J168" s="391" t="str">
        <f t="shared" si="28"/>
        <v>ok</v>
      </c>
      <c r="K168" s="451">
        <v>5.87</v>
      </c>
      <c r="L168" s="451">
        <v>5.87</v>
      </c>
      <c r="M168" s="449">
        <v>5.5265628074562467E-4</v>
      </c>
    </row>
    <row r="169" spans="1:13">
      <c r="A169" s="492" t="s">
        <v>729</v>
      </c>
      <c r="B169" s="492"/>
      <c r="C169" s="492"/>
      <c r="D169" s="492"/>
      <c r="E169" s="492"/>
      <c r="F169" s="427"/>
      <c r="G169" s="384">
        <f>SUM(G164:G168)</f>
        <v>80.58</v>
      </c>
      <c r="H169" s="385">
        <f t="shared" si="32"/>
        <v>7.6017720487237929E-3</v>
      </c>
      <c r="I169" s="391" t="str">
        <f t="shared" si="27"/>
        <v>ok</v>
      </c>
      <c r="J169" s="391" t="str">
        <f t="shared" si="28"/>
        <v>ok</v>
      </c>
      <c r="L169" s="451">
        <v>80.67</v>
      </c>
      <c r="M169" s="449">
        <v>7.5950225158006035E-3</v>
      </c>
    </row>
    <row r="170" spans="1:13">
      <c r="A170" s="378" t="s">
        <v>730</v>
      </c>
      <c r="B170" s="430"/>
      <c r="C170" s="493" t="s">
        <v>141</v>
      </c>
      <c r="D170" s="493"/>
      <c r="E170" s="493"/>
      <c r="F170" s="493"/>
      <c r="G170" s="493"/>
      <c r="H170" s="493"/>
      <c r="I170" s="391" t="str">
        <f t="shared" si="27"/>
        <v>ok</v>
      </c>
      <c r="J170" s="391" t="str">
        <f t="shared" si="28"/>
        <v>ok</v>
      </c>
    </row>
    <row r="171" spans="1:13">
      <c r="A171" s="379" t="s">
        <v>731</v>
      </c>
      <c r="B171" s="442">
        <v>9537</v>
      </c>
      <c r="C171" s="437" t="s">
        <v>732</v>
      </c>
      <c r="D171" s="436" t="s">
        <v>376</v>
      </c>
      <c r="E171" s="438">
        <v>8.8800000000000008</v>
      </c>
      <c r="F171" s="425">
        <f>VLOOKUP(B171,'CADERNO DE COMPOSIÇÕES'!$A$7:$J$16960,10,FALSE)</f>
        <v>1.5599999999999998</v>
      </c>
      <c r="G171" s="382">
        <f>TRUNC(F171*E171,2)</f>
        <v>13.85</v>
      </c>
      <c r="H171" s="383">
        <f t="shared" ref="H171:H172" si="33">G171/$G$173</f>
        <v>1.3065840515614859E-3</v>
      </c>
      <c r="I171" s="391" t="str">
        <f t="shared" si="27"/>
        <v>ok</v>
      </c>
      <c r="J171" s="391" t="str">
        <f t="shared" si="28"/>
        <v>ok</v>
      </c>
      <c r="K171" s="451">
        <v>1.56</v>
      </c>
      <c r="L171" s="451">
        <v>13.85</v>
      </c>
      <c r="M171" s="449">
        <v>1.3039675448597787E-3</v>
      </c>
    </row>
    <row r="172" spans="1:13" ht="13.5" thickBot="1">
      <c r="A172" s="496" t="s">
        <v>733</v>
      </c>
      <c r="B172" s="496"/>
      <c r="C172" s="496"/>
      <c r="D172" s="496"/>
      <c r="E172" s="496"/>
      <c r="F172" s="428"/>
      <c r="G172" s="384">
        <f>G171</f>
        <v>13.85</v>
      </c>
      <c r="H172" s="385">
        <f t="shared" si="33"/>
        <v>1.3065840515614859E-3</v>
      </c>
      <c r="I172" s="391" t="str">
        <f t="shared" si="27"/>
        <v>ok</v>
      </c>
      <c r="J172" s="391" t="str">
        <f t="shared" si="28"/>
        <v>ok</v>
      </c>
      <c r="L172" s="451">
        <v>13.85</v>
      </c>
      <c r="M172" s="449">
        <v>1.3039675448597787E-3</v>
      </c>
    </row>
    <row r="173" spans="1:13" ht="13.5" thickBot="1">
      <c r="A173" s="497" t="s">
        <v>734</v>
      </c>
      <c r="B173" s="498"/>
      <c r="C173" s="498"/>
      <c r="D173" s="498"/>
      <c r="E173" s="498"/>
      <c r="F173" s="429"/>
      <c r="G173" s="458">
        <f>G172+G169+G162+G152+G134+G120+G84+G68+G52+G46+G43+G40+G29+G23+G17+G13+G9</f>
        <v>10600.16</v>
      </c>
      <c r="H173" s="394">
        <v>0.99999999999999989</v>
      </c>
      <c r="I173" s="391" t="str">
        <f t="shared" si="27"/>
        <v>ok</v>
      </c>
      <c r="J173" s="391" t="str">
        <f t="shared" si="28"/>
        <v>ok</v>
      </c>
      <c r="L173" s="451">
        <v>10621.43</v>
      </c>
      <c r="M173" s="449">
        <v>0.99999999999999989</v>
      </c>
    </row>
    <row r="174" spans="1:13">
      <c r="A174" s="499" t="s">
        <v>735</v>
      </c>
      <c r="B174" s="499"/>
      <c r="C174" s="499"/>
      <c r="D174" s="499"/>
      <c r="E174" s="499"/>
      <c r="F174" s="424"/>
      <c r="G174" s="395">
        <f>TRUNC(G173*$B$3,2)</f>
        <v>3169.44</v>
      </c>
      <c r="H174" s="396"/>
      <c r="I174" s="391" t="str">
        <f t="shared" si="27"/>
        <v>ok</v>
      </c>
      <c r="J174" s="391" t="str">
        <f t="shared" si="28"/>
        <v>ok</v>
      </c>
      <c r="L174" s="451">
        <v>3175.8</v>
      </c>
    </row>
    <row r="175" spans="1:13">
      <c r="A175" s="500" t="s">
        <v>736</v>
      </c>
      <c r="B175" s="500"/>
      <c r="C175" s="500"/>
      <c r="D175" s="500"/>
      <c r="E175" s="500"/>
      <c r="F175" s="430"/>
      <c r="G175" s="397">
        <f>G174+G173</f>
        <v>13769.6</v>
      </c>
      <c r="H175" s="392"/>
      <c r="I175" s="391" t="str">
        <f t="shared" si="27"/>
        <v>ok</v>
      </c>
      <c r="J175" s="391" t="str">
        <f t="shared" si="28"/>
        <v>ok</v>
      </c>
      <c r="L175" s="451">
        <v>13797.23</v>
      </c>
    </row>
    <row r="176" spans="1:13">
      <c r="A176" s="475" t="s">
        <v>737</v>
      </c>
      <c r="B176" s="476"/>
      <c r="C176" s="477"/>
      <c r="D176" s="377" t="s">
        <v>472</v>
      </c>
      <c r="E176" s="377">
        <v>36</v>
      </c>
      <c r="F176" s="431">
        <f>G175</f>
        <v>13769.6</v>
      </c>
      <c r="G176" s="395">
        <f>F176*E176</f>
        <v>495705.60000000003</v>
      </c>
      <c r="H176" s="398">
        <f t="shared" ref="H176" si="34">G176/$G$173</f>
        <v>46.763973373986815</v>
      </c>
      <c r="I176" s="391" t="str">
        <f t="shared" si="27"/>
        <v>ok</v>
      </c>
      <c r="J176" s="391" t="str">
        <f t="shared" si="28"/>
        <v>ok</v>
      </c>
      <c r="K176" s="451">
        <v>13797.23</v>
      </c>
      <c r="L176" s="451">
        <v>496700.28</v>
      </c>
      <c r="M176" s="449">
        <v>0.99340055602639776</v>
      </c>
    </row>
    <row r="177" spans="1:13">
      <c r="A177" s="378" t="s">
        <v>738</v>
      </c>
      <c r="B177" s="430"/>
      <c r="C177" s="493" t="s">
        <v>739</v>
      </c>
      <c r="D177" s="493"/>
      <c r="E177" s="493"/>
      <c r="F177" s="493"/>
      <c r="G177" s="493"/>
      <c r="H177" s="493"/>
      <c r="I177" s="391" t="str">
        <f t="shared" si="27"/>
        <v>ok</v>
      </c>
      <c r="J177" s="391" t="str">
        <f t="shared" si="28"/>
        <v>ok</v>
      </c>
    </row>
    <row r="178" spans="1:13">
      <c r="A178" s="379" t="s">
        <v>740</v>
      </c>
      <c r="B178" s="442" t="s">
        <v>427</v>
      </c>
      <c r="C178" s="437" t="s">
        <v>741</v>
      </c>
      <c r="D178" s="436" t="s">
        <v>376</v>
      </c>
      <c r="E178" s="438">
        <v>6</v>
      </c>
      <c r="F178" s="439">
        <f>VLOOKUP(B178,'CADERNO DE COMPOSIÇÕES'!$A$7:$J$16960,10,FALSE)</f>
        <v>423.07000000000005</v>
      </c>
      <c r="G178" s="382">
        <f>TRUNC(F178*E178,2)</f>
        <v>2538.42</v>
      </c>
      <c r="H178" s="383"/>
      <c r="I178" s="391" t="str">
        <f t="shared" si="27"/>
        <v>ok</v>
      </c>
      <c r="J178" s="391" t="str">
        <f t="shared" si="28"/>
        <v>ok</v>
      </c>
      <c r="K178" s="451">
        <v>423.36700000000002</v>
      </c>
      <c r="L178" s="451">
        <v>2540.2020000000002</v>
      </c>
      <c r="M178" s="449"/>
    </row>
    <row r="179" spans="1:13">
      <c r="A179" s="502"/>
      <c r="B179" s="503"/>
      <c r="C179" s="503"/>
      <c r="D179" s="503"/>
      <c r="E179" s="503"/>
      <c r="F179" s="432"/>
      <c r="G179" s="384">
        <f>G178</f>
        <v>2538.42</v>
      </c>
      <c r="H179" s="399"/>
      <c r="I179" s="391" t="str">
        <f t="shared" si="27"/>
        <v>ok</v>
      </c>
      <c r="J179" s="391" t="str">
        <f t="shared" si="28"/>
        <v>ok</v>
      </c>
      <c r="L179" s="451">
        <v>2540.2020000000002</v>
      </c>
    </row>
    <row r="180" spans="1:13">
      <c r="A180" s="500" t="s">
        <v>735</v>
      </c>
      <c r="B180" s="500"/>
      <c r="C180" s="500"/>
      <c r="D180" s="500"/>
      <c r="E180" s="500"/>
      <c r="F180" s="424"/>
      <c r="G180" s="395">
        <f>TRUNC(G179*$B$3,2)</f>
        <v>758.98</v>
      </c>
      <c r="H180" s="392"/>
      <c r="I180" s="391" t="str">
        <f t="shared" si="27"/>
        <v>ok</v>
      </c>
      <c r="J180" s="391" t="str">
        <f t="shared" si="28"/>
        <v>ok</v>
      </c>
      <c r="L180" s="451">
        <v>759.52</v>
      </c>
    </row>
    <row r="181" spans="1:13" ht="13.5" thickBot="1">
      <c r="A181" s="504" t="s">
        <v>742</v>
      </c>
      <c r="B181" s="504"/>
      <c r="C181" s="504"/>
      <c r="D181" s="504"/>
      <c r="E181" s="504"/>
      <c r="F181" s="433"/>
      <c r="G181" s="400">
        <f>G180+G179</f>
        <v>3297.4</v>
      </c>
      <c r="H181" s="398">
        <f>G181/G182</f>
        <v>6.6079763047516742E-3</v>
      </c>
      <c r="I181" s="391" t="str">
        <f t="shared" si="27"/>
        <v>ok</v>
      </c>
      <c r="J181" s="391" t="str">
        <f t="shared" si="28"/>
        <v>ok</v>
      </c>
      <c r="L181" s="451">
        <v>3299.7220000000002</v>
      </c>
      <c r="M181" s="449">
        <v>6.599443973602224E-3</v>
      </c>
    </row>
    <row r="182" spans="1:13">
      <c r="A182" s="501" t="s">
        <v>743</v>
      </c>
      <c r="B182" s="501"/>
      <c r="C182" s="501"/>
      <c r="D182" s="501"/>
      <c r="E182" s="501"/>
      <c r="F182" s="434"/>
      <c r="G182" s="401">
        <f>G181+G176</f>
        <v>499003.00000000006</v>
      </c>
      <c r="H182" s="402">
        <v>1</v>
      </c>
      <c r="I182" s="391" t="str">
        <f t="shared" si="27"/>
        <v>ok</v>
      </c>
      <c r="J182" s="391" t="str">
        <f t="shared" si="28"/>
        <v>ok</v>
      </c>
      <c r="L182" s="451">
        <v>500000.00200000004</v>
      </c>
      <c r="M182" s="449">
        <v>1</v>
      </c>
    </row>
  </sheetData>
  <mergeCells count="61">
    <mergeCell ref="A182:E182"/>
    <mergeCell ref="A176:C176"/>
    <mergeCell ref="C177:H177"/>
    <mergeCell ref="A179:E179"/>
    <mergeCell ref="A180:E180"/>
    <mergeCell ref="A181:E181"/>
    <mergeCell ref="C170:H170"/>
    <mergeCell ref="A172:E172"/>
    <mergeCell ref="A173:E173"/>
    <mergeCell ref="A174:E174"/>
    <mergeCell ref="A175:E175"/>
    <mergeCell ref="C154:H154"/>
    <mergeCell ref="C158:H158"/>
    <mergeCell ref="A162:E162"/>
    <mergeCell ref="C163:H163"/>
    <mergeCell ref="A169:E169"/>
    <mergeCell ref="C135:H135"/>
    <mergeCell ref="C136:H136"/>
    <mergeCell ref="C147:H147"/>
    <mergeCell ref="A152:E152"/>
    <mergeCell ref="C153:H153"/>
    <mergeCell ref="A120:E120"/>
    <mergeCell ref="C121:H121"/>
    <mergeCell ref="C122:H122"/>
    <mergeCell ref="C129:H129"/>
    <mergeCell ref="A134:E134"/>
    <mergeCell ref="C85:H85"/>
    <mergeCell ref="C96:H96"/>
    <mergeCell ref="C102:H102"/>
    <mergeCell ref="C108:H108"/>
    <mergeCell ref="C114:H114"/>
    <mergeCell ref="A52:E52"/>
    <mergeCell ref="C53:H53"/>
    <mergeCell ref="A68:E68"/>
    <mergeCell ref="C69:H69"/>
    <mergeCell ref="A84:E84"/>
    <mergeCell ref="C41:H41"/>
    <mergeCell ref="A43:E43"/>
    <mergeCell ref="C44:H44"/>
    <mergeCell ref="A46:E46"/>
    <mergeCell ref="C47:H47"/>
    <mergeCell ref="C30:H30"/>
    <mergeCell ref="C31:H31"/>
    <mergeCell ref="C34:H34"/>
    <mergeCell ref="C38:H38"/>
    <mergeCell ref="A40:E40"/>
    <mergeCell ref="A17:E17"/>
    <mergeCell ref="C18:H18"/>
    <mergeCell ref="A23:E23"/>
    <mergeCell ref="C24:H24"/>
    <mergeCell ref="A29:E29"/>
    <mergeCell ref="C7:H7"/>
    <mergeCell ref="A9:E9"/>
    <mergeCell ref="C10:H10"/>
    <mergeCell ref="A13:E13"/>
    <mergeCell ref="C14:H14"/>
    <mergeCell ref="A1:H1"/>
    <mergeCell ref="A5:H5"/>
    <mergeCell ref="B3:H3"/>
    <mergeCell ref="B4:H4"/>
    <mergeCell ref="B2:H2"/>
  </mergeCells>
  <printOptions horizontalCentered="1"/>
  <pageMargins left="0.51181102362204722" right="0.51181102362204722" top="1.3779527559055118" bottom="0.78740157480314965" header="0.31496062992125984" footer="0.31496062992125984"/>
  <pageSetup paperSize="9" scale="63" orientation="portrait" r:id="rId1"/>
  <headerFooter>
    <oddHeader>&amp;C&amp;G</oddHeader>
    <oddFooter>&amp;C&amp;12&amp;G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6"/>
  <sheetViews>
    <sheetView view="pageBreakPreview" zoomScaleNormal="100" zoomScaleSheetLayoutView="100" workbookViewId="0">
      <selection activeCell="K6" sqref="K6"/>
    </sheetView>
  </sheetViews>
  <sheetFormatPr defaultRowHeight="15"/>
  <cols>
    <col min="1" max="1" width="9.85546875" style="423" customWidth="1"/>
    <col min="2" max="2" width="9.7109375" customWidth="1"/>
    <col min="3" max="3" width="7.5703125" bestFit="1" customWidth="1"/>
    <col min="4" max="4" width="38.7109375" bestFit="1" customWidth="1"/>
    <col min="5" max="5" width="5.85546875" bestFit="1" customWidth="1"/>
    <col min="6" max="6" width="6.140625" bestFit="1" customWidth="1"/>
    <col min="7" max="7" width="8.5703125" hidden="1" customWidth="1"/>
    <col min="8" max="8" width="11.140625" bestFit="1" customWidth="1"/>
    <col min="9" max="9" width="12.28515625" bestFit="1" customWidth="1"/>
    <col min="10" max="10" width="14.7109375" hidden="1" customWidth="1"/>
    <col min="11" max="11" width="14.28515625" customWidth="1"/>
    <col min="12" max="12" width="15.85546875" customWidth="1"/>
    <col min="13" max="13" width="15.5703125" customWidth="1"/>
    <col min="14" max="14" width="9.7109375" customWidth="1"/>
    <col min="15" max="15" width="16.28515625" customWidth="1"/>
  </cols>
  <sheetData>
    <row r="1" spans="1:15" s="87" customFormat="1">
      <c r="A1" s="517" t="s">
        <v>366</v>
      </c>
      <c r="B1" s="518"/>
      <c r="C1" s="518"/>
      <c r="D1" s="518"/>
      <c r="E1" s="518"/>
      <c r="F1" s="518"/>
      <c r="G1" s="518"/>
      <c r="H1" s="518"/>
      <c r="I1" s="519"/>
      <c r="K1" s="513" t="s">
        <v>367</v>
      </c>
      <c r="L1" s="514" t="s">
        <v>368</v>
      </c>
      <c r="M1" s="514"/>
      <c r="N1" s="514"/>
      <c r="O1" s="514"/>
    </row>
    <row r="2" spans="1:15" s="87" customFormat="1">
      <c r="A2" s="520"/>
      <c r="B2" s="521"/>
      <c r="C2" s="521"/>
      <c r="D2" s="521"/>
      <c r="E2" s="521"/>
      <c r="F2" s="521"/>
      <c r="G2" s="521"/>
      <c r="H2" s="521"/>
      <c r="I2" s="522"/>
      <c r="K2" s="513"/>
      <c r="L2" s="514" t="s">
        <v>370</v>
      </c>
      <c r="M2" s="514" t="s">
        <v>371</v>
      </c>
      <c r="N2" s="514" t="s">
        <v>372</v>
      </c>
      <c r="O2" s="514"/>
    </row>
    <row r="3" spans="1:15" s="87" customFormat="1">
      <c r="A3" s="419" t="s">
        <v>369</v>
      </c>
      <c r="B3" s="515" t="s">
        <v>744</v>
      </c>
      <c r="C3" s="515"/>
      <c r="D3" s="515"/>
      <c r="E3" s="515"/>
      <c r="F3" s="515"/>
      <c r="G3" s="515"/>
      <c r="H3" s="515"/>
      <c r="I3" s="516"/>
      <c r="K3" s="513"/>
      <c r="L3" s="514"/>
      <c r="M3" s="514"/>
      <c r="N3" s="302" t="s">
        <v>66</v>
      </c>
      <c r="O3" s="374" t="s">
        <v>207</v>
      </c>
    </row>
    <row r="4" spans="1:15" s="87" customFormat="1" ht="12.75" customHeight="1">
      <c r="A4" s="420" t="s">
        <v>308</v>
      </c>
      <c r="B4" s="403">
        <v>0.29899999999999999</v>
      </c>
      <c r="C4" s="404"/>
      <c r="D4" s="405"/>
      <c r="E4" s="404"/>
      <c r="F4" s="406"/>
      <c r="G4" s="407"/>
      <c r="H4" s="407"/>
      <c r="I4" s="408"/>
      <c r="K4" s="513"/>
      <c r="L4" s="369">
        <v>500000</v>
      </c>
      <c r="M4" s="370">
        <f>'PLANILHA ORÇAMENTÁRIA'!G182</f>
        <v>499003.00000000006</v>
      </c>
      <c r="N4" s="303">
        <f>(L4-M4)/L4</f>
        <v>1.9939999999998835E-3</v>
      </c>
      <c r="O4" s="304">
        <f>L4-M4</f>
        <v>996.99999999994179</v>
      </c>
    </row>
    <row r="5" spans="1:15" s="87" customFormat="1">
      <c r="A5" s="421" t="s">
        <v>425</v>
      </c>
      <c r="B5" s="301" t="s">
        <v>745</v>
      </c>
      <c r="C5" s="301"/>
      <c r="D5" s="301"/>
      <c r="E5" s="301"/>
      <c r="F5" s="301"/>
      <c r="G5" s="301"/>
      <c r="H5" s="301"/>
      <c r="I5" s="367"/>
      <c r="K5" s="305">
        <v>5.0000000000000001E-4</v>
      </c>
      <c r="L5" s="509" t="s">
        <v>373</v>
      </c>
      <c r="M5" s="510"/>
      <c r="N5" s="510"/>
      <c r="O5" s="511"/>
    </row>
    <row r="6" spans="1:15" s="87" customFormat="1">
      <c r="A6" s="366" t="s">
        <v>25</v>
      </c>
      <c r="B6" s="512" t="s">
        <v>374</v>
      </c>
      <c r="C6" s="512"/>
      <c r="D6" s="512"/>
      <c r="E6" s="512"/>
      <c r="F6" s="512"/>
      <c r="G6" s="512"/>
      <c r="H6" s="512"/>
      <c r="I6" s="375" t="s">
        <v>375</v>
      </c>
      <c r="K6" s="306"/>
      <c r="L6" s="306"/>
      <c r="M6" s="306"/>
      <c r="N6" s="306"/>
      <c r="O6" s="306"/>
    </row>
    <row r="7" spans="1:15" s="87" customFormat="1" ht="24.75" customHeight="1">
      <c r="A7" s="409" t="s">
        <v>477</v>
      </c>
      <c r="B7" s="505" t="s">
        <v>478</v>
      </c>
      <c r="C7" s="505"/>
      <c r="D7" s="505"/>
      <c r="E7" s="505"/>
      <c r="F7" s="505"/>
      <c r="G7" s="505"/>
      <c r="H7" s="505"/>
      <c r="I7" s="410" t="str">
        <f>VLOOKUP(A7,'[1]PLANILHA ORÇAMENTÁRIA'!$B$8:$D$8000,3,FALSE)</f>
        <v>M2</v>
      </c>
      <c r="J7" s="307">
        <f>I15</f>
        <v>3.04</v>
      </c>
      <c r="K7" s="306"/>
      <c r="L7" s="306"/>
      <c r="M7" s="306"/>
      <c r="N7" s="306"/>
      <c r="O7" s="306"/>
    </row>
    <row r="8" spans="1:15" s="87" customFormat="1" ht="24">
      <c r="A8" s="308" t="s">
        <v>377</v>
      </c>
      <c r="B8" s="309" t="s">
        <v>378</v>
      </c>
      <c r="C8" s="310" t="s">
        <v>25</v>
      </c>
      <c r="D8" s="310" t="s">
        <v>2</v>
      </c>
      <c r="E8" s="310" t="s">
        <v>375</v>
      </c>
      <c r="F8" s="311" t="s">
        <v>379</v>
      </c>
      <c r="G8" s="312" t="s">
        <v>316</v>
      </c>
      <c r="H8" s="312" t="s">
        <v>380</v>
      </c>
      <c r="I8" s="313" t="s">
        <v>381</v>
      </c>
      <c r="K8" s="306"/>
      <c r="L8" s="306"/>
      <c r="M8" s="306"/>
      <c r="N8" s="306"/>
      <c r="O8" s="306"/>
    </row>
    <row r="9" spans="1:15" s="87" customFormat="1" ht="24">
      <c r="A9" s="422" t="s">
        <v>19</v>
      </c>
      <c r="B9" s="299" t="s">
        <v>385</v>
      </c>
      <c r="C9" s="299">
        <v>337</v>
      </c>
      <c r="D9" s="300" t="s">
        <v>746</v>
      </c>
      <c r="E9" s="299" t="s">
        <v>386</v>
      </c>
      <c r="F9" s="314">
        <v>0.02</v>
      </c>
      <c r="G9" s="315">
        <v>8.56</v>
      </c>
      <c r="H9" s="411">
        <f>IF(E9="H",G9,TRUNC(G9*(1-$K$5),2))</f>
        <v>8.5500000000000007</v>
      </c>
      <c r="I9" s="412">
        <f t="shared" ref="I9" si="0">TRUNC(H9*F9,2)</f>
        <v>0.17</v>
      </c>
      <c r="K9" s="306"/>
      <c r="L9" s="306"/>
      <c r="M9" s="306"/>
      <c r="N9" s="306"/>
      <c r="O9" s="306"/>
    </row>
    <row r="10" spans="1:15" s="87" customFormat="1" ht="36">
      <c r="A10" s="422" t="s">
        <v>19</v>
      </c>
      <c r="B10" s="299" t="s">
        <v>385</v>
      </c>
      <c r="C10" s="299">
        <v>4491</v>
      </c>
      <c r="D10" s="300" t="s">
        <v>430</v>
      </c>
      <c r="E10" s="299" t="s">
        <v>389</v>
      </c>
      <c r="F10" s="314">
        <v>0.12</v>
      </c>
      <c r="G10" s="315">
        <v>2.88</v>
      </c>
      <c r="H10" s="411">
        <f t="shared" ref="H10:H14" si="1">IF(E10="H",G10,TRUNC(G10*(1-$K$5),2))</f>
        <v>2.87</v>
      </c>
      <c r="I10" s="412">
        <f t="shared" ref="I10:I14" si="2">TRUNC(H10*F10,2)</f>
        <v>0.34</v>
      </c>
      <c r="K10" s="306"/>
      <c r="L10" s="306"/>
      <c r="M10" s="306"/>
      <c r="N10" s="306"/>
      <c r="O10" s="306"/>
    </row>
    <row r="11" spans="1:15" s="87" customFormat="1" ht="21.75" customHeight="1">
      <c r="A11" s="422" t="s">
        <v>19</v>
      </c>
      <c r="B11" s="299" t="s">
        <v>385</v>
      </c>
      <c r="C11" s="299">
        <v>5061</v>
      </c>
      <c r="D11" s="300" t="s">
        <v>431</v>
      </c>
      <c r="E11" s="299" t="s">
        <v>386</v>
      </c>
      <c r="F11" s="314">
        <v>0.01</v>
      </c>
      <c r="G11" s="315">
        <v>8.85</v>
      </c>
      <c r="H11" s="411">
        <f t="shared" si="1"/>
        <v>8.84</v>
      </c>
      <c r="I11" s="412">
        <f t="shared" si="2"/>
        <v>0.08</v>
      </c>
      <c r="K11" s="306"/>
      <c r="L11" s="306"/>
      <c r="M11" s="306"/>
      <c r="N11" s="306"/>
      <c r="O11" s="306"/>
    </row>
    <row r="12" spans="1:15" s="87" customFormat="1" ht="31.5" customHeight="1">
      <c r="A12" s="422" t="s">
        <v>19</v>
      </c>
      <c r="B12" s="299" t="s">
        <v>385</v>
      </c>
      <c r="C12" s="299">
        <v>10567</v>
      </c>
      <c r="D12" s="300" t="s">
        <v>747</v>
      </c>
      <c r="E12" s="299" t="s">
        <v>389</v>
      </c>
      <c r="F12" s="314">
        <v>0.1067</v>
      </c>
      <c r="G12" s="315">
        <v>3.55</v>
      </c>
      <c r="H12" s="411">
        <f t="shared" si="1"/>
        <v>3.54</v>
      </c>
      <c r="I12" s="412">
        <f t="shared" si="2"/>
        <v>0.37</v>
      </c>
      <c r="K12" s="306"/>
      <c r="L12" s="306"/>
      <c r="M12" s="306"/>
      <c r="N12" s="306"/>
      <c r="O12" s="306"/>
    </row>
    <row r="13" spans="1:15" s="87" customFormat="1" ht="24">
      <c r="A13" s="422" t="s">
        <v>19</v>
      </c>
      <c r="B13" s="299" t="s">
        <v>382</v>
      </c>
      <c r="C13" s="299">
        <v>88262</v>
      </c>
      <c r="D13" s="300" t="s">
        <v>383</v>
      </c>
      <c r="E13" s="299" t="s">
        <v>161</v>
      </c>
      <c r="F13" s="314">
        <v>0.08</v>
      </c>
      <c r="G13" s="315">
        <v>17.16</v>
      </c>
      <c r="H13" s="411">
        <f t="shared" si="1"/>
        <v>17.16</v>
      </c>
      <c r="I13" s="412">
        <f t="shared" si="2"/>
        <v>1.37</v>
      </c>
      <c r="J13" s="364"/>
      <c r="K13" s="306"/>
      <c r="L13" s="306"/>
      <c r="M13" s="306"/>
      <c r="N13" s="306"/>
      <c r="O13" s="306"/>
    </row>
    <row r="14" spans="1:15" s="87" customFormat="1" ht="24">
      <c r="A14" s="422" t="s">
        <v>19</v>
      </c>
      <c r="B14" s="299" t="s">
        <v>382</v>
      </c>
      <c r="C14" s="299">
        <v>88316</v>
      </c>
      <c r="D14" s="300" t="s">
        <v>384</v>
      </c>
      <c r="E14" s="299" t="s">
        <v>161</v>
      </c>
      <c r="F14" s="314">
        <v>5.1999999999999998E-2</v>
      </c>
      <c r="G14" s="315">
        <v>13.8</v>
      </c>
      <c r="H14" s="411">
        <f t="shared" si="1"/>
        <v>13.8</v>
      </c>
      <c r="I14" s="412">
        <f t="shared" si="2"/>
        <v>0.71</v>
      </c>
      <c r="K14" s="306"/>
      <c r="L14" s="306"/>
      <c r="M14" s="306"/>
      <c r="N14" s="306"/>
      <c r="O14" s="306"/>
    </row>
    <row r="15" spans="1:15" s="87" customFormat="1">
      <c r="A15" s="506" t="s">
        <v>387</v>
      </c>
      <c r="B15" s="506"/>
      <c r="C15" s="506"/>
      <c r="D15" s="506"/>
      <c r="E15" s="506"/>
      <c r="F15" s="506"/>
      <c r="G15" s="506"/>
      <c r="H15" s="507"/>
      <c r="I15" s="365">
        <f>SUM(I9:I14)</f>
        <v>3.04</v>
      </c>
      <c r="K15" s="306"/>
      <c r="L15" s="306"/>
      <c r="M15" s="306"/>
      <c r="N15" s="306"/>
      <c r="O15" s="306"/>
    </row>
    <row r="16" spans="1:15" s="87" customFormat="1">
      <c r="A16" s="508"/>
      <c r="B16" s="508"/>
      <c r="C16" s="508"/>
      <c r="D16" s="508"/>
      <c r="E16" s="508"/>
      <c r="F16" s="508"/>
      <c r="G16" s="508"/>
      <c r="H16" s="508"/>
      <c r="I16" s="508"/>
      <c r="K16" s="306"/>
      <c r="L16" s="306"/>
      <c r="M16" s="306"/>
      <c r="N16" s="306"/>
      <c r="O16" s="306"/>
    </row>
    <row r="17" spans="1:10" s="87" customFormat="1">
      <c r="A17" s="409">
        <v>93358</v>
      </c>
      <c r="B17" s="505" t="s">
        <v>480</v>
      </c>
      <c r="C17" s="505"/>
      <c r="D17" s="505"/>
      <c r="E17" s="505"/>
      <c r="F17" s="505"/>
      <c r="G17" s="505"/>
      <c r="H17" s="505"/>
      <c r="I17" s="410" t="str">
        <f>VLOOKUP(A17,'[1]PLANILHA ORÇAMENTÁRIA'!$B$8:$D$8000,3,FALSE)</f>
        <v>M3</v>
      </c>
      <c r="J17" s="307">
        <f>I20</f>
        <v>54.59</v>
      </c>
    </row>
    <row r="18" spans="1:10" s="87" customFormat="1" ht="24">
      <c r="A18" s="308" t="s">
        <v>377</v>
      </c>
      <c r="B18" s="309" t="s">
        <v>378</v>
      </c>
      <c r="C18" s="310" t="s">
        <v>25</v>
      </c>
      <c r="D18" s="310" t="s">
        <v>2</v>
      </c>
      <c r="E18" s="310" t="s">
        <v>375</v>
      </c>
      <c r="F18" s="311" t="s">
        <v>379</v>
      </c>
      <c r="G18" s="312" t="s">
        <v>316</v>
      </c>
      <c r="H18" s="312" t="s">
        <v>380</v>
      </c>
      <c r="I18" s="313" t="s">
        <v>381</v>
      </c>
    </row>
    <row r="19" spans="1:10" s="87" customFormat="1" ht="24">
      <c r="A19" s="422" t="s">
        <v>19</v>
      </c>
      <c r="B19" s="299" t="s">
        <v>382</v>
      </c>
      <c r="C19" s="299">
        <v>88316</v>
      </c>
      <c r="D19" s="300" t="s">
        <v>384</v>
      </c>
      <c r="E19" s="299" t="s">
        <v>161</v>
      </c>
      <c r="F19" s="314">
        <v>3.956</v>
      </c>
      <c r="G19" s="315">
        <v>13.8</v>
      </c>
      <c r="H19" s="411">
        <f>IF(E19="H",G19,TRUNC(G19*(1-$K$5),2))</f>
        <v>13.8</v>
      </c>
      <c r="I19" s="412">
        <f t="shared" ref="I19" si="3">TRUNC(H19*F19,2)</f>
        <v>54.59</v>
      </c>
    </row>
    <row r="20" spans="1:10" s="87" customFormat="1">
      <c r="A20" s="506" t="s">
        <v>387</v>
      </c>
      <c r="B20" s="506"/>
      <c r="C20" s="506"/>
      <c r="D20" s="506"/>
      <c r="E20" s="506"/>
      <c r="F20" s="506"/>
      <c r="G20" s="506"/>
      <c r="H20" s="507"/>
      <c r="I20" s="365">
        <f>SUM(I19:I19)</f>
        <v>54.59</v>
      </c>
    </row>
    <row r="21" spans="1:10" s="87" customFormat="1">
      <c r="A21" s="508"/>
      <c r="B21" s="508"/>
      <c r="C21" s="508"/>
      <c r="D21" s="508"/>
      <c r="E21" s="508"/>
      <c r="F21" s="508"/>
      <c r="G21" s="508"/>
      <c r="H21" s="508"/>
      <c r="I21" s="508"/>
    </row>
    <row r="22" spans="1:10" s="87" customFormat="1">
      <c r="A22" s="409">
        <v>73361</v>
      </c>
      <c r="B22" s="505" t="s">
        <v>481</v>
      </c>
      <c r="C22" s="505"/>
      <c r="D22" s="505"/>
      <c r="E22" s="505"/>
      <c r="F22" s="505"/>
      <c r="G22" s="505"/>
      <c r="H22" s="505"/>
      <c r="I22" s="410" t="str">
        <f>VLOOKUP(A22,'[1]PLANILHA ORÇAMENTÁRIA'!$B$8:$D$8000,3,FALSE)</f>
        <v>M3</v>
      </c>
      <c r="J22" s="307">
        <f>I31</f>
        <v>341.03999999999996</v>
      </c>
    </row>
    <row r="23" spans="1:10" s="87" customFormat="1" ht="24">
      <c r="A23" s="308" t="s">
        <v>377</v>
      </c>
      <c r="B23" s="309" t="s">
        <v>378</v>
      </c>
      <c r="C23" s="310" t="s">
        <v>25</v>
      </c>
      <c r="D23" s="310" t="s">
        <v>2</v>
      </c>
      <c r="E23" s="310" t="s">
        <v>375</v>
      </c>
      <c r="F23" s="311" t="s">
        <v>379</v>
      </c>
      <c r="G23" s="312" t="s">
        <v>316</v>
      </c>
      <c r="H23" s="312" t="s">
        <v>380</v>
      </c>
      <c r="I23" s="313" t="s">
        <v>381</v>
      </c>
    </row>
    <row r="24" spans="1:10" s="87" customFormat="1" ht="36">
      <c r="A24" s="422" t="s">
        <v>19</v>
      </c>
      <c r="B24" s="299" t="s">
        <v>385</v>
      </c>
      <c r="C24" s="299">
        <v>4730</v>
      </c>
      <c r="D24" s="300" t="s">
        <v>748</v>
      </c>
      <c r="E24" s="299" t="s">
        <v>392</v>
      </c>
      <c r="F24" s="314">
        <v>0.54</v>
      </c>
      <c r="G24" s="315">
        <v>46.42</v>
      </c>
      <c r="H24" s="411">
        <f t="shared" ref="H24:H30" si="4">IF(E24="H",G24,TRUNC(G24*(1-$K$5),2))</f>
        <v>46.39</v>
      </c>
      <c r="I24" s="412">
        <f t="shared" ref="I24:I30" si="5">TRUNC(H24*F24,2)</f>
        <v>25.05</v>
      </c>
    </row>
    <row r="25" spans="1:10" s="87" customFormat="1" ht="24">
      <c r="A25" s="422" t="s">
        <v>19</v>
      </c>
      <c r="B25" s="299" t="s">
        <v>382</v>
      </c>
      <c r="C25" s="299">
        <v>88262</v>
      </c>
      <c r="D25" s="300" t="s">
        <v>383</v>
      </c>
      <c r="E25" s="299" t="s">
        <v>161</v>
      </c>
      <c r="F25" s="314">
        <v>0.46899999999999997</v>
      </c>
      <c r="G25" s="315">
        <v>17.16</v>
      </c>
      <c r="H25" s="411">
        <f t="shared" si="4"/>
        <v>17.16</v>
      </c>
      <c r="I25" s="412">
        <f t="shared" si="5"/>
        <v>8.0399999999999991</v>
      </c>
    </row>
    <row r="26" spans="1:10" s="87" customFormat="1" ht="24">
      <c r="A26" s="422" t="s">
        <v>19</v>
      </c>
      <c r="B26" s="299" t="s">
        <v>382</v>
      </c>
      <c r="C26" s="299">
        <v>88309</v>
      </c>
      <c r="D26" s="300" t="s">
        <v>394</v>
      </c>
      <c r="E26" s="299" t="s">
        <v>161</v>
      </c>
      <c r="F26" s="314">
        <v>0.46899999999999997</v>
      </c>
      <c r="G26" s="315">
        <v>17.260000000000002</v>
      </c>
      <c r="H26" s="411">
        <f t="shared" si="4"/>
        <v>17.260000000000002</v>
      </c>
      <c r="I26" s="412">
        <f t="shared" si="5"/>
        <v>8.09</v>
      </c>
    </row>
    <row r="27" spans="1:10" s="87" customFormat="1" ht="24">
      <c r="A27" s="422" t="s">
        <v>19</v>
      </c>
      <c r="B27" s="299" t="s">
        <v>382</v>
      </c>
      <c r="C27" s="299">
        <v>88316</v>
      </c>
      <c r="D27" s="300" t="s">
        <v>384</v>
      </c>
      <c r="E27" s="299" t="s">
        <v>161</v>
      </c>
      <c r="F27" s="314">
        <v>8.4209999999999994</v>
      </c>
      <c r="G27" s="315">
        <v>13.8</v>
      </c>
      <c r="H27" s="411">
        <f t="shared" si="4"/>
        <v>13.8</v>
      </c>
      <c r="I27" s="412">
        <f t="shared" si="5"/>
        <v>116.2</v>
      </c>
    </row>
    <row r="28" spans="1:10" s="87" customFormat="1" ht="48">
      <c r="A28" s="422" t="s">
        <v>19</v>
      </c>
      <c r="B28" s="299" t="s">
        <v>382</v>
      </c>
      <c r="C28" s="299">
        <v>90586</v>
      </c>
      <c r="D28" s="300" t="s">
        <v>749</v>
      </c>
      <c r="E28" s="299" t="s">
        <v>395</v>
      </c>
      <c r="F28" s="314">
        <v>0.14000000000000001</v>
      </c>
      <c r="G28" s="315">
        <v>1.2</v>
      </c>
      <c r="H28" s="411">
        <f t="shared" si="4"/>
        <v>1.19</v>
      </c>
      <c r="I28" s="412">
        <f t="shared" si="5"/>
        <v>0.16</v>
      </c>
      <c r="J28" s="364"/>
    </row>
    <row r="29" spans="1:10" s="87" customFormat="1" ht="48">
      <c r="A29" s="422" t="s">
        <v>19</v>
      </c>
      <c r="B29" s="299" t="s">
        <v>382</v>
      </c>
      <c r="C29" s="299">
        <v>90587</v>
      </c>
      <c r="D29" s="300" t="s">
        <v>750</v>
      </c>
      <c r="E29" s="299" t="s">
        <v>396</v>
      </c>
      <c r="F29" s="314">
        <v>0.56000000000000005</v>
      </c>
      <c r="G29" s="315">
        <v>0.33</v>
      </c>
      <c r="H29" s="411">
        <f t="shared" si="4"/>
        <v>0.32</v>
      </c>
      <c r="I29" s="412">
        <f t="shared" si="5"/>
        <v>0.17</v>
      </c>
    </row>
    <row r="30" spans="1:10" s="87" customFormat="1" ht="48">
      <c r="A30" s="422"/>
      <c r="B30" s="299" t="s">
        <v>382</v>
      </c>
      <c r="C30" s="299">
        <v>94962</v>
      </c>
      <c r="D30" s="300" t="s">
        <v>391</v>
      </c>
      <c r="E30" s="299" t="s">
        <v>392</v>
      </c>
      <c r="F30" s="314">
        <v>0.7</v>
      </c>
      <c r="G30" s="315">
        <v>262.04000000000002</v>
      </c>
      <c r="H30" s="411">
        <f t="shared" si="4"/>
        <v>261.89999999999998</v>
      </c>
      <c r="I30" s="412">
        <f t="shared" si="5"/>
        <v>183.33</v>
      </c>
    </row>
    <row r="31" spans="1:10" s="87" customFormat="1">
      <c r="A31" s="506" t="s">
        <v>387</v>
      </c>
      <c r="B31" s="506"/>
      <c r="C31" s="506"/>
      <c r="D31" s="506"/>
      <c r="E31" s="506"/>
      <c r="F31" s="506"/>
      <c r="G31" s="506"/>
      <c r="H31" s="507"/>
      <c r="I31" s="365">
        <f>SUM(I24:I30)</f>
        <v>341.03999999999996</v>
      </c>
    </row>
    <row r="32" spans="1:10" s="87" customFormat="1">
      <c r="A32" s="508"/>
      <c r="B32" s="508"/>
      <c r="C32" s="508"/>
      <c r="D32" s="508"/>
      <c r="E32" s="508"/>
      <c r="F32" s="508"/>
      <c r="G32" s="508"/>
      <c r="H32" s="508"/>
      <c r="I32" s="508"/>
    </row>
    <row r="33" spans="1:10" s="87" customFormat="1" ht="42.75" customHeight="1">
      <c r="A33" s="409">
        <v>87506</v>
      </c>
      <c r="B33" s="505" t="s">
        <v>484</v>
      </c>
      <c r="C33" s="505"/>
      <c r="D33" s="505"/>
      <c r="E33" s="505"/>
      <c r="F33" s="505"/>
      <c r="G33" s="505"/>
      <c r="H33" s="505"/>
      <c r="I33" s="410" t="str">
        <f>VLOOKUP(A33,'[1]PLANILHA ORÇAMENTÁRIA'!$B$8:$D$8000,3,FALSE)</f>
        <v>M2</v>
      </c>
      <c r="J33" s="307">
        <f>I41</f>
        <v>49.8</v>
      </c>
    </row>
    <row r="34" spans="1:10" s="87" customFormat="1" ht="24">
      <c r="A34" s="308" t="s">
        <v>377</v>
      </c>
      <c r="B34" s="309" t="s">
        <v>378</v>
      </c>
      <c r="C34" s="310" t="s">
        <v>25</v>
      </c>
      <c r="D34" s="310" t="s">
        <v>2</v>
      </c>
      <c r="E34" s="310" t="s">
        <v>375</v>
      </c>
      <c r="F34" s="311" t="s">
        <v>379</v>
      </c>
      <c r="G34" s="312" t="s">
        <v>316</v>
      </c>
      <c r="H34" s="312" t="s">
        <v>380</v>
      </c>
      <c r="I34" s="313" t="s">
        <v>381</v>
      </c>
    </row>
    <row r="35" spans="1:10" s="87" customFormat="1" ht="48">
      <c r="A35" s="422" t="s">
        <v>19</v>
      </c>
      <c r="B35" s="299" t="s">
        <v>385</v>
      </c>
      <c r="C35" s="299">
        <v>34558</v>
      </c>
      <c r="D35" s="300" t="s">
        <v>751</v>
      </c>
      <c r="E35" s="299" t="s">
        <v>389</v>
      </c>
      <c r="F35" s="314">
        <v>0.42</v>
      </c>
      <c r="G35" s="315">
        <v>1.46</v>
      </c>
      <c r="H35" s="411">
        <f t="shared" ref="H35:H40" si="6">IF(E35="H",G35,TRUNC(G35*(1-$K$5),2))</f>
        <v>1.45</v>
      </c>
      <c r="I35" s="412">
        <f t="shared" ref="I35:I40" si="7">TRUNC(H35*F35,2)</f>
        <v>0.6</v>
      </c>
    </row>
    <row r="36" spans="1:10" s="87" customFormat="1" ht="24">
      <c r="A36" s="422" t="s">
        <v>19</v>
      </c>
      <c r="B36" s="299" t="s">
        <v>385</v>
      </c>
      <c r="C36" s="299">
        <v>37395</v>
      </c>
      <c r="D36" s="300" t="s">
        <v>443</v>
      </c>
      <c r="E36" s="299" t="s">
        <v>444</v>
      </c>
      <c r="F36" s="314">
        <v>0.01</v>
      </c>
      <c r="G36" s="315">
        <v>38.74</v>
      </c>
      <c r="H36" s="411">
        <f t="shared" si="6"/>
        <v>38.72</v>
      </c>
      <c r="I36" s="412">
        <f t="shared" si="7"/>
        <v>0.38</v>
      </c>
    </row>
    <row r="37" spans="1:10" s="87" customFormat="1" ht="36">
      <c r="A37" s="422" t="s">
        <v>19</v>
      </c>
      <c r="B37" s="299" t="s">
        <v>385</v>
      </c>
      <c r="C37" s="299">
        <v>38783</v>
      </c>
      <c r="D37" s="300" t="s">
        <v>752</v>
      </c>
      <c r="E37" s="299" t="s">
        <v>102</v>
      </c>
      <c r="F37" s="314">
        <v>27.93</v>
      </c>
      <c r="G37" s="315">
        <v>0.59</v>
      </c>
      <c r="H37" s="411">
        <f t="shared" si="6"/>
        <v>0.57999999999999996</v>
      </c>
      <c r="I37" s="412">
        <f t="shared" si="7"/>
        <v>16.190000000000001</v>
      </c>
    </row>
    <row r="38" spans="1:10" s="87" customFormat="1" ht="48">
      <c r="A38" s="422" t="s">
        <v>19</v>
      </c>
      <c r="B38" s="299" t="s">
        <v>382</v>
      </c>
      <c r="C38" s="299">
        <v>87369</v>
      </c>
      <c r="D38" s="300" t="s">
        <v>445</v>
      </c>
      <c r="E38" s="299" t="s">
        <v>392</v>
      </c>
      <c r="F38" s="314">
        <v>1.2500000000000001E-2</v>
      </c>
      <c r="G38" s="315">
        <v>466.78</v>
      </c>
      <c r="H38" s="411">
        <f t="shared" si="6"/>
        <v>466.54</v>
      </c>
      <c r="I38" s="412">
        <f t="shared" si="7"/>
        <v>5.83</v>
      </c>
    </row>
    <row r="39" spans="1:10" s="87" customFormat="1" ht="24">
      <c r="A39" s="422" t="s">
        <v>19</v>
      </c>
      <c r="B39" s="299" t="s">
        <v>382</v>
      </c>
      <c r="C39" s="299">
        <v>88309</v>
      </c>
      <c r="D39" s="300" t="s">
        <v>394</v>
      </c>
      <c r="E39" s="299" t="s">
        <v>161</v>
      </c>
      <c r="F39" s="314">
        <v>1.1100000000000001</v>
      </c>
      <c r="G39" s="315">
        <v>17.260000000000002</v>
      </c>
      <c r="H39" s="411">
        <f t="shared" si="6"/>
        <v>17.260000000000002</v>
      </c>
      <c r="I39" s="412">
        <f t="shared" si="7"/>
        <v>19.149999999999999</v>
      </c>
      <c r="J39" s="364"/>
    </row>
    <row r="40" spans="1:10" s="87" customFormat="1" ht="24">
      <c r="A40" s="422" t="s">
        <v>19</v>
      </c>
      <c r="B40" s="299" t="s">
        <v>382</v>
      </c>
      <c r="C40" s="299">
        <v>88316</v>
      </c>
      <c r="D40" s="300" t="s">
        <v>384</v>
      </c>
      <c r="E40" s="299" t="s">
        <v>161</v>
      </c>
      <c r="F40" s="314">
        <v>0.55500000000000005</v>
      </c>
      <c r="G40" s="315">
        <v>13.8</v>
      </c>
      <c r="H40" s="411">
        <f t="shared" si="6"/>
        <v>13.8</v>
      </c>
      <c r="I40" s="412">
        <f t="shared" si="7"/>
        <v>7.65</v>
      </c>
    </row>
    <row r="41" spans="1:10" s="87" customFormat="1">
      <c r="A41" s="506" t="s">
        <v>387</v>
      </c>
      <c r="B41" s="506"/>
      <c r="C41" s="506"/>
      <c r="D41" s="506"/>
      <c r="E41" s="506"/>
      <c r="F41" s="506"/>
      <c r="G41" s="506"/>
      <c r="H41" s="507"/>
      <c r="I41" s="365">
        <f>SUM(I35:I40)</f>
        <v>49.8</v>
      </c>
    </row>
    <row r="42" spans="1:10" s="87" customFormat="1">
      <c r="A42" s="508"/>
      <c r="B42" s="508"/>
      <c r="C42" s="508"/>
      <c r="D42" s="508"/>
      <c r="E42" s="508"/>
      <c r="F42" s="508"/>
      <c r="G42" s="508"/>
      <c r="H42" s="508"/>
      <c r="I42" s="508"/>
    </row>
    <row r="43" spans="1:10" s="87" customFormat="1" ht="29.25" customHeight="1">
      <c r="A43" s="409">
        <v>95465</v>
      </c>
      <c r="B43" s="505" t="s">
        <v>485</v>
      </c>
      <c r="C43" s="505"/>
      <c r="D43" s="505"/>
      <c r="E43" s="505"/>
      <c r="F43" s="505"/>
      <c r="G43" s="505"/>
      <c r="H43" s="505"/>
      <c r="I43" s="410" t="str">
        <f>VLOOKUP(A43,'[1]PLANILHA ORÇAMENTÁRIA'!$B$8:$D$8000,3,FALSE)</f>
        <v>M2</v>
      </c>
      <c r="J43" s="307">
        <f>I50</f>
        <v>86.33</v>
      </c>
    </row>
    <row r="44" spans="1:10" s="87" customFormat="1" ht="24">
      <c r="A44" s="308" t="s">
        <v>377</v>
      </c>
      <c r="B44" s="309" t="s">
        <v>378</v>
      </c>
      <c r="C44" s="310" t="s">
        <v>25</v>
      </c>
      <c r="D44" s="310" t="s">
        <v>2</v>
      </c>
      <c r="E44" s="310" t="s">
        <v>375</v>
      </c>
      <c r="F44" s="311" t="s">
        <v>379</v>
      </c>
      <c r="G44" s="312" t="s">
        <v>316</v>
      </c>
      <c r="H44" s="312" t="s">
        <v>380</v>
      </c>
      <c r="I44" s="313" t="s">
        <v>381</v>
      </c>
    </row>
    <row r="45" spans="1:10" s="87" customFormat="1" ht="24">
      <c r="A45" s="422" t="s">
        <v>19</v>
      </c>
      <c r="B45" s="299" t="s">
        <v>385</v>
      </c>
      <c r="C45" s="299">
        <v>370</v>
      </c>
      <c r="D45" s="300" t="s">
        <v>753</v>
      </c>
      <c r="E45" s="299" t="s">
        <v>392</v>
      </c>
      <c r="F45" s="314">
        <v>1.9E-2</v>
      </c>
      <c r="G45" s="315">
        <v>65.12</v>
      </c>
      <c r="H45" s="411">
        <f t="shared" ref="H45:H49" si="8">IF(E45="H",G45,TRUNC(G45*(1-$K$5),2))</f>
        <v>65.08</v>
      </c>
      <c r="I45" s="412">
        <f t="shared" ref="I45:I49" si="9">TRUNC(H45*F45,2)</f>
        <v>1.23</v>
      </c>
    </row>
    <row r="46" spans="1:10" s="87" customFormat="1">
      <c r="A46" s="422" t="s">
        <v>19</v>
      </c>
      <c r="B46" s="299" t="s">
        <v>385</v>
      </c>
      <c r="C46" s="299">
        <v>1379</v>
      </c>
      <c r="D46" s="300" t="s">
        <v>754</v>
      </c>
      <c r="E46" s="299" t="s">
        <v>386</v>
      </c>
      <c r="F46" s="314">
        <v>2.2799999999999998</v>
      </c>
      <c r="G46" s="315">
        <v>0.57999999999999996</v>
      </c>
      <c r="H46" s="411">
        <f t="shared" si="8"/>
        <v>0.56999999999999995</v>
      </c>
      <c r="I46" s="412">
        <f t="shared" si="9"/>
        <v>1.29</v>
      </c>
    </row>
    <row r="47" spans="1:10" s="87" customFormat="1" ht="36">
      <c r="A47" s="422" t="s">
        <v>463</v>
      </c>
      <c r="B47" s="299" t="s">
        <v>464</v>
      </c>
      <c r="C47" s="299" t="s">
        <v>465</v>
      </c>
      <c r="D47" s="300" t="str">
        <f>B43</f>
        <v>COBOGO CERAMICO (ELEMENTO VAZADO), 9X20X20CM, ASSENTADO COM ARGAMASSA TRACO 1:4 DE CIMENTO E AREIA</v>
      </c>
      <c r="E47" s="299" t="s">
        <v>102</v>
      </c>
      <c r="F47" s="314">
        <v>25</v>
      </c>
      <c r="G47" s="315">
        <v>2.121</v>
      </c>
      <c r="H47" s="411">
        <f t="shared" si="8"/>
        <v>2.11</v>
      </c>
      <c r="I47" s="412">
        <f t="shared" si="9"/>
        <v>52.75</v>
      </c>
    </row>
    <row r="48" spans="1:10" s="87" customFormat="1" ht="24">
      <c r="A48" s="422" t="s">
        <v>19</v>
      </c>
      <c r="B48" s="299" t="s">
        <v>382</v>
      </c>
      <c r="C48" s="299">
        <v>88309</v>
      </c>
      <c r="D48" s="300" t="s">
        <v>394</v>
      </c>
      <c r="E48" s="299" t="s">
        <v>161</v>
      </c>
      <c r="F48" s="314">
        <v>1</v>
      </c>
      <c r="G48" s="315">
        <v>17.260000000000002</v>
      </c>
      <c r="H48" s="411">
        <f t="shared" si="8"/>
        <v>17.260000000000002</v>
      </c>
      <c r="I48" s="412">
        <f t="shared" si="9"/>
        <v>17.260000000000002</v>
      </c>
    </row>
    <row r="49" spans="1:10" s="87" customFormat="1" ht="24">
      <c r="A49" s="422" t="s">
        <v>19</v>
      </c>
      <c r="B49" s="299" t="s">
        <v>382</v>
      </c>
      <c r="C49" s="299">
        <v>88316</v>
      </c>
      <c r="D49" s="300" t="s">
        <v>384</v>
      </c>
      <c r="E49" s="299" t="s">
        <v>161</v>
      </c>
      <c r="F49" s="314">
        <v>1</v>
      </c>
      <c r="G49" s="315">
        <v>13.8</v>
      </c>
      <c r="H49" s="411">
        <f t="shared" si="8"/>
        <v>13.8</v>
      </c>
      <c r="I49" s="412">
        <f t="shared" si="9"/>
        <v>13.8</v>
      </c>
      <c r="J49" s="364"/>
    </row>
    <row r="50" spans="1:10" s="87" customFormat="1">
      <c r="A50" s="506" t="s">
        <v>387</v>
      </c>
      <c r="B50" s="506"/>
      <c r="C50" s="506"/>
      <c r="D50" s="506"/>
      <c r="E50" s="506"/>
      <c r="F50" s="506"/>
      <c r="G50" s="506"/>
      <c r="H50" s="507"/>
      <c r="I50" s="365">
        <f>SUM(I45:I49)</f>
        <v>86.33</v>
      </c>
    </row>
    <row r="51" spans="1:10" s="87" customFormat="1">
      <c r="A51" s="508"/>
      <c r="B51" s="508"/>
      <c r="C51" s="508"/>
      <c r="D51" s="508"/>
      <c r="E51" s="508"/>
      <c r="F51" s="508"/>
      <c r="G51" s="508"/>
      <c r="H51" s="508"/>
      <c r="I51" s="508"/>
    </row>
    <row r="52" spans="1:10" s="87" customFormat="1" ht="29.25" customHeight="1">
      <c r="A52" s="409">
        <v>87878</v>
      </c>
      <c r="B52" s="505" t="s">
        <v>488</v>
      </c>
      <c r="C52" s="505"/>
      <c r="D52" s="505"/>
      <c r="E52" s="505"/>
      <c r="F52" s="505"/>
      <c r="G52" s="505"/>
      <c r="H52" s="505"/>
      <c r="I52" s="410" t="str">
        <f>VLOOKUP(A52,'[1]PLANILHA ORÇAMENTÁRIA'!$B$8:$D$8000,3,FALSE)</f>
        <v>M2</v>
      </c>
      <c r="J52" s="307">
        <f>I57</f>
        <v>3.07</v>
      </c>
    </row>
    <row r="53" spans="1:10" s="87" customFormat="1" ht="24">
      <c r="A53" s="308" t="s">
        <v>377</v>
      </c>
      <c r="B53" s="309" t="s">
        <v>378</v>
      </c>
      <c r="C53" s="310" t="s">
        <v>25</v>
      </c>
      <c r="D53" s="310" t="s">
        <v>2</v>
      </c>
      <c r="E53" s="310" t="s">
        <v>375</v>
      </c>
      <c r="F53" s="311" t="s">
        <v>379</v>
      </c>
      <c r="G53" s="312" t="s">
        <v>316</v>
      </c>
      <c r="H53" s="312" t="s">
        <v>380</v>
      </c>
      <c r="I53" s="313" t="s">
        <v>381</v>
      </c>
    </row>
    <row r="54" spans="1:10" s="87" customFormat="1" ht="36">
      <c r="A54" s="422" t="s">
        <v>19</v>
      </c>
      <c r="B54" s="299" t="s">
        <v>382</v>
      </c>
      <c r="C54" s="299">
        <v>87377</v>
      </c>
      <c r="D54" s="300" t="s">
        <v>755</v>
      </c>
      <c r="E54" s="299" t="s">
        <v>392</v>
      </c>
      <c r="F54" s="314">
        <v>4.1999999999999997E-3</v>
      </c>
      <c r="G54" s="315">
        <v>424.91</v>
      </c>
      <c r="H54" s="411">
        <f t="shared" ref="H54:H56" si="10">IF(E54="H",G54,TRUNC(G54*(1-$K$5),2))</f>
        <v>424.69</v>
      </c>
      <c r="I54" s="412">
        <f t="shared" ref="I54:I56" si="11">TRUNC(H54*F54,2)</f>
        <v>1.78</v>
      </c>
    </row>
    <row r="55" spans="1:10" s="87" customFormat="1" ht="24">
      <c r="A55" s="422" t="s">
        <v>19</v>
      </c>
      <c r="B55" s="299" t="s">
        <v>382</v>
      </c>
      <c r="C55" s="299">
        <v>88309</v>
      </c>
      <c r="D55" s="300" t="s">
        <v>394</v>
      </c>
      <c r="E55" s="299" t="s">
        <v>161</v>
      </c>
      <c r="F55" s="314">
        <v>7.0000000000000007E-2</v>
      </c>
      <c r="G55" s="315">
        <v>17.260000000000002</v>
      </c>
      <c r="H55" s="411">
        <f t="shared" si="10"/>
        <v>17.260000000000002</v>
      </c>
      <c r="I55" s="412">
        <f t="shared" si="11"/>
        <v>1.2</v>
      </c>
    </row>
    <row r="56" spans="1:10" s="87" customFormat="1" ht="24">
      <c r="A56" s="422" t="s">
        <v>19</v>
      </c>
      <c r="B56" s="299" t="s">
        <v>382</v>
      </c>
      <c r="C56" s="299">
        <v>88316</v>
      </c>
      <c r="D56" s="300" t="s">
        <v>384</v>
      </c>
      <c r="E56" s="299" t="s">
        <v>161</v>
      </c>
      <c r="F56" s="314">
        <v>7.0000000000000001E-3</v>
      </c>
      <c r="G56" s="315">
        <v>13.8</v>
      </c>
      <c r="H56" s="411">
        <f t="shared" si="10"/>
        <v>13.8</v>
      </c>
      <c r="I56" s="412">
        <f t="shared" si="11"/>
        <v>0.09</v>
      </c>
    </row>
    <row r="57" spans="1:10" s="87" customFormat="1">
      <c r="A57" s="506" t="s">
        <v>387</v>
      </c>
      <c r="B57" s="506"/>
      <c r="C57" s="506"/>
      <c r="D57" s="506"/>
      <c r="E57" s="506"/>
      <c r="F57" s="506"/>
      <c r="G57" s="506"/>
      <c r="H57" s="507"/>
      <c r="I57" s="365">
        <f>SUM(I54:I56)</f>
        <v>3.07</v>
      </c>
    </row>
    <row r="58" spans="1:10" s="87" customFormat="1">
      <c r="A58" s="508"/>
      <c r="B58" s="508"/>
      <c r="C58" s="508"/>
      <c r="D58" s="508"/>
      <c r="E58" s="508"/>
      <c r="F58" s="508"/>
      <c r="G58" s="508"/>
      <c r="H58" s="508"/>
      <c r="I58" s="508"/>
    </row>
    <row r="59" spans="1:10" s="87" customFormat="1" ht="40.5" customHeight="1">
      <c r="A59" s="409">
        <v>87530</v>
      </c>
      <c r="B59" s="505" t="s">
        <v>489</v>
      </c>
      <c r="C59" s="505"/>
      <c r="D59" s="505"/>
      <c r="E59" s="505"/>
      <c r="F59" s="505"/>
      <c r="G59" s="505"/>
      <c r="H59" s="505"/>
      <c r="I59" s="410" t="str">
        <f>VLOOKUP(A59,'[1]PLANILHA ORÇAMENTÁRIA'!$B$8:$D$8000,3,FALSE)</f>
        <v>M2</v>
      </c>
      <c r="J59" s="307">
        <f>I64</f>
        <v>28</v>
      </c>
    </row>
    <row r="60" spans="1:10" s="87" customFormat="1" ht="24">
      <c r="A60" s="308" t="s">
        <v>377</v>
      </c>
      <c r="B60" s="309" t="s">
        <v>378</v>
      </c>
      <c r="C60" s="310" t="s">
        <v>25</v>
      </c>
      <c r="D60" s="310" t="s">
        <v>2</v>
      </c>
      <c r="E60" s="310" t="s">
        <v>375</v>
      </c>
      <c r="F60" s="311" t="s">
        <v>379</v>
      </c>
      <c r="G60" s="312" t="s">
        <v>316</v>
      </c>
      <c r="H60" s="312" t="s">
        <v>380</v>
      </c>
      <c r="I60" s="313" t="s">
        <v>381</v>
      </c>
    </row>
    <row r="61" spans="1:10" s="87" customFormat="1" ht="48">
      <c r="A61" s="422" t="s">
        <v>19</v>
      </c>
      <c r="B61" s="299" t="s">
        <v>382</v>
      </c>
      <c r="C61" s="299">
        <v>87369</v>
      </c>
      <c r="D61" s="300" t="s">
        <v>445</v>
      </c>
      <c r="E61" s="299" t="s">
        <v>392</v>
      </c>
      <c r="F61" s="314">
        <v>3.7600000000000001E-2</v>
      </c>
      <c r="G61" s="315">
        <v>466.78</v>
      </c>
      <c r="H61" s="411">
        <f t="shared" ref="H61:H63" si="12">IF(E61="H",G61,TRUNC(G61*(1-$K$5),2))</f>
        <v>466.54</v>
      </c>
      <c r="I61" s="412">
        <f t="shared" ref="I61:I63" si="13">TRUNC(H61*F61,2)</f>
        <v>17.54</v>
      </c>
    </row>
    <row r="62" spans="1:10" s="87" customFormat="1" ht="24">
      <c r="A62" s="422" t="s">
        <v>19</v>
      </c>
      <c r="B62" s="299" t="s">
        <v>382</v>
      </c>
      <c r="C62" s="299">
        <v>88309</v>
      </c>
      <c r="D62" s="300" t="s">
        <v>394</v>
      </c>
      <c r="E62" s="299" t="s">
        <v>161</v>
      </c>
      <c r="F62" s="314">
        <v>0.47</v>
      </c>
      <c r="G62" s="315">
        <v>17.260000000000002</v>
      </c>
      <c r="H62" s="411">
        <f t="shared" si="12"/>
        <v>17.260000000000002</v>
      </c>
      <c r="I62" s="412">
        <f t="shared" si="13"/>
        <v>8.11</v>
      </c>
    </row>
    <row r="63" spans="1:10" s="87" customFormat="1" ht="24">
      <c r="A63" s="422" t="s">
        <v>19</v>
      </c>
      <c r="B63" s="299" t="s">
        <v>382</v>
      </c>
      <c r="C63" s="299">
        <v>88316</v>
      </c>
      <c r="D63" s="300" t="s">
        <v>384</v>
      </c>
      <c r="E63" s="299" t="s">
        <v>161</v>
      </c>
      <c r="F63" s="314">
        <v>0.17100000000000001</v>
      </c>
      <c r="G63" s="315">
        <v>13.8</v>
      </c>
      <c r="H63" s="411">
        <f t="shared" si="12"/>
        <v>13.8</v>
      </c>
      <c r="I63" s="412">
        <f t="shared" si="13"/>
        <v>2.35</v>
      </c>
    </row>
    <row r="64" spans="1:10" s="87" customFormat="1">
      <c r="A64" s="506" t="s">
        <v>387</v>
      </c>
      <c r="B64" s="506"/>
      <c r="C64" s="506"/>
      <c r="D64" s="506"/>
      <c r="E64" s="506"/>
      <c r="F64" s="506"/>
      <c r="G64" s="506"/>
      <c r="H64" s="507"/>
      <c r="I64" s="365">
        <f>SUM(I61:I63)</f>
        <v>28</v>
      </c>
    </row>
    <row r="65" spans="1:10" s="87" customFormat="1">
      <c r="A65" s="508"/>
      <c r="B65" s="508"/>
      <c r="C65" s="508"/>
      <c r="D65" s="508"/>
      <c r="E65" s="508"/>
      <c r="F65" s="508"/>
      <c r="G65" s="508"/>
      <c r="H65" s="508"/>
      <c r="I65" s="508"/>
    </row>
    <row r="66" spans="1:10" s="87" customFormat="1" ht="34.5" customHeight="1">
      <c r="A66" s="409">
        <v>87777</v>
      </c>
      <c r="B66" s="505" t="s">
        <v>490</v>
      </c>
      <c r="C66" s="505"/>
      <c r="D66" s="505"/>
      <c r="E66" s="505"/>
      <c r="F66" s="505"/>
      <c r="G66" s="505"/>
      <c r="H66" s="505"/>
      <c r="I66" s="410" t="str">
        <f>VLOOKUP(A66,'[1]PLANILHA ORÇAMENTÁRIA'!$B$8:$D$8000,3,FALSE)</f>
        <v>M2</v>
      </c>
      <c r="J66" s="307">
        <f>I72</f>
        <v>40.370000000000005</v>
      </c>
    </row>
    <row r="67" spans="1:10" s="87" customFormat="1" ht="24">
      <c r="A67" s="308" t="s">
        <v>377</v>
      </c>
      <c r="B67" s="309" t="s">
        <v>378</v>
      </c>
      <c r="C67" s="310" t="s">
        <v>25</v>
      </c>
      <c r="D67" s="310" t="s">
        <v>2</v>
      </c>
      <c r="E67" s="310" t="s">
        <v>375</v>
      </c>
      <c r="F67" s="311" t="s">
        <v>379</v>
      </c>
      <c r="G67" s="312" t="s">
        <v>316</v>
      </c>
      <c r="H67" s="312" t="s">
        <v>380</v>
      </c>
      <c r="I67" s="313" t="s">
        <v>381</v>
      </c>
    </row>
    <row r="68" spans="1:10" s="87" customFormat="1" ht="36">
      <c r="A68" s="422" t="s">
        <v>19</v>
      </c>
      <c r="B68" s="299" t="s">
        <v>385</v>
      </c>
      <c r="C68" s="299">
        <v>37411</v>
      </c>
      <c r="D68" s="300" t="s">
        <v>756</v>
      </c>
      <c r="E68" s="299" t="s">
        <v>376</v>
      </c>
      <c r="F68" s="314">
        <v>0.13880000000000001</v>
      </c>
      <c r="G68" s="315">
        <v>10.93</v>
      </c>
      <c r="H68" s="411">
        <f t="shared" ref="H68:H71" si="14">IF(E68="H",G68,TRUNC(G68*(1-$K$5),2))</f>
        <v>10.92</v>
      </c>
      <c r="I68" s="412">
        <f t="shared" ref="I68:I71" si="15">TRUNC(H68*F68,2)</f>
        <v>1.51</v>
      </c>
    </row>
    <row r="69" spans="1:10" s="87" customFormat="1" ht="48">
      <c r="A69" s="422" t="s">
        <v>19</v>
      </c>
      <c r="B69" s="299" t="s">
        <v>382</v>
      </c>
      <c r="C69" s="299">
        <v>87369</v>
      </c>
      <c r="D69" s="300" t="s">
        <v>445</v>
      </c>
      <c r="E69" s="299" t="s">
        <v>392</v>
      </c>
      <c r="F69" s="314">
        <v>3.1399999999999997E-2</v>
      </c>
      <c r="G69" s="315">
        <v>466.78</v>
      </c>
      <c r="H69" s="411">
        <f t="shared" si="14"/>
        <v>466.54</v>
      </c>
      <c r="I69" s="412">
        <f t="shared" si="15"/>
        <v>14.64</v>
      </c>
    </row>
    <row r="70" spans="1:10" s="87" customFormat="1" ht="24">
      <c r="A70" s="422" t="s">
        <v>19</v>
      </c>
      <c r="B70" s="299" t="s">
        <v>382</v>
      </c>
      <c r="C70" s="299">
        <v>88309</v>
      </c>
      <c r="D70" s="300" t="s">
        <v>394</v>
      </c>
      <c r="E70" s="299" t="s">
        <v>161</v>
      </c>
      <c r="F70" s="314">
        <v>0.78</v>
      </c>
      <c r="G70" s="315">
        <v>17.260000000000002</v>
      </c>
      <c r="H70" s="411">
        <f t="shared" si="14"/>
        <v>17.260000000000002</v>
      </c>
      <c r="I70" s="412">
        <f t="shared" si="15"/>
        <v>13.46</v>
      </c>
    </row>
    <row r="71" spans="1:10" s="87" customFormat="1" ht="24">
      <c r="A71" s="422" t="s">
        <v>19</v>
      </c>
      <c r="B71" s="299" t="s">
        <v>382</v>
      </c>
      <c r="C71" s="299">
        <v>88316</v>
      </c>
      <c r="D71" s="300" t="s">
        <v>384</v>
      </c>
      <c r="E71" s="299" t="s">
        <v>161</v>
      </c>
      <c r="F71" s="314">
        <v>0.78</v>
      </c>
      <c r="G71" s="315">
        <v>13.8</v>
      </c>
      <c r="H71" s="411">
        <f t="shared" si="14"/>
        <v>13.8</v>
      </c>
      <c r="I71" s="412">
        <f t="shared" si="15"/>
        <v>10.76</v>
      </c>
    </row>
    <row r="72" spans="1:10" s="87" customFormat="1">
      <c r="A72" s="506" t="s">
        <v>387</v>
      </c>
      <c r="B72" s="506"/>
      <c r="C72" s="506"/>
      <c r="D72" s="506"/>
      <c r="E72" s="506"/>
      <c r="F72" s="506"/>
      <c r="G72" s="506"/>
      <c r="H72" s="507"/>
      <c r="I72" s="365">
        <f>SUM(I68:I71)</f>
        <v>40.370000000000005</v>
      </c>
    </row>
    <row r="73" spans="1:10" s="87" customFormat="1">
      <c r="A73" s="508"/>
      <c r="B73" s="508"/>
      <c r="C73" s="508"/>
      <c r="D73" s="508"/>
      <c r="E73" s="508"/>
      <c r="F73" s="508"/>
      <c r="G73" s="508"/>
      <c r="H73" s="508"/>
      <c r="I73" s="508"/>
    </row>
    <row r="74" spans="1:10" s="87" customFormat="1" ht="31.5" customHeight="1">
      <c r="A74" s="409">
        <v>87251</v>
      </c>
      <c r="B74" s="505" t="s">
        <v>491</v>
      </c>
      <c r="C74" s="505"/>
      <c r="D74" s="505"/>
      <c r="E74" s="505"/>
      <c r="F74" s="505"/>
      <c r="G74" s="505"/>
      <c r="H74" s="505"/>
      <c r="I74" s="410" t="str">
        <f>VLOOKUP(A74,'[1]PLANILHA ORÇAMENTÁRIA'!$B$8:$D$8000,3,FALSE)</f>
        <v>M2</v>
      </c>
      <c r="J74" s="307">
        <f>I81</f>
        <v>26.089999999999996</v>
      </c>
    </row>
    <row r="75" spans="1:10" s="87" customFormat="1" ht="24">
      <c r="A75" s="308" t="s">
        <v>377</v>
      </c>
      <c r="B75" s="309" t="s">
        <v>378</v>
      </c>
      <c r="C75" s="310" t="s">
        <v>25</v>
      </c>
      <c r="D75" s="310" t="s">
        <v>2</v>
      </c>
      <c r="E75" s="310" t="s">
        <v>375</v>
      </c>
      <c r="F75" s="311" t="s">
        <v>379</v>
      </c>
      <c r="G75" s="312" t="s">
        <v>316</v>
      </c>
      <c r="H75" s="312" t="s">
        <v>380</v>
      </c>
      <c r="I75" s="313" t="s">
        <v>381</v>
      </c>
    </row>
    <row r="76" spans="1:10" s="87" customFormat="1" ht="60">
      <c r="A76" s="422" t="s">
        <v>463</v>
      </c>
      <c r="B76" s="299" t="s">
        <v>464</v>
      </c>
      <c r="C76" s="299" t="s">
        <v>465</v>
      </c>
      <c r="D76" s="300" t="str">
        <f>B74</f>
        <v>REVESTIMENTO CERÂMICO PARA PISO COM PLACAS TIPO ESMALTADA EXTRA DE DIMENSÕES 45X45 CM APLICADA EM AMBIENTES DE ÁREA MAIOR QUE 10 M2. AF_06/2014</v>
      </c>
      <c r="E76" s="299" t="s">
        <v>376</v>
      </c>
      <c r="F76" s="314">
        <v>1.06</v>
      </c>
      <c r="G76" s="315">
        <v>14.11</v>
      </c>
      <c r="H76" s="411">
        <f t="shared" ref="H76:H80" si="16">IF(E76="H",G76,TRUNC(G76*(1-$K$5),2))</f>
        <v>14.1</v>
      </c>
      <c r="I76" s="412">
        <f t="shared" ref="I76:I80" si="17">TRUNC(H76*F76,2)</f>
        <v>14.94</v>
      </c>
    </row>
    <row r="77" spans="1:10" s="87" customFormat="1" ht="24">
      <c r="A77" s="422" t="s">
        <v>19</v>
      </c>
      <c r="B77" s="299" t="s">
        <v>385</v>
      </c>
      <c r="C77" s="299">
        <v>1381</v>
      </c>
      <c r="D77" s="300" t="s">
        <v>458</v>
      </c>
      <c r="E77" s="299" t="s">
        <v>386</v>
      </c>
      <c r="F77" s="314">
        <v>6.14</v>
      </c>
      <c r="G77" s="315">
        <v>0.6</v>
      </c>
      <c r="H77" s="411">
        <f t="shared" si="16"/>
        <v>0.59</v>
      </c>
      <c r="I77" s="412">
        <f t="shared" si="17"/>
        <v>3.62</v>
      </c>
    </row>
    <row r="78" spans="1:10" s="87" customFormat="1">
      <c r="A78" s="422" t="s">
        <v>19</v>
      </c>
      <c r="B78" s="299" t="s">
        <v>385</v>
      </c>
      <c r="C78" s="299">
        <v>34357</v>
      </c>
      <c r="D78" s="300" t="s">
        <v>456</v>
      </c>
      <c r="E78" s="299" t="s">
        <v>386</v>
      </c>
      <c r="F78" s="314">
        <v>0.19</v>
      </c>
      <c r="G78" s="315">
        <v>3.82</v>
      </c>
      <c r="H78" s="411">
        <f t="shared" si="16"/>
        <v>3.81</v>
      </c>
      <c r="I78" s="412">
        <f t="shared" si="17"/>
        <v>0.72</v>
      </c>
    </row>
    <row r="79" spans="1:10" s="87" customFormat="1" ht="24">
      <c r="A79" s="422" t="s">
        <v>19</v>
      </c>
      <c r="B79" s="299" t="s">
        <v>382</v>
      </c>
      <c r="C79" s="299">
        <v>88256</v>
      </c>
      <c r="D79" s="300" t="s">
        <v>457</v>
      </c>
      <c r="E79" s="299" t="s">
        <v>161</v>
      </c>
      <c r="F79" s="314">
        <v>0.26</v>
      </c>
      <c r="G79" s="315">
        <v>18.25</v>
      </c>
      <c r="H79" s="411">
        <f t="shared" si="16"/>
        <v>18.25</v>
      </c>
      <c r="I79" s="412">
        <f t="shared" si="17"/>
        <v>4.74</v>
      </c>
    </row>
    <row r="80" spans="1:10" s="87" customFormat="1" ht="24">
      <c r="A80" s="422" t="s">
        <v>19</v>
      </c>
      <c r="B80" s="299" t="s">
        <v>382</v>
      </c>
      <c r="C80" s="299">
        <v>88316</v>
      </c>
      <c r="D80" s="300" t="s">
        <v>384</v>
      </c>
      <c r="E80" s="299" t="s">
        <v>161</v>
      </c>
      <c r="F80" s="314">
        <v>0.15</v>
      </c>
      <c r="G80" s="315">
        <v>13.8</v>
      </c>
      <c r="H80" s="411">
        <f t="shared" si="16"/>
        <v>13.8</v>
      </c>
      <c r="I80" s="412">
        <f t="shared" si="17"/>
        <v>2.0699999999999998</v>
      </c>
      <c r="J80" s="364"/>
    </row>
    <row r="81" spans="1:10" s="87" customFormat="1">
      <c r="A81" s="506" t="s">
        <v>387</v>
      </c>
      <c r="B81" s="506"/>
      <c r="C81" s="506"/>
      <c r="D81" s="506"/>
      <c r="E81" s="506"/>
      <c r="F81" s="506"/>
      <c r="G81" s="506"/>
      <c r="H81" s="507"/>
      <c r="I81" s="365">
        <f>SUM(I76:I80)</f>
        <v>26.089999999999996</v>
      </c>
    </row>
    <row r="82" spans="1:10" s="87" customFormat="1">
      <c r="A82" s="508"/>
      <c r="B82" s="508"/>
      <c r="C82" s="508"/>
      <c r="D82" s="508"/>
      <c r="E82" s="508"/>
      <c r="F82" s="508"/>
      <c r="G82" s="508"/>
      <c r="H82" s="508"/>
      <c r="I82" s="508"/>
    </row>
    <row r="83" spans="1:10" s="87" customFormat="1">
      <c r="A83" s="409">
        <v>96995</v>
      </c>
      <c r="B83" s="505" t="s">
        <v>493</v>
      </c>
      <c r="C83" s="505"/>
      <c r="D83" s="505"/>
      <c r="E83" s="505"/>
      <c r="F83" s="505"/>
      <c r="G83" s="505"/>
      <c r="H83" s="505"/>
      <c r="I83" s="410" t="str">
        <f>VLOOKUP(A83,'[1]PLANILHA ORÇAMENTÁRIA'!$B$8:$D$8000,3,FALSE)</f>
        <v>M3</v>
      </c>
      <c r="J83" s="307">
        <f>I86</f>
        <v>33.1</v>
      </c>
    </row>
    <row r="84" spans="1:10" s="87" customFormat="1" ht="24">
      <c r="A84" s="308" t="s">
        <v>377</v>
      </c>
      <c r="B84" s="309" t="s">
        <v>378</v>
      </c>
      <c r="C84" s="310" t="s">
        <v>25</v>
      </c>
      <c r="D84" s="310" t="s">
        <v>2</v>
      </c>
      <c r="E84" s="310" t="s">
        <v>375</v>
      </c>
      <c r="F84" s="311" t="s">
        <v>379</v>
      </c>
      <c r="G84" s="312" t="s">
        <v>316</v>
      </c>
      <c r="H84" s="312" t="s">
        <v>380</v>
      </c>
      <c r="I84" s="313" t="s">
        <v>381</v>
      </c>
    </row>
    <row r="85" spans="1:10" s="87" customFormat="1" ht="24">
      <c r="A85" s="422" t="s">
        <v>19</v>
      </c>
      <c r="B85" s="299" t="s">
        <v>382</v>
      </c>
      <c r="C85" s="299">
        <v>88316</v>
      </c>
      <c r="D85" s="300" t="s">
        <v>384</v>
      </c>
      <c r="E85" s="299" t="s">
        <v>161</v>
      </c>
      <c r="F85" s="314">
        <v>2.3986000000000001</v>
      </c>
      <c r="G85" s="315">
        <v>13.8</v>
      </c>
      <c r="H85" s="411">
        <f>IF(E85="H",G85,TRUNC(G85*(1-$K$5),2))</f>
        <v>13.8</v>
      </c>
      <c r="I85" s="412">
        <f t="shared" ref="I85" si="18">TRUNC(H85*F85,2)</f>
        <v>33.1</v>
      </c>
    </row>
    <row r="86" spans="1:10" s="87" customFormat="1">
      <c r="A86" s="506" t="s">
        <v>387</v>
      </c>
      <c r="B86" s="506"/>
      <c r="C86" s="506"/>
      <c r="D86" s="506"/>
      <c r="E86" s="506"/>
      <c r="F86" s="506"/>
      <c r="G86" s="506"/>
      <c r="H86" s="507"/>
      <c r="I86" s="365">
        <f>SUM(I85:I85)</f>
        <v>33.1</v>
      </c>
    </row>
    <row r="87" spans="1:10" s="87" customFormat="1">
      <c r="A87" s="508"/>
      <c r="B87" s="508"/>
      <c r="C87" s="508"/>
      <c r="D87" s="508"/>
      <c r="E87" s="508"/>
      <c r="F87" s="508"/>
      <c r="G87" s="508"/>
      <c r="H87" s="508"/>
      <c r="I87" s="508"/>
    </row>
    <row r="88" spans="1:10" s="87" customFormat="1" ht="31.5" customHeight="1">
      <c r="A88" s="409">
        <v>87757</v>
      </c>
      <c r="B88" s="505" t="s">
        <v>494</v>
      </c>
      <c r="C88" s="505"/>
      <c r="D88" s="505"/>
      <c r="E88" s="505"/>
      <c r="F88" s="505"/>
      <c r="G88" s="505"/>
      <c r="H88" s="505"/>
      <c r="I88" s="410" t="str">
        <f>VLOOKUP(A88,'[1]PLANILHA ORÇAMENTÁRIA'!$B$8:$D$8000,3,FALSE)</f>
        <v>M2</v>
      </c>
      <c r="J88" s="307">
        <f>I94</f>
        <v>38.15</v>
      </c>
    </row>
    <row r="89" spans="1:10" s="87" customFormat="1" ht="24">
      <c r="A89" s="308" t="s">
        <v>377</v>
      </c>
      <c r="B89" s="309" t="s">
        <v>378</v>
      </c>
      <c r="C89" s="310" t="s">
        <v>25</v>
      </c>
      <c r="D89" s="310" t="s">
        <v>2</v>
      </c>
      <c r="E89" s="310" t="s">
        <v>375</v>
      </c>
      <c r="F89" s="311" t="s">
        <v>379</v>
      </c>
      <c r="G89" s="312" t="s">
        <v>316</v>
      </c>
      <c r="H89" s="312" t="s">
        <v>380</v>
      </c>
      <c r="I89" s="313" t="s">
        <v>381</v>
      </c>
    </row>
    <row r="90" spans="1:10" s="87" customFormat="1">
      <c r="A90" s="422" t="s">
        <v>19</v>
      </c>
      <c r="B90" s="299" t="s">
        <v>385</v>
      </c>
      <c r="C90" s="299">
        <v>1379</v>
      </c>
      <c r="D90" s="300" t="s">
        <v>754</v>
      </c>
      <c r="E90" s="299" t="s">
        <v>386</v>
      </c>
      <c r="F90" s="314">
        <v>0.5</v>
      </c>
      <c r="G90" s="315">
        <v>0.57999999999999996</v>
      </c>
      <c r="H90" s="411">
        <f t="shared" ref="H90:H93" si="19">IF(E90="H",G90,TRUNC(G90*(1-$K$5),2))</f>
        <v>0.56999999999999995</v>
      </c>
      <c r="I90" s="412">
        <f t="shared" ref="I90:I93" si="20">TRUNC(H90*F90,2)</f>
        <v>0.28000000000000003</v>
      </c>
    </row>
    <row r="91" spans="1:10" s="87" customFormat="1" ht="36">
      <c r="A91" s="422" t="s">
        <v>19</v>
      </c>
      <c r="B91" s="299" t="s">
        <v>382</v>
      </c>
      <c r="C91" s="299">
        <v>87373</v>
      </c>
      <c r="D91" s="300" t="s">
        <v>757</v>
      </c>
      <c r="E91" s="299" t="s">
        <v>392</v>
      </c>
      <c r="F91" s="314">
        <v>4.3099999999999999E-2</v>
      </c>
      <c r="G91" s="315">
        <v>509.2</v>
      </c>
      <c r="H91" s="411">
        <f t="shared" si="19"/>
        <v>508.94</v>
      </c>
      <c r="I91" s="412">
        <f t="shared" si="20"/>
        <v>21.93</v>
      </c>
    </row>
    <row r="92" spans="1:10" s="87" customFormat="1" ht="24">
      <c r="A92" s="422" t="s">
        <v>19</v>
      </c>
      <c r="B92" s="299" t="s">
        <v>382</v>
      </c>
      <c r="C92" s="299">
        <v>88309</v>
      </c>
      <c r="D92" s="300" t="s">
        <v>394</v>
      </c>
      <c r="E92" s="299" t="s">
        <v>161</v>
      </c>
      <c r="F92" s="314">
        <v>0.66</v>
      </c>
      <c r="G92" s="315">
        <v>17.260000000000002</v>
      </c>
      <c r="H92" s="411">
        <f t="shared" si="19"/>
        <v>17.260000000000002</v>
      </c>
      <c r="I92" s="412">
        <f t="shared" si="20"/>
        <v>11.39</v>
      </c>
    </row>
    <row r="93" spans="1:10" s="87" customFormat="1" ht="24">
      <c r="A93" s="422" t="s">
        <v>19</v>
      </c>
      <c r="B93" s="299" t="s">
        <v>382</v>
      </c>
      <c r="C93" s="299">
        <v>88316</v>
      </c>
      <c r="D93" s="300" t="s">
        <v>384</v>
      </c>
      <c r="E93" s="299" t="s">
        <v>161</v>
      </c>
      <c r="F93" s="314">
        <v>0.33</v>
      </c>
      <c r="G93" s="315">
        <v>13.8</v>
      </c>
      <c r="H93" s="411">
        <f t="shared" si="19"/>
        <v>13.8</v>
      </c>
      <c r="I93" s="412">
        <f t="shared" si="20"/>
        <v>4.55</v>
      </c>
    </row>
    <row r="94" spans="1:10" s="87" customFormat="1">
      <c r="A94" s="506" t="s">
        <v>387</v>
      </c>
      <c r="B94" s="506"/>
      <c r="C94" s="506"/>
      <c r="D94" s="506"/>
      <c r="E94" s="506"/>
      <c r="F94" s="506"/>
      <c r="G94" s="506"/>
      <c r="H94" s="507"/>
      <c r="I94" s="365">
        <f>SUM(I90:I93)</f>
        <v>38.15</v>
      </c>
    </row>
    <row r="95" spans="1:10" s="87" customFormat="1">
      <c r="A95" s="508"/>
      <c r="B95" s="508"/>
      <c r="C95" s="508"/>
      <c r="D95" s="508"/>
      <c r="E95" s="508"/>
      <c r="F95" s="508"/>
      <c r="G95" s="508"/>
      <c r="H95" s="508"/>
      <c r="I95" s="508"/>
    </row>
    <row r="96" spans="1:10" s="87" customFormat="1" ht="33.75" customHeight="1">
      <c r="A96" s="409">
        <v>94990</v>
      </c>
      <c r="B96" s="505" t="s">
        <v>495</v>
      </c>
      <c r="C96" s="505"/>
      <c r="D96" s="505"/>
      <c r="E96" s="505"/>
      <c r="F96" s="505"/>
      <c r="G96" s="505"/>
      <c r="H96" s="505"/>
      <c r="I96" s="410" t="str">
        <f>VLOOKUP(A96,'[1]PLANILHA ORÇAMENTÁRIA'!$B$8:$D$8000,3,FALSE)</f>
        <v>M3</v>
      </c>
      <c r="J96" s="307">
        <f>I104</f>
        <v>408.53</v>
      </c>
    </row>
    <row r="97" spans="1:10" s="87" customFormat="1" ht="24">
      <c r="A97" s="308" t="s">
        <v>377</v>
      </c>
      <c r="B97" s="309" t="s">
        <v>378</v>
      </c>
      <c r="C97" s="310" t="s">
        <v>25</v>
      </c>
      <c r="D97" s="310" t="s">
        <v>2</v>
      </c>
      <c r="E97" s="310" t="s">
        <v>375</v>
      </c>
      <c r="F97" s="311" t="s">
        <v>379</v>
      </c>
      <c r="G97" s="312" t="s">
        <v>316</v>
      </c>
      <c r="H97" s="312" t="s">
        <v>380</v>
      </c>
      <c r="I97" s="313" t="s">
        <v>381</v>
      </c>
    </row>
    <row r="98" spans="1:10" s="87" customFormat="1" ht="36">
      <c r="A98" s="422" t="s">
        <v>19</v>
      </c>
      <c r="B98" s="299" t="s">
        <v>385</v>
      </c>
      <c r="C98" s="299">
        <v>4460</v>
      </c>
      <c r="D98" s="300" t="s">
        <v>758</v>
      </c>
      <c r="E98" s="299" t="s">
        <v>389</v>
      </c>
      <c r="F98" s="314">
        <v>2.5</v>
      </c>
      <c r="G98" s="315">
        <v>7.56</v>
      </c>
      <c r="H98" s="411">
        <f t="shared" ref="H98:H103" si="21">IF(E98="H",G98,TRUNC(G98*(1-$K$5),2))</f>
        <v>7.55</v>
      </c>
      <c r="I98" s="412">
        <f t="shared" ref="I98:I103" si="22">TRUNC(H98*F98,2)</f>
        <v>18.87</v>
      </c>
    </row>
    <row r="99" spans="1:10" s="87" customFormat="1" ht="36">
      <c r="A99" s="422" t="s">
        <v>19</v>
      </c>
      <c r="B99" s="299" t="s">
        <v>385</v>
      </c>
      <c r="C99" s="299">
        <v>4517</v>
      </c>
      <c r="D99" s="300" t="s">
        <v>759</v>
      </c>
      <c r="E99" s="299" t="s">
        <v>389</v>
      </c>
      <c r="F99" s="314">
        <v>2</v>
      </c>
      <c r="G99" s="315">
        <v>1.03</v>
      </c>
      <c r="H99" s="411">
        <f t="shared" si="21"/>
        <v>1.02</v>
      </c>
      <c r="I99" s="412">
        <f t="shared" si="22"/>
        <v>2.04</v>
      </c>
    </row>
    <row r="100" spans="1:10" s="87" customFormat="1" ht="24">
      <c r="A100" s="422" t="s">
        <v>19</v>
      </c>
      <c r="B100" s="299" t="s">
        <v>382</v>
      </c>
      <c r="C100" s="299">
        <v>88262</v>
      </c>
      <c r="D100" s="300" t="s">
        <v>383</v>
      </c>
      <c r="E100" s="299" t="s">
        <v>161</v>
      </c>
      <c r="F100" s="314">
        <v>1.1220000000000001</v>
      </c>
      <c r="G100" s="315">
        <v>17.16</v>
      </c>
      <c r="H100" s="411">
        <f t="shared" si="21"/>
        <v>17.16</v>
      </c>
      <c r="I100" s="412">
        <f t="shared" si="22"/>
        <v>19.25</v>
      </c>
    </row>
    <row r="101" spans="1:10" s="87" customFormat="1" ht="24">
      <c r="A101" s="422" t="s">
        <v>19</v>
      </c>
      <c r="B101" s="299" t="s">
        <v>382</v>
      </c>
      <c r="C101" s="299">
        <v>88309</v>
      </c>
      <c r="D101" s="300" t="s">
        <v>394</v>
      </c>
      <c r="E101" s="299" t="s">
        <v>161</v>
      </c>
      <c r="F101" s="314">
        <v>1</v>
      </c>
      <c r="G101" s="315">
        <v>17.260000000000002</v>
      </c>
      <c r="H101" s="411">
        <f t="shared" si="21"/>
        <v>17.260000000000002</v>
      </c>
      <c r="I101" s="412">
        <f t="shared" si="22"/>
        <v>17.260000000000002</v>
      </c>
    </row>
    <row r="102" spans="1:10" s="87" customFormat="1" ht="24">
      <c r="A102" s="422" t="s">
        <v>19</v>
      </c>
      <c r="B102" s="299" t="s">
        <v>382</v>
      </c>
      <c r="C102" s="299">
        <v>88316</v>
      </c>
      <c r="D102" s="300" t="s">
        <v>384</v>
      </c>
      <c r="E102" s="299" t="s">
        <v>161</v>
      </c>
      <c r="F102" s="314">
        <v>2</v>
      </c>
      <c r="G102" s="315">
        <v>13.8</v>
      </c>
      <c r="H102" s="411">
        <f t="shared" si="21"/>
        <v>13.8</v>
      </c>
      <c r="I102" s="412">
        <f t="shared" si="22"/>
        <v>27.6</v>
      </c>
    </row>
    <row r="103" spans="1:10" s="87" customFormat="1" ht="48">
      <c r="A103" s="422" t="s">
        <v>19</v>
      </c>
      <c r="B103" s="299" t="s">
        <v>382</v>
      </c>
      <c r="C103" s="299">
        <v>94964</v>
      </c>
      <c r="D103" s="300" t="s">
        <v>760</v>
      </c>
      <c r="E103" s="299" t="s">
        <v>392</v>
      </c>
      <c r="F103" s="314">
        <v>1</v>
      </c>
      <c r="G103" s="315">
        <v>323.68</v>
      </c>
      <c r="H103" s="411">
        <f t="shared" si="21"/>
        <v>323.51</v>
      </c>
      <c r="I103" s="412">
        <f t="shared" si="22"/>
        <v>323.51</v>
      </c>
      <c r="J103" s="364"/>
    </row>
    <row r="104" spans="1:10" s="87" customFormat="1">
      <c r="A104" s="506" t="s">
        <v>387</v>
      </c>
      <c r="B104" s="506"/>
      <c r="C104" s="506"/>
      <c r="D104" s="506"/>
      <c r="E104" s="506"/>
      <c r="F104" s="506"/>
      <c r="G104" s="506"/>
      <c r="H104" s="507"/>
      <c r="I104" s="365">
        <f>SUM(I98:I103)</f>
        <v>408.53</v>
      </c>
    </row>
    <row r="105" spans="1:10" s="87" customFormat="1">
      <c r="A105" s="508"/>
      <c r="B105" s="508"/>
      <c r="C105" s="508"/>
      <c r="D105" s="508"/>
      <c r="E105" s="508"/>
      <c r="F105" s="508"/>
      <c r="G105" s="508"/>
      <c r="H105" s="508"/>
      <c r="I105" s="508"/>
    </row>
    <row r="106" spans="1:10" s="87" customFormat="1" ht="24">
      <c r="A106" s="409" t="s">
        <v>499</v>
      </c>
      <c r="B106" s="505" t="s">
        <v>500</v>
      </c>
      <c r="C106" s="505"/>
      <c r="D106" s="505"/>
      <c r="E106" s="505"/>
      <c r="F106" s="505"/>
      <c r="G106" s="505"/>
      <c r="H106" s="505"/>
      <c r="I106" s="410" t="str">
        <f>VLOOKUP(A106,'[1]PLANILHA ORÇAMENTÁRIA'!$B$8:$D$8000,3,FALSE)</f>
        <v>M2</v>
      </c>
      <c r="J106" s="307">
        <f>I112</f>
        <v>65.08</v>
      </c>
    </row>
    <row r="107" spans="1:10" s="87" customFormat="1" ht="24">
      <c r="A107" s="308" t="s">
        <v>377</v>
      </c>
      <c r="B107" s="309" t="s">
        <v>378</v>
      </c>
      <c r="C107" s="310" t="s">
        <v>25</v>
      </c>
      <c r="D107" s="310" t="s">
        <v>2</v>
      </c>
      <c r="E107" s="310" t="s">
        <v>375</v>
      </c>
      <c r="F107" s="311" t="s">
        <v>379</v>
      </c>
      <c r="G107" s="312" t="s">
        <v>316</v>
      </c>
      <c r="H107" s="312" t="s">
        <v>380</v>
      </c>
      <c r="I107" s="313" t="s">
        <v>381</v>
      </c>
    </row>
    <row r="108" spans="1:10" s="87" customFormat="1" ht="36">
      <c r="A108" s="422" t="s">
        <v>19</v>
      </c>
      <c r="B108" s="299" t="s">
        <v>385</v>
      </c>
      <c r="C108" s="413">
        <v>4425</v>
      </c>
      <c r="D108" s="414" t="s">
        <v>435</v>
      </c>
      <c r="E108" s="415" t="s">
        <v>389</v>
      </c>
      <c r="F108" s="416">
        <v>3.05</v>
      </c>
      <c r="G108" s="417">
        <v>15.99</v>
      </c>
      <c r="H108" s="411">
        <f t="shared" ref="H108:H111" si="23">IF(E108="H",G108,TRUNC(G108*(1-$K$5),2))</f>
        <v>15.98</v>
      </c>
      <c r="I108" s="412">
        <f t="shared" ref="I108:I111" si="24">TRUNC(H108*F108,2)</f>
        <v>48.73</v>
      </c>
    </row>
    <row r="109" spans="1:10" s="87" customFormat="1" ht="24">
      <c r="A109" s="422" t="s">
        <v>19</v>
      </c>
      <c r="B109" s="299" t="s">
        <v>385</v>
      </c>
      <c r="C109" s="413">
        <v>40568</v>
      </c>
      <c r="D109" s="414" t="s">
        <v>761</v>
      </c>
      <c r="E109" s="415" t="s">
        <v>386</v>
      </c>
      <c r="F109" s="416">
        <v>0.5</v>
      </c>
      <c r="G109" s="417">
        <v>9.07</v>
      </c>
      <c r="H109" s="411">
        <f t="shared" si="23"/>
        <v>9.06</v>
      </c>
      <c r="I109" s="412">
        <f t="shared" si="24"/>
        <v>4.53</v>
      </c>
    </row>
    <row r="110" spans="1:10" s="87" customFormat="1" ht="24">
      <c r="A110" s="422" t="s">
        <v>19</v>
      </c>
      <c r="B110" s="299" t="s">
        <v>385</v>
      </c>
      <c r="C110" s="413">
        <v>88309</v>
      </c>
      <c r="D110" s="414" t="s">
        <v>394</v>
      </c>
      <c r="E110" s="415" t="s">
        <v>161</v>
      </c>
      <c r="F110" s="416">
        <v>0.54120000000000001</v>
      </c>
      <c r="G110" s="417">
        <v>17.260000000000002</v>
      </c>
      <c r="H110" s="411">
        <f t="shared" si="23"/>
        <v>17.260000000000002</v>
      </c>
      <c r="I110" s="412">
        <f t="shared" si="24"/>
        <v>9.34</v>
      </c>
    </row>
    <row r="111" spans="1:10" s="87" customFormat="1" ht="24">
      <c r="A111" s="422" t="s">
        <v>19</v>
      </c>
      <c r="B111" s="299" t="s">
        <v>382</v>
      </c>
      <c r="C111" s="413">
        <v>88316</v>
      </c>
      <c r="D111" s="414" t="s">
        <v>384</v>
      </c>
      <c r="E111" s="415" t="s">
        <v>161</v>
      </c>
      <c r="F111" s="416">
        <v>0.18</v>
      </c>
      <c r="G111" s="417">
        <v>13.8</v>
      </c>
      <c r="H111" s="411">
        <f t="shared" si="23"/>
        <v>13.8</v>
      </c>
      <c r="I111" s="412">
        <f t="shared" si="24"/>
        <v>2.48</v>
      </c>
    </row>
    <row r="112" spans="1:10" s="87" customFormat="1">
      <c r="A112" s="506" t="s">
        <v>387</v>
      </c>
      <c r="B112" s="506"/>
      <c r="C112" s="506"/>
      <c r="D112" s="506"/>
      <c r="E112" s="506"/>
      <c r="F112" s="506"/>
      <c r="G112" s="506"/>
      <c r="H112" s="507"/>
      <c r="I112" s="365">
        <f>SUM(I108:I111)</f>
        <v>65.08</v>
      </c>
    </row>
    <row r="113" spans="1:10" s="87" customFormat="1">
      <c r="A113" s="508"/>
      <c r="B113" s="508"/>
      <c r="C113" s="508"/>
      <c r="D113" s="508"/>
      <c r="E113" s="508"/>
      <c r="F113" s="508"/>
      <c r="G113" s="508"/>
      <c r="H113" s="508"/>
      <c r="I113" s="508"/>
    </row>
    <row r="114" spans="1:10" s="87" customFormat="1" ht="24">
      <c r="A114" s="409" t="s">
        <v>501</v>
      </c>
      <c r="B114" s="505" t="s">
        <v>502</v>
      </c>
      <c r="C114" s="505"/>
      <c r="D114" s="505"/>
      <c r="E114" s="505"/>
      <c r="F114" s="505"/>
      <c r="G114" s="505"/>
      <c r="H114" s="505"/>
      <c r="I114" s="410" t="str">
        <f>VLOOKUP(A114,'[1]PLANILHA ORÇAMENTÁRIA'!$B$8:$D$8000,3,FALSE)</f>
        <v>M2</v>
      </c>
      <c r="J114" s="307">
        <f>I121</f>
        <v>52.01</v>
      </c>
    </row>
    <row r="115" spans="1:10" s="87" customFormat="1" ht="24">
      <c r="A115" s="308" t="s">
        <v>377</v>
      </c>
      <c r="B115" s="309" t="s">
        <v>378</v>
      </c>
      <c r="C115" s="310" t="s">
        <v>25</v>
      </c>
      <c r="D115" s="310" t="s">
        <v>2</v>
      </c>
      <c r="E115" s="310" t="s">
        <v>375</v>
      </c>
      <c r="F115" s="311" t="s">
        <v>379</v>
      </c>
      <c r="G115" s="312" t="s">
        <v>316</v>
      </c>
      <c r="H115" s="312" t="s">
        <v>380</v>
      </c>
      <c r="I115" s="313" t="s">
        <v>381</v>
      </c>
    </row>
    <row r="116" spans="1:10" s="87" customFormat="1" ht="36">
      <c r="A116" s="422" t="s">
        <v>19</v>
      </c>
      <c r="B116" s="299" t="s">
        <v>385</v>
      </c>
      <c r="C116" s="415">
        <v>1607</v>
      </c>
      <c r="D116" s="414" t="s">
        <v>438</v>
      </c>
      <c r="E116" s="415" t="s">
        <v>439</v>
      </c>
      <c r="F116" s="418">
        <v>2</v>
      </c>
      <c r="G116" s="417">
        <v>0.15</v>
      </c>
      <c r="H116" s="411">
        <f t="shared" ref="H116:H120" si="25">IF(E116="H",G116,TRUNC(G116*(1-$K$5),2))</f>
        <v>0.14000000000000001</v>
      </c>
      <c r="I116" s="412">
        <f t="shared" ref="I116:I120" si="26">TRUNC(H116*F116,2)</f>
        <v>0.28000000000000003</v>
      </c>
    </row>
    <row r="117" spans="1:10" s="87" customFormat="1" ht="36">
      <c r="A117" s="422" t="s">
        <v>19</v>
      </c>
      <c r="B117" s="299" t="s">
        <v>385</v>
      </c>
      <c r="C117" s="415">
        <v>4302</v>
      </c>
      <c r="D117" s="414" t="s">
        <v>440</v>
      </c>
      <c r="E117" s="415" t="s">
        <v>472</v>
      </c>
      <c r="F117" s="418">
        <v>2</v>
      </c>
      <c r="G117" s="417">
        <v>2.2799999999999998</v>
      </c>
      <c r="H117" s="411">
        <f t="shared" si="25"/>
        <v>2.27</v>
      </c>
      <c r="I117" s="412">
        <f t="shared" si="26"/>
        <v>4.54</v>
      </c>
    </row>
    <row r="118" spans="1:10" s="87" customFormat="1" ht="24">
      <c r="A118" s="422" t="s">
        <v>19</v>
      </c>
      <c r="B118" s="299" t="s">
        <v>385</v>
      </c>
      <c r="C118" s="415">
        <v>7194</v>
      </c>
      <c r="D118" s="414" t="s">
        <v>762</v>
      </c>
      <c r="E118" s="415" t="s">
        <v>376</v>
      </c>
      <c r="F118" s="418">
        <v>1.27</v>
      </c>
      <c r="G118" s="417">
        <v>30.12</v>
      </c>
      <c r="H118" s="411">
        <f t="shared" si="25"/>
        <v>30.1</v>
      </c>
      <c r="I118" s="412">
        <f t="shared" si="26"/>
        <v>38.22</v>
      </c>
    </row>
    <row r="119" spans="1:10" s="87" customFormat="1" ht="24">
      <c r="A119" s="422" t="s">
        <v>19</v>
      </c>
      <c r="B119" s="299" t="s">
        <v>382</v>
      </c>
      <c r="C119" s="413">
        <v>88309</v>
      </c>
      <c r="D119" s="414" t="s">
        <v>394</v>
      </c>
      <c r="E119" s="415" t="s">
        <v>161</v>
      </c>
      <c r="F119" s="418">
        <v>0.41099999999999998</v>
      </c>
      <c r="G119" s="417">
        <v>17.260000000000002</v>
      </c>
      <c r="H119" s="411">
        <f t="shared" si="25"/>
        <v>17.260000000000002</v>
      </c>
      <c r="I119" s="412">
        <f t="shared" si="26"/>
        <v>7.09</v>
      </c>
    </row>
    <row r="120" spans="1:10" s="87" customFormat="1" ht="24">
      <c r="A120" s="422" t="s">
        <v>19</v>
      </c>
      <c r="B120" s="299" t="s">
        <v>382</v>
      </c>
      <c r="C120" s="413">
        <v>88316</v>
      </c>
      <c r="D120" s="414" t="s">
        <v>384</v>
      </c>
      <c r="E120" s="415" t="s">
        <v>161</v>
      </c>
      <c r="F120" s="418">
        <v>0.13666666666666666</v>
      </c>
      <c r="G120" s="417">
        <v>13.8</v>
      </c>
      <c r="H120" s="411">
        <f t="shared" si="25"/>
        <v>13.8</v>
      </c>
      <c r="I120" s="412">
        <f t="shared" si="26"/>
        <v>1.88</v>
      </c>
    </row>
    <row r="121" spans="1:10" s="87" customFormat="1">
      <c r="A121" s="506" t="s">
        <v>387</v>
      </c>
      <c r="B121" s="506"/>
      <c r="C121" s="506"/>
      <c r="D121" s="506"/>
      <c r="E121" s="506"/>
      <c r="F121" s="506"/>
      <c r="G121" s="506"/>
      <c r="H121" s="507"/>
      <c r="I121" s="365">
        <f>SUM(I116:I120)</f>
        <v>52.01</v>
      </c>
    </row>
    <row r="122" spans="1:10" s="87" customFormat="1">
      <c r="A122" s="508"/>
      <c r="B122" s="508"/>
      <c r="C122" s="508"/>
      <c r="D122" s="508"/>
      <c r="E122" s="508"/>
      <c r="F122" s="508"/>
      <c r="G122" s="508"/>
      <c r="H122" s="508"/>
      <c r="I122" s="508"/>
    </row>
    <row r="123" spans="1:10" s="87" customFormat="1" ht="33" customHeight="1">
      <c r="A123" s="409">
        <v>92785</v>
      </c>
      <c r="B123" s="505" t="s">
        <v>504</v>
      </c>
      <c r="C123" s="505"/>
      <c r="D123" s="505"/>
      <c r="E123" s="505"/>
      <c r="F123" s="505"/>
      <c r="G123" s="505"/>
      <c r="H123" s="505"/>
      <c r="I123" s="410" t="str">
        <f>VLOOKUP(A123,'[1]PLANILHA ORÇAMENTÁRIA'!$B$8:$D$8000,3,FALSE)</f>
        <v>KG</v>
      </c>
      <c r="J123" s="307">
        <f>I130</f>
        <v>8.2200000000000006</v>
      </c>
    </row>
    <row r="124" spans="1:10" s="87" customFormat="1" ht="24">
      <c r="A124" s="308" t="s">
        <v>377</v>
      </c>
      <c r="B124" s="309" t="s">
        <v>378</v>
      </c>
      <c r="C124" s="310" t="s">
        <v>25</v>
      </c>
      <c r="D124" s="310" t="s">
        <v>2</v>
      </c>
      <c r="E124" s="310" t="s">
        <v>375</v>
      </c>
      <c r="F124" s="311" t="s">
        <v>379</v>
      </c>
      <c r="G124" s="312" t="s">
        <v>316</v>
      </c>
      <c r="H124" s="312" t="s">
        <v>380</v>
      </c>
      <c r="I124" s="313" t="s">
        <v>381</v>
      </c>
    </row>
    <row r="125" spans="1:10" s="87" customFormat="1" ht="24">
      <c r="A125" s="422" t="s">
        <v>19</v>
      </c>
      <c r="B125" s="299" t="s">
        <v>385</v>
      </c>
      <c r="C125" s="299">
        <v>337</v>
      </c>
      <c r="D125" s="300" t="s">
        <v>746</v>
      </c>
      <c r="E125" s="299" t="s">
        <v>386</v>
      </c>
      <c r="F125" s="314">
        <v>2.5000000000000001E-2</v>
      </c>
      <c r="G125" s="315">
        <v>8.56</v>
      </c>
      <c r="H125" s="411">
        <f t="shared" ref="H125:H129" si="27">IF(E125="H",G125,TRUNC(G125*(1-$K$5),2))</f>
        <v>8.5500000000000007</v>
      </c>
      <c r="I125" s="412">
        <f t="shared" ref="I125:I129" si="28">TRUNC(H125*F125,2)</f>
        <v>0.21</v>
      </c>
    </row>
    <row r="126" spans="1:10" s="87" customFormat="1" ht="48">
      <c r="A126" s="422" t="s">
        <v>19</v>
      </c>
      <c r="B126" s="299" t="s">
        <v>385</v>
      </c>
      <c r="C126" s="299">
        <v>39017</v>
      </c>
      <c r="D126" s="300" t="s">
        <v>442</v>
      </c>
      <c r="E126" s="299" t="s">
        <v>102</v>
      </c>
      <c r="F126" s="314">
        <v>1.333</v>
      </c>
      <c r="G126" s="315">
        <v>0.12</v>
      </c>
      <c r="H126" s="411">
        <f t="shared" si="27"/>
        <v>0.11</v>
      </c>
      <c r="I126" s="412">
        <f t="shared" si="28"/>
        <v>0.14000000000000001</v>
      </c>
    </row>
    <row r="127" spans="1:10" s="87" customFormat="1" ht="24">
      <c r="A127" s="422" t="s">
        <v>19</v>
      </c>
      <c r="B127" s="299" t="s">
        <v>382</v>
      </c>
      <c r="C127" s="299">
        <v>88238</v>
      </c>
      <c r="D127" s="300" t="s">
        <v>763</v>
      </c>
      <c r="E127" s="299" t="s">
        <v>161</v>
      </c>
      <c r="F127" s="314">
        <v>1.9099999999999999E-2</v>
      </c>
      <c r="G127" s="315">
        <v>13.39</v>
      </c>
      <c r="H127" s="411">
        <f t="shared" si="27"/>
        <v>13.39</v>
      </c>
      <c r="I127" s="412">
        <f t="shared" si="28"/>
        <v>0.25</v>
      </c>
    </row>
    <row r="128" spans="1:10" s="87" customFormat="1" ht="24">
      <c r="A128" s="422" t="s">
        <v>19</v>
      </c>
      <c r="B128" s="299" t="s">
        <v>382</v>
      </c>
      <c r="C128" s="299">
        <v>88245</v>
      </c>
      <c r="D128" s="300" t="s">
        <v>764</v>
      </c>
      <c r="E128" s="299" t="s">
        <v>161</v>
      </c>
      <c r="F128" s="314">
        <v>0.1168</v>
      </c>
      <c r="G128" s="315">
        <v>17.16</v>
      </c>
      <c r="H128" s="411">
        <f t="shared" si="27"/>
        <v>17.16</v>
      </c>
      <c r="I128" s="412">
        <f t="shared" si="28"/>
        <v>2</v>
      </c>
    </row>
    <row r="129" spans="1:10" s="87" customFormat="1" ht="24">
      <c r="A129" s="422" t="s">
        <v>19</v>
      </c>
      <c r="B129" s="299" t="s">
        <v>382</v>
      </c>
      <c r="C129" s="299">
        <v>92801</v>
      </c>
      <c r="D129" s="300" t="s">
        <v>765</v>
      </c>
      <c r="E129" s="299" t="s">
        <v>386</v>
      </c>
      <c r="F129" s="314">
        <v>1</v>
      </c>
      <c r="G129" s="315">
        <v>5.63</v>
      </c>
      <c r="H129" s="411">
        <f t="shared" si="27"/>
        <v>5.62</v>
      </c>
      <c r="I129" s="412">
        <f t="shared" si="28"/>
        <v>5.62</v>
      </c>
    </row>
    <row r="130" spans="1:10" s="87" customFormat="1">
      <c r="A130" s="506" t="s">
        <v>387</v>
      </c>
      <c r="B130" s="506"/>
      <c r="C130" s="506"/>
      <c r="D130" s="506"/>
      <c r="E130" s="506"/>
      <c r="F130" s="506"/>
      <c r="G130" s="506"/>
      <c r="H130" s="507"/>
      <c r="I130" s="365">
        <f>SUM(I125:I129)</f>
        <v>8.2200000000000006</v>
      </c>
    </row>
    <row r="131" spans="1:10" s="87" customFormat="1">
      <c r="A131" s="508"/>
      <c r="B131" s="508"/>
      <c r="C131" s="508"/>
      <c r="D131" s="508"/>
      <c r="E131" s="508"/>
      <c r="F131" s="508"/>
      <c r="G131" s="508"/>
      <c r="H131" s="508"/>
      <c r="I131" s="508"/>
    </row>
    <row r="132" spans="1:10" s="87" customFormat="1" ht="32.25" customHeight="1">
      <c r="A132" s="409">
        <v>94975</v>
      </c>
      <c r="B132" s="505" t="s">
        <v>506</v>
      </c>
      <c r="C132" s="505"/>
      <c r="D132" s="505"/>
      <c r="E132" s="505"/>
      <c r="F132" s="505"/>
      <c r="G132" s="505"/>
      <c r="H132" s="505"/>
      <c r="I132" s="410" t="str">
        <f>VLOOKUP(A132,'[1]PLANILHA ORÇAMENTÁRIA'!$B$8:$D$8000,3,FALSE)</f>
        <v>M3</v>
      </c>
      <c r="J132" s="307">
        <f>I138</f>
        <v>378.01</v>
      </c>
    </row>
    <row r="133" spans="1:10" s="87" customFormat="1" ht="24">
      <c r="A133" s="308" t="s">
        <v>377</v>
      </c>
      <c r="B133" s="309" t="s">
        <v>378</v>
      </c>
      <c r="C133" s="310" t="s">
        <v>25</v>
      </c>
      <c r="D133" s="310" t="s">
        <v>2</v>
      </c>
      <c r="E133" s="310" t="s">
        <v>375</v>
      </c>
      <c r="F133" s="311" t="s">
        <v>379</v>
      </c>
      <c r="G133" s="312" t="s">
        <v>316</v>
      </c>
      <c r="H133" s="312" t="s">
        <v>380</v>
      </c>
      <c r="I133" s="313" t="s">
        <v>381</v>
      </c>
    </row>
    <row r="134" spans="1:10" s="87" customFormat="1" ht="24">
      <c r="A134" s="422" t="s">
        <v>19</v>
      </c>
      <c r="B134" s="299" t="s">
        <v>385</v>
      </c>
      <c r="C134" s="299">
        <v>370</v>
      </c>
      <c r="D134" s="300" t="s">
        <v>753</v>
      </c>
      <c r="E134" s="299" t="s">
        <v>392</v>
      </c>
      <c r="F134" s="314">
        <v>0.85</v>
      </c>
      <c r="G134" s="315">
        <v>65.12</v>
      </c>
      <c r="H134" s="411">
        <f t="shared" ref="H134:H137" si="29">IF(E134="H",G134,TRUNC(G134*(1-$K$5),2))</f>
        <v>65.08</v>
      </c>
      <c r="I134" s="412">
        <f t="shared" ref="I134:I137" si="30">TRUNC(H134*F134,2)</f>
        <v>55.31</v>
      </c>
    </row>
    <row r="135" spans="1:10" s="87" customFormat="1">
      <c r="A135" s="422" t="s">
        <v>19</v>
      </c>
      <c r="B135" s="299" t="s">
        <v>385</v>
      </c>
      <c r="C135" s="299">
        <v>1379</v>
      </c>
      <c r="D135" s="300" t="s">
        <v>754</v>
      </c>
      <c r="E135" s="299" t="s">
        <v>386</v>
      </c>
      <c r="F135" s="314">
        <v>277.72000000000003</v>
      </c>
      <c r="G135" s="315">
        <v>0.57999999999999996</v>
      </c>
      <c r="H135" s="411">
        <f t="shared" si="29"/>
        <v>0.56999999999999995</v>
      </c>
      <c r="I135" s="412">
        <f t="shared" si="30"/>
        <v>158.30000000000001</v>
      </c>
    </row>
    <row r="136" spans="1:10" s="87" customFormat="1" ht="24">
      <c r="A136" s="422" t="s">
        <v>19</v>
      </c>
      <c r="B136" s="299" t="s">
        <v>385</v>
      </c>
      <c r="C136" s="299">
        <v>4721</v>
      </c>
      <c r="D136" s="300" t="s">
        <v>766</v>
      </c>
      <c r="E136" s="299" t="s">
        <v>392</v>
      </c>
      <c r="F136" s="314">
        <v>0.58899999999999997</v>
      </c>
      <c r="G136" s="315">
        <v>44.4</v>
      </c>
      <c r="H136" s="411">
        <f t="shared" si="29"/>
        <v>44.37</v>
      </c>
      <c r="I136" s="412">
        <f t="shared" si="30"/>
        <v>26.13</v>
      </c>
    </row>
    <row r="137" spans="1:10" s="87" customFormat="1" ht="24">
      <c r="A137" s="422" t="s">
        <v>19</v>
      </c>
      <c r="B137" s="299" t="s">
        <v>382</v>
      </c>
      <c r="C137" s="299">
        <v>88316</v>
      </c>
      <c r="D137" s="300" t="s">
        <v>384</v>
      </c>
      <c r="E137" s="299" t="s">
        <v>161</v>
      </c>
      <c r="F137" s="314">
        <v>10.02</v>
      </c>
      <c r="G137" s="315">
        <v>13.8</v>
      </c>
      <c r="H137" s="411">
        <f t="shared" si="29"/>
        <v>13.8</v>
      </c>
      <c r="I137" s="412">
        <f t="shared" si="30"/>
        <v>138.27000000000001</v>
      </c>
    </row>
    <row r="138" spans="1:10" s="87" customFormat="1">
      <c r="A138" s="506" t="s">
        <v>387</v>
      </c>
      <c r="B138" s="506"/>
      <c r="C138" s="506"/>
      <c r="D138" s="506"/>
      <c r="E138" s="506"/>
      <c r="F138" s="506"/>
      <c r="G138" s="506"/>
      <c r="H138" s="507"/>
      <c r="I138" s="365">
        <f>SUM(I134:I137)</f>
        <v>378.01</v>
      </c>
    </row>
    <row r="139" spans="1:10" s="87" customFormat="1">
      <c r="A139" s="508"/>
      <c r="B139" s="508"/>
      <c r="C139" s="508"/>
      <c r="D139" s="508"/>
      <c r="E139" s="508"/>
      <c r="F139" s="508"/>
      <c r="G139" s="508"/>
      <c r="H139" s="508"/>
      <c r="I139" s="508"/>
    </row>
    <row r="140" spans="1:10" s="87" customFormat="1">
      <c r="A140" s="409">
        <v>92271</v>
      </c>
      <c r="B140" s="505" t="s">
        <v>508</v>
      </c>
      <c r="C140" s="505"/>
      <c r="D140" s="505"/>
      <c r="E140" s="505"/>
      <c r="F140" s="505"/>
      <c r="G140" s="505"/>
      <c r="H140" s="505"/>
      <c r="I140" s="410" t="str">
        <f>VLOOKUP(A140,'[1]PLANILHA ORÇAMENTÁRIA'!$B$8:$D$8000,3,FALSE)</f>
        <v>M2</v>
      </c>
      <c r="J140" s="307">
        <f>I146</f>
        <v>46.4</v>
      </c>
    </row>
    <row r="141" spans="1:10" s="87" customFormat="1" ht="24">
      <c r="A141" s="308" t="s">
        <v>377</v>
      </c>
      <c r="B141" s="309" t="s">
        <v>378</v>
      </c>
      <c r="C141" s="310" t="s">
        <v>25</v>
      </c>
      <c r="D141" s="310" t="s">
        <v>2</v>
      </c>
      <c r="E141" s="310" t="s">
        <v>375</v>
      </c>
      <c r="F141" s="311" t="s">
        <v>379</v>
      </c>
      <c r="G141" s="312" t="s">
        <v>316</v>
      </c>
      <c r="H141" s="312" t="s">
        <v>380</v>
      </c>
      <c r="I141" s="313" t="s">
        <v>381</v>
      </c>
    </row>
    <row r="142" spans="1:10" s="87" customFormat="1" ht="36">
      <c r="A142" s="422" t="s">
        <v>19</v>
      </c>
      <c r="B142" s="299" t="s">
        <v>385</v>
      </c>
      <c r="C142" s="299">
        <v>6189</v>
      </c>
      <c r="D142" s="300" t="s">
        <v>767</v>
      </c>
      <c r="E142" s="299" t="s">
        <v>389</v>
      </c>
      <c r="F142" s="314">
        <v>3.6669999999999998</v>
      </c>
      <c r="G142" s="315">
        <v>12.58</v>
      </c>
      <c r="H142" s="411">
        <f t="shared" ref="H142:H145" si="31">IF(E142="H",G142,TRUNC(G142*(1-$K$5),2))</f>
        <v>12.57</v>
      </c>
      <c r="I142" s="412">
        <f t="shared" ref="I142:I145" si="32">TRUNC(H142*F142,2)</f>
        <v>46.09</v>
      </c>
    </row>
    <row r="143" spans="1:10" s="87" customFormat="1" ht="24">
      <c r="A143" s="422" t="s">
        <v>19</v>
      </c>
      <c r="B143" s="299" t="s">
        <v>382</v>
      </c>
      <c r="C143" s="299">
        <v>88239</v>
      </c>
      <c r="D143" s="300" t="s">
        <v>432</v>
      </c>
      <c r="E143" s="299" t="s">
        <v>161</v>
      </c>
      <c r="F143" s="314">
        <v>3.0000000000000001E-3</v>
      </c>
      <c r="G143" s="315">
        <v>14.53</v>
      </c>
      <c r="H143" s="411">
        <f t="shared" si="31"/>
        <v>14.53</v>
      </c>
      <c r="I143" s="412">
        <f t="shared" si="32"/>
        <v>0.04</v>
      </c>
    </row>
    <row r="144" spans="1:10" s="87" customFormat="1" ht="24">
      <c r="A144" s="422" t="s">
        <v>19</v>
      </c>
      <c r="B144" s="299" t="s">
        <v>382</v>
      </c>
      <c r="C144" s="299">
        <v>88262</v>
      </c>
      <c r="D144" s="300" t="s">
        <v>383</v>
      </c>
      <c r="E144" s="299" t="s">
        <v>161</v>
      </c>
      <c r="F144" s="314">
        <v>1.2999999999999999E-2</v>
      </c>
      <c r="G144" s="315">
        <v>17.16</v>
      </c>
      <c r="H144" s="411">
        <f t="shared" si="31"/>
        <v>17.16</v>
      </c>
      <c r="I144" s="412">
        <f t="shared" si="32"/>
        <v>0.22</v>
      </c>
    </row>
    <row r="145" spans="1:10" s="87" customFormat="1" ht="48">
      <c r="A145" s="422" t="s">
        <v>19</v>
      </c>
      <c r="B145" s="299" t="s">
        <v>382</v>
      </c>
      <c r="C145" s="299">
        <v>91692</v>
      </c>
      <c r="D145" s="300" t="s">
        <v>433</v>
      </c>
      <c r="E145" s="299" t="s">
        <v>395</v>
      </c>
      <c r="F145" s="314">
        <v>3.0000000000000001E-3</v>
      </c>
      <c r="G145" s="315">
        <v>19.649999999999999</v>
      </c>
      <c r="H145" s="411">
        <f t="shared" si="31"/>
        <v>19.64</v>
      </c>
      <c r="I145" s="412">
        <f t="shared" si="32"/>
        <v>0.05</v>
      </c>
    </row>
    <row r="146" spans="1:10" s="87" customFormat="1">
      <c r="A146" s="506" t="s">
        <v>387</v>
      </c>
      <c r="B146" s="506"/>
      <c r="C146" s="506"/>
      <c r="D146" s="506"/>
      <c r="E146" s="506"/>
      <c r="F146" s="506"/>
      <c r="G146" s="506"/>
      <c r="H146" s="507"/>
      <c r="I146" s="365">
        <f>SUM(I142:I145)</f>
        <v>46.4</v>
      </c>
    </row>
    <row r="147" spans="1:10" s="87" customFormat="1">
      <c r="A147" s="508"/>
      <c r="B147" s="508"/>
      <c r="C147" s="508"/>
      <c r="D147" s="508"/>
      <c r="E147" s="508"/>
      <c r="F147" s="508"/>
      <c r="G147" s="508"/>
      <c r="H147" s="508"/>
      <c r="I147" s="508"/>
    </row>
    <row r="148" spans="1:10" s="87" customFormat="1" ht="33" customHeight="1">
      <c r="A148" s="409">
        <v>94231</v>
      </c>
      <c r="B148" s="505" t="s">
        <v>510</v>
      </c>
      <c r="C148" s="505"/>
      <c r="D148" s="505"/>
      <c r="E148" s="505"/>
      <c r="F148" s="505"/>
      <c r="G148" s="505"/>
      <c r="H148" s="505"/>
      <c r="I148" s="410" t="str">
        <f>VLOOKUP(A148,'[1]PLANILHA ORÇAMENTÁRIA'!$B$8:$D$8000,3,FALSE)</f>
        <v>m</v>
      </c>
      <c r="J148" s="307">
        <f>I159</f>
        <v>19.630000000000003</v>
      </c>
    </row>
    <row r="149" spans="1:10" s="87" customFormat="1" ht="24">
      <c r="A149" s="308" t="s">
        <v>377</v>
      </c>
      <c r="B149" s="309" t="s">
        <v>378</v>
      </c>
      <c r="C149" s="310" t="s">
        <v>25</v>
      </c>
      <c r="D149" s="310" t="s">
        <v>2</v>
      </c>
      <c r="E149" s="310" t="s">
        <v>375</v>
      </c>
      <c r="F149" s="311" t="s">
        <v>379</v>
      </c>
      <c r="G149" s="312" t="s">
        <v>316</v>
      </c>
      <c r="H149" s="312" t="s">
        <v>380</v>
      </c>
      <c r="I149" s="313" t="s">
        <v>381</v>
      </c>
    </row>
    <row r="150" spans="1:10" s="87" customFormat="1" ht="36">
      <c r="A150" s="422" t="s">
        <v>19</v>
      </c>
      <c r="B150" s="299" t="s">
        <v>385</v>
      </c>
      <c r="C150" s="299">
        <v>142</v>
      </c>
      <c r="D150" s="300" t="s">
        <v>446</v>
      </c>
      <c r="E150" s="299" t="s">
        <v>447</v>
      </c>
      <c r="F150" s="314">
        <v>0.04</v>
      </c>
      <c r="G150" s="315">
        <v>31.21</v>
      </c>
      <c r="H150" s="411">
        <f t="shared" ref="H150:H158" si="33">IF(E150="H",G150,TRUNC(G150*(1-$K$5),2))</f>
        <v>31.19</v>
      </c>
      <c r="I150" s="412">
        <f t="shared" ref="I150:I158" si="34">TRUNC(H150*F150,2)</f>
        <v>1.24</v>
      </c>
    </row>
    <row r="151" spans="1:10" s="87" customFormat="1" ht="24">
      <c r="A151" s="422" t="s">
        <v>19</v>
      </c>
      <c r="B151" s="299" t="s">
        <v>385</v>
      </c>
      <c r="C151" s="299">
        <v>5061</v>
      </c>
      <c r="D151" s="300" t="s">
        <v>431</v>
      </c>
      <c r="E151" s="299" t="s">
        <v>386</v>
      </c>
      <c r="F151" s="314">
        <v>6.0000000000000001E-3</v>
      </c>
      <c r="G151" s="315">
        <v>8.85</v>
      </c>
      <c r="H151" s="411">
        <f t="shared" si="33"/>
        <v>8.84</v>
      </c>
      <c r="I151" s="412">
        <f t="shared" si="34"/>
        <v>0.05</v>
      </c>
    </row>
    <row r="152" spans="1:10" s="87" customFormat="1" ht="24">
      <c r="A152" s="422" t="s">
        <v>19</v>
      </c>
      <c r="B152" s="299" t="s">
        <v>385</v>
      </c>
      <c r="C152" s="299">
        <v>5104</v>
      </c>
      <c r="D152" s="300" t="s">
        <v>453</v>
      </c>
      <c r="E152" s="299" t="s">
        <v>386</v>
      </c>
      <c r="F152" s="314">
        <v>1.1999999999999999E-3</v>
      </c>
      <c r="G152" s="315">
        <v>34.31</v>
      </c>
      <c r="H152" s="411">
        <f t="shared" si="33"/>
        <v>34.29</v>
      </c>
      <c r="I152" s="412">
        <f t="shared" si="34"/>
        <v>0.04</v>
      </c>
    </row>
    <row r="153" spans="1:10" s="87" customFormat="1" ht="24">
      <c r="A153" s="422" t="s">
        <v>19</v>
      </c>
      <c r="B153" s="299" t="s">
        <v>385</v>
      </c>
      <c r="C153" s="299">
        <v>13388</v>
      </c>
      <c r="D153" s="300" t="s">
        <v>454</v>
      </c>
      <c r="E153" s="299" t="s">
        <v>386</v>
      </c>
      <c r="F153" s="314">
        <v>0.04</v>
      </c>
      <c r="G153" s="315">
        <v>111.92</v>
      </c>
      <c r="H153" s="411">
        <f t="shared" si="33"/>
        <v>111.86</v>
      </c>
      <c r="I153" s="412">
        <f t="shared" si="34"/>
        <v>4.47</v>
      </c>
    </row>
    <row r="154" spans="1:10" s="87" customFormat="1" ht="36">
      <c r="A154" s="422" t="s">
        <v>463</v>
      </c>
      <c r="B154" s="299" t="s">
        <v>464</v>
      </c>
      <c r="C154" s="299" t="s">
        <v>465</v>
      </c>
      <c r="D154" s="300" t="str">
        <f>B148</f>
        <v>RUFO EM CHAPA DE AÇO GALVANIZADO NÚMERO 24, CORTE DE 25 CM, INCLUSO TRANSPORTE VERTICAL. AF_06/2016</v>
      </c>
      <c r="E154" s="299" t="s">
        <v>389</v>
      </c>
      <c r="F154" s="314">
        <v>1</v>
      </c>
      <c r="G154" s="315">
        <v>8.59</v>
      </c>
      <c r="H154" s="411">
        <f t="shared" si="33"/>
        <v>8.58</v>
      </c>
      <c r="I154" s="412">
        <f t="shared" si="34"/>
        <v>8.58</v>
      </c>
    </row>
    <row r="155" spans="1:10" s="87" customFormat="1" ht="24">
      <c r="A155" s="422" t="s">
        <v>19</v>
      </c>
      <c r="B155" s="299" t="s">
        <v>382</v>
      </c>
      <c r="C155" s="299">
        <v>88316</v>
      </c>
      <c r="D155" s="300" t="s">
        <v>384</v>
      </c>
      <c r="E155" s="299" t="s">
        <v>161</v>
      </c>
      <c r="F155" s="314">
        <v>0.20699999999999999</v>
      </c>
      <c r="G155" s="315">
        <v>13.8</v>
      </c>
      <c r="H155" s="411">
        <f t="shared" si="33"/>
        <v>13.8</v>
      </c>
      <c r="I155" s="412">
        <f t="shared" si="34"/>
        <v>2.85</v>
      </c>
    </row>
    <row r="156" spans="1:10" s="87" customFormat="1" ht="24">
      <c r="A156" s="422" t="s">
        <v>19</v>
      </c>
      <c r="B156" s="299" t="s">
        <v>382</v>
      </c>
      <c r="C156" s="299">
        <v>88323</v>
      </c>
      <c r="D156" s="300" t="s">
        <v>441</v>
      </c>
      <c r="E156" s="299" t="s">
        <v>161</v>
      </c>
      <c r="F156" s="314">
        <v>0.112</v>
      </c>
      <c r="G156" s="315">
        <v>17.14</v>
      </c>
      <c r="H156" s="411">
        <f t="shared" si="33"/>
        <v>17.14</v>
      </c>
      <c r="I156" s="412">
        <f t="shared" si="34"/>
        <v>1.91</v>
      </c>
    </row>
    <row r="157" spans="1:10" s="87" customFormat="1" ht="48">
      <c r="A157" s="422" t="s">
        <v>19</v>
      </c>
      <c r="B157" s="299" t="s">
        <v>382</v>
      </c>
      <c r="C157" s="299">
        <v>93281</v>
      </c>
      <c r="D157" s="300" t="s">
        <v>436</v>
      </c>
      <c r="E157" s="299" t="s">
        <v>395</v>
      </c>
      <c r="F157" s="314">
        <v>1.32E-2</v>
      </c>
      <c r="G157" s="315">
        <v>16.37</v>
      </c>
      <c r="H157" s="411">
        <f t="shared" si="33"/>
        <v>16.36</v>
      </c>
      <c r="I157" s="412">
        <f t="shared" si="34"/>
        <v>0.21</v>
      </c>
    </row>
    <row r="158" spans="1:10" s="87" customFormat="1" ht="48">
      <c r="A158" s="422" t="s">
        <v>19</v>
      </c>
      <c r="B158" s="299" t="s">
        <v>382</v>
      </c>
      <c r="C158" s="299">
        <v>93282</v>
      </c>
      <c r="D158" s="300" t="s">
        <v>437</v>
      </c>
      <c r="E158" s="299" t="s">
        <v>396</v>
      </c>
      <c r="F158" s="314">
        <v>1.83E-2</v>
      </c>
      <c r="G158" s="315">
        <v>15.72</v>
      </c>
      <c r="H158" s="411">
        <f t="shared" si="33"/>
        <v>15.71</v>
      </c>
      <c r="I158" s="412">
        <f t="shared" si="34"/>
        <v>0.28000000000000003</v>
      </c>
    </row>
    <row r="159" spans="1:10" s="87" customFormat="1">
      <c r="A159" s="506" t="s">
        <v>387</v>
      </c>
      <c r="B159" s="506"/>
      <c r="C159" s="506"/>
      <c r="D159" s="506"/>
      <c r="E159" s="506"/>
      <c r="F159" s="506"/>
      <c r="G159" s="506"/>
      <c r="H159" s="507"/>
      <c r="I159" s="365">
        <f>SUM(I150:I158)</f>
        <v>19.630000000000003</v>
      </c>
    </row>
    <row r="160" spans="1:10" s="87" customFormat="1">
      <c r="A160" s="508"/>
      <c r="B160" s="508"/>
      <c r="C160" s="508"/>
      <c r="D160" s="508"/>
      <c r="E160" s="508"/>
      <c r="F160" s="508"/>
      <c r="G160" s="508"/>
      <c r="H160" s="508"/>
      <c r="I160" s="508"/>
    </row>
    <row r="161" spans="1:10" s="87" customFormat="1" ht="28.5" customHeight="1">
      <c r="A161" s="409">
        <v>91341</v>
      </c>
      <c r="B161" s="505" t="s">
        <v>512</v>
      </c>
      <c r="C161" s="505"/>
      <c r="D161" s="505"/>
      <c r="E161" s="505"/>
      <c r="F161" s="505"/>
      <c r="G161" s="505"/>
      <c r="H161" s="505"/>
      <c r="I161" s="410" t="str">
        <f>VLOOKUP(A161,'[1]PLANILHA ORÇAMENTÁRIA'!$B$8:$D$8000,3,FALSE)</f>
        <v>M2</v>
      </c>
      <c r="J161" s="307">
        <f>I169</f>
        <v>427.40000000000003</v>
      </c>
    </row>
    <row r="162" spans="1:10" s="87" customFormat="1" ht="24">
      <c r="A162" s="308" t="s">
        <v>377</v>
      </c>
      <c r="B162" s="309" t="s">
        <v>378</v>
      </c>
      <c r="C162" s="310" t="s">
        <v>25</v>
      </c>
      <c r="D162" s="310" t="s">
        <v>2</v>
      </c>
      <c r="E162" s="310" t="s">
        <v>375</v>
      </c>
      <c r="F162" s="311" t="s">
        <v>379</v>
      </c>
      <c r="G162" s="312" t="s">
        <v>316</v>
      </c>
      <c r="H162" s="312" t="s">
        <v>380</v>
      </c>
      <c r="I162" s="313" t="s">
        <v>381</v>
      </c>
    </row>
    <row r="163" spans="1:10" s="87" customFormat="1" ht="36">
      <c r="A163" s="422" t="s">
        <v>19</v>
      </c>
      <c r="B163" s="299" t="s">
        <v>385</v>
      </c>
      <c r="C163" s="299">
        <v>142</v>
      </c>
      <c r="D163" s="300" t="s">
        <v>446</v>
      </c>
      <c r="E163" s="299" t="s">
        <v>447</v>
      </c>
      <c r="F163" s="314">
        <v>0.88290000000000002</v>
      </c>
      <c r="G163" s="315">
        <v>31.21</v>
      </c>
      <c r="H163" s="411">
        <f t="shared" ref="H163:H168" si="35">IF(E163="H",G163,TRUNC(G163*(1-$K$5),2))</f>
        <v>31.19</v>
      </c>
      <c r="I163" s="412">
        <f t="shared" ref="I163:I168" si="36">TRUNC(H163*F163,2)</f>
        <v>27.53</v>
      </c>
    </row>
    <row r="164" spans="1:10" s="87" customFormat="1" ht="48">
      <c r="A164" s="422" t="s">
        <v>19</v>
      </c>
      <c r="B164" s="299" t="s">
        <v>385</v>
      </c>
      <c r="C164" s="299">
        <v>7568</v>
      </c>
      <c r="D164" s="300" t="s">
        <v>768</v>
      </c>
      <c r="E164" s="299" t="s">
        <v>102</v>
      </c>
      <c r="F164" s="314">
        <v>4.8166000000000002</v>
      </c>
      <c r="G164" s="315">
        <v>0.73</v>
      </c>
      <c r="H164" s="411">
        <f t="shared" si="35"/>
        <v>0.72</v>
      </c>
      <c r="I164" s="412">
        <f t="shared" si="36"/>
        <v>3.46</v>
      </c>
    </row>
    <row r="165" spans="1:10" s="87" customFormat="1" ht="36">
      <c r="A165" s="422" t="s">
        <v>19</v>
      </c>
      <c r="B165" s="299" t="s">
        <v>385</v>
      </c>
      <c r="C165" s="299">
        <v>36888</v>
      </c>
      <c r="D165" s="300" t="s">
        <v>769</v>
      </c>
      <c r="E165" s="299" t="s">
        <v>389</v>
      </c>
      <c r="F165" s="314">
        <v>6.8503999999999996</v>
      </c>
      <c r="G165" s="315">
        <v>9.48</v>
      </c>
      <c r="H165" s="411">
        <f t="shared" si="35"/>
        <v>9.4700000000000006</v>
      </c>
      <c r="I165" s="412">
        <f t="shared" si="36"/>
        <v>64.87</v>
      </c>
    </row>
    <row r="166" spans="1:10" s="87" customFormat="1" ht="48">
      <c r="A166" s="422" t="s">
        <v>19</v>
      </c>
      <c r="B166" s="299" t="s">
        <v>385</v>
      </c>
      <c r="C166" s="299">
        <v>39025</v>
      </c>
      <c r="D166" s="300" t="s">
        <v>770</v>
      </c>
      <c r="E166" s="299" t="s">
        <v>102</v>
      </c>
      <c r="F166" s="314">
        <v>0.54730000000000001</v>
      </c>
      <c r="G166" s="315">
        <v>589.22</v>
      </c>
      <c r="H166" s="411">
        <f t="shared" si="35"/>
        <v>588.91999999999996</v>
      </c>
      <c r="I166" s="412">
        <f t="shared" si="36"/>
        <v>322.31</v>
      </c>
    </row>
    <row r="167" spans="1:10" s="87" customFormat="1" ht="24">
      <c r="A167" s="422" t="s">
        <v>19</v>
      </c>
      <c r="B167" s="299" t="s">
        <v>382</v>
      </c>
      <c r="C167" s="299">
        <v>88309</v>
      </c>
      <c r="D167" s="300" t="s">
        <v>394</v>
      </c>
      <c r="E167" s="299" t="s">
        <v>161</v>
      </c>
      <c r="F167" s="314">
        <v>0.3826</v>
      </c>
      <c r="G167" s="315">
        <v>17.260000000000002</v>
      </c>
      <c r="H167" s="411">
        <f t="shared" si="35"/>
        <v>17.260000000000002</v>
      </c>
      <c r="I167" s="412">
        <f t="shared" si="36"/>
        <v>6.6</v>
      </c>
    </row>
    <row r="168" spans="1:10" s="87" customFormat="1" ht="24">
      <c r="A168" s="422" t="s">
        <v>19</v>
      </c>
      <c r="B168" s="299" t="s">
        <v>382</v>
      </c>
      <c r="C168" s="299">
        <v>88316</v>
      </c>
      <c r="D168" s="300" t="s">
        <v>384</v>
      </c>
      <c r="E168" s="299" t="s">
        <v>161</v>
      </c>
      <c r="F168" s="314">
        <v>0.191</v>
      </c>
      <c r="G168" s="315">
        <v>13.8</v>
      </c>
      <c r="H168" s="411">
        <f t="shared" si="35"/>
        <v>13.8</v>
      </c>
      <c r="I168" s="412">
        <f t="shared" si="36"/>
        <v>2.63</v>
      </c>
    </row>
    <row r="169" spans="1:10" s="87" customFormat="1">
      <c r="A169" s="506" t="s">
        <v>387</v>
      </c>
      <c r="B169" s="506"/>
      <c r="C169" s="506"/>
      <c r="D169" s="506"/>
      <c r="E169" s="506"/>
      <c r="F169" s="506"/>
      <c r="G169" s="506"/>
      <c r="H169" s="507"/>
      <c r="I169" s="365">
        <f>SUM(I163:I168)</f>
        <v>427.40000000000003</v>
      </c>
    </row>
    <row r="170" spans="1:10" s="87" customFormat="1">
      <c r="A170" s="508"/>
      <c r="B170" s="508"/>
      <c r="C170" s="508"/>
      <c r="D170" s="508"/>
      <c r="E170" s="508"/>
      <c r="F170" s="508"/>
      <c r="G170" s="508"/>
      <c r="H170" s="508"/>
      <c r="I170" s="508"/>
    </row>
    <row r="171" spans="1:10" s="87" customFormat="1">
      <c r="A171" s="409">
        <v>88487</v>
      </c>
      <c r="B171" s="505" t="s">
        <v>516</v>
      </c>
      <c r="C171" s="505"/>
      <c r="D171" s="505"/>
      <c r="E171" s="505"/>
      <c r="F171" s="505"/>
      <c r="G171" s="505"/>
      <c r="H171" s="505"/>
      <c r="I171" s="410" t="str">
        <f>VLOOKUP(A171,'[1]PLANILHA ORÇAMENTÁRIA'!$B$8:$D$8000,3,FALSE)</f>
        <v>M2</v>
      </c>
      <c r="J171" s="307">
        <f>I176</f>
        <v>7.77</v>
      </c>
    </row>
    <row r="172" spans="1:10" s="87" customFormat="1" ht="24">
      <c r="A172" s="308" t="s">
        <v>377</v>
      </c>
      <c r="B172" s="309" t="s">
        <v>378</v>
      </c>
      <c r="C172" s="310" t="s">
        <v>25</v>
      </c>
      <c r="D172" s="310" t="s">
        <v>2</v>
      </c>
      <c r="E172" s="310" t="s">
        <v>375</v>
      </c>
      <c r="F172" s="311" t="s">
        <v>379</v>
      </c>
      <c r="G172" s="312" t="s">
        <v>316</v>
      </c>
      <c r="H172" s="312" t="s">
        <v>380</v>
      </c>
      <c r="I172" s="313" t="s">
        <v>381</v>
      </c>
    </row>
    <row r="173" spans="1:10" s="87" customFormat="1">
      <c r="A173" s="422" t="s">
        <v>19</v>
      </c>
      <c r="B173" s="299" t="s">
        <v>385</v>
      </c>
      <c r="C173" s="299">
        <v>7345</v>
      </c>
      <c r="D173" s="300" t="s">
        <v>771</v>
      </c>
      <c r="E173" s="299" t="s">
        <v>393</v>
      </c>
      <c r="F173" s="314">
        <v>0.33</v>
      </c>
      <c r="G173" s="315">
        <v>14.82</v>
      </c>
      <c r="H173" s="411">
        <f t="shared" ref="H173:H175" si="37">IF(E173="H",G173,TRUNC(G173*(1-$K$5),2))</f>
        <v>14.81</v>
      </c>
      <c r="I173" s="412">
        <f t="shared" ref="I173:I175" si="38">TRUNC(H173*F173,2)</f>
        <v>4.88</v>
      </c>
    </row>
    <row r="174" spans="1:10" s="87" customFormat="1" ht="24">
      <c r="A174" s="422" t="s">
        <v>19</v>
      </c>
      <c r="B174" s="299" t="s">
        <v>382</v>
      </c>
      <c r="C174" s="299">
        <v>88310</v>
      </c>
      <c r="D174" s="300" t="s">
        <v>459</v>
      </c>
      <c r="E174" s="299" t="s">
        <v>161</v>
      </c>
      <c r="F174" s="314">
        <v>0.13</v>
      </c>
      <c r="G174" s="315">
        <v>17.190000000000001</v>
      </c>
      <c r="H174" s="411">
        <f t="shared" si="37"/>
        <v>17.190000000000001</v>
      </c>
      <c r="I174" s="412">
        <f t="shared" si="38"/>
        <v>2.23</v>
      </c>
    </row>
    <row r="175" spans="1:10" s="87" customFormat="1" ht="24">
      <c r="A175" s="422" t="s">
        <v>19</v>
      </c>
      <c r="B175" s="299" t="s">
        <v>382</v>
      </c>
      <c r="C175" s="299">
        <v>88316</v>
      </c>
      <c r="D175" s="300" t="s">
        <v>384</v>
      </c>
      <c r="E175" s="299" t="s">
        <v>161</v>
      </c>
      <c r="F175" s="314">
        <v>4.8000000000000001E-2</v>
      </c>
      <c r="G175" s="315">
        <v>13.8</v>
      </c>
      <c r="H175" s="411">
        <f t="shared" si="37"/>
        <v>13.8</v>
      </c>
      <c r="I175" s="412">
        <f t="shared" si="38"/>
        <v>0.66</v>
      </c>
    </row>
    <row r="176" spans="1:10" s="87" customFormat="1">
      <c r="A176" s="506" t="s">
        <v>387</v>
      </c>
      <c r="B176" s="506"/>
      <c r="C176" s="506"/>
      <c r="D176" s="506"/>
      <c r="E176" s="506"/>
      <c r="F176" s="506"/>
      <c r="G176" s="506"/>
      <c r="H176" s="507"/>
      <c r="I176" s="365">
        <f>SUM(I173:I175)</f>
        <v>7.77</v>
      </c>
    </row>
    <row r="177" spans="1:10" s="87" customFormat="1">
      <c r="A177" s="508"/>
      <c r="B177" s="508"/>
      <c r="C177" s="508"/>
      <c r="D177" s="508"/>
      <c r="E177" s="508"/>
      <c r="F177" s="508"/>
      <c r="G177" s="508"/>
      <c r="H177" s="508"/>
      <c r="I177" s="508"/>
    </row>
    <row r="178" spans="1:10" s="87" customFormat="1" ht="34.5" customHeight="1">
      <c r="A178" s="409">
        <v>89401</v>
      </c>
      <c r="B178" s="505" t="s">
        <v>520</v>
      </c>
      <c r="C178" s="505"/>
      <c r="D178" s="505"/>
      <c r="E178" s="505"/>
      <c r="F178" s="505"/>
      <c r="G178" s="505"/>
      <c r="H178" s="505"/>
      <c r="I178" s="410" t="str">
        <f>VLOOKUP(A178,'[1]PLANILHA ORÇAMENTÁRIA'!$B$8:$D$8000,3,FALSE)</f>
        <v>M</v>
      </c>
      <c r="J178" s="307">
        <f>I184</f>
        <v>4.91</v>
      </c>
    </row>
    <row r="179" spans="1:10" s="87" customFormat="1" ht="24">
      <c r="A179" s="308" t="s">
        <v>377</v>
      </c>
      <c r="B179" s="309" t="s">
        <v>378</v>
      </c>
      <c r="C179" s="310" t="s">
        <v>25</v>
      </c>
      <c r="D179" s="310" t="s">
        <v>2</v>
      </c>
      <c r="E179" s="310" t="s">
        <v>375</v>
      </c>
      <c r="F179" s="311" t="s">
        <v>379</v>
      </c>
      <c r="G179" s="312" t="s">
        <v>316</v>
      </c>
      <c r="H179" s="312" t="s">
        <v>380</v>
      </c>
      <c r="I179" s="313" t="s">
        <v>381</v>
      </c>
    </row>
    <row r="180" spans="1:10" s="87" customFormat="1" ht="24">
      <c r="A180" s="422" t="s">
        <v>19</v>
      </c>
      <c r="B180" s="299" t="s">
        <v>385</v>
      </c>
      <c r="C180" s="299">
        <v>9867</v>
      </c>
      <c r="D180" s="300" t="s">
        <v>772</v>
      </c>
      <c r="E180" s="299" t="s">
        <v>389</v>
      </c>
      <c r="F180" s="314">
        <v>1.0609999999999999</v>
      </c>
      <c r="G180" s="315">
        <v>1.8</v>
      </c>
      <c r="H180" s="411">
        <f t="shared" ref="H180:H183" si="39">IF(E180="H",G180,TRUNC(G180*(1-$K$5),2))</f>
        <v>1.79</v>
      </c>
      <c r="I180" s="412">
        <f t="shared" ref="I180:I183" si="40">TRUNC(H180*F180,2)</f>
        <v>1.89</v>
      </c>
    </row>
    <row r="181" spans="1:10" s="87" customFormat="1">
      <c r="A181" s="422" t="s">
        <v>19</v>
      </c>
      <c r="B181" s="299" t="s">
        <v>385</v>
      </c>
      <c r="C181" s="299">
        <v>38383</v>
      </c>
      <c r="D181" s="300" t="s">
        <v>450</v>
      </c>
      <c r="E181" s="299" t="s">
        <v>102</v>
      </c>
      <c r="F181" s="314">
        <v>3.2000000000000001E-2</v>
      </c>
      <c r="G181" s="315">
        <v>1.43</v>
      </c>
      <c r="H181" s="411">
        <f t="shared" si="39"/>
        <v>1.42</v>
      </c>
      <c r="I181" s="412">
        <f t="shared" si="40"/>
        <v>0.04</v>
      </c>
    </row>
    <row r="182" spans="1:10" s="87" customFormat="1" ht="36">
      <c r="A182" s="422" t="s">
        <v>19</v>
      </c>
      <c r="B182" s="299" t="s">
        <v>382</v>
      </c>
      <c r="C182" s="299">
        <v>88248</v>
      </c>
      <c r="D182" s="300" t="s">
        <v>451</v>
      </c>
      <c r="E182" s="299" t="s">
        <v>161</v>
      </c>
      <c r="F182" s="314">
        <v>9.7000000000000003E-2</v>
      </c>
      <c r="G182" s="315">
        <v>13.56</v>
      </c>
      <c r="H182" s="411">
        <f t="shared" si="39"/>
        <v>13.56</v>
      </c>
      <c r="I182" s="412">
        <f t="shared" si="40"/>
        <v>1.31</v>
      </c>
    </row>
    <row r="183" spans="1:10" s="87" customFormat="1" ht="24">
      <c r="A183" s="422" t="s">
        <v>19</v>
      </c>
      <c r="B183" s="299" t="s">
        <v>382</v>
      </c>
      <c r="C183" s="299">
        <v>88267</v>
      </c>
      <c r="D183" s="300" t="s">
        <v>452</v>
      </c>
      <c r="E183" s="299" t="s">
        <v>161</v>
      </c>
      <c r="F183" s="314">
        <v>9.7000000000000003E-2</v>
      </c>
      <c r="G183" s="315">
        <v>17.22</v>
      </c>
      <c r="H183" s="411">
        <f t="shared" si="39"/>
        <v>17.22</v>
      </c>
      <c r="I183" s="412">
        <f t="shared" si="40"/>
        <v>1.67</v>
      </c>
    </row>
    <row r="184" spans="1:10" s="87" customFormat="1">
      <c r="A184" s="506" t="s">
        <v>387</v>
      </c>
      <c r="B184" s="506"/>
      <c r="C184" s="506"/>
      <c r="D184" s="506"/>
      <c r="E184" s="506"/>
      <c r="F184" s="506"/>
      <c r="G184" s="506"/>
      <c r="H184" s="507"/>
      <c r="I184" s="365">
        <f>SUM(I180:I183)</f>
        <v>4.91</v>
      </c>
    </row>
    <row r="185" spans="1:10" s="87" customFormat="1">
      <c r="A185" s="508"/>
      <c r="B185" s="508"/>
      <c r="C185" s="508"/>
      <c r="D185" s="508"/>
      <c r="E185" s="508"/>
      <c r="F185" s="508"/>
      <c r="G185" s="508"/>
      <c r="H185" s="508"/>
      <c r="I185" s="508"/>
    </row>
    <row r="186" spans="1:10" s="87" customFormat="1" ht="34.5" customHeight="1">
      <c r="A186" s="409">
        <v>89358</v>
      </c>
      <c r="B186" s="505" t="s">
        <v>522</v>
      </c>
      <c r="C186" s="505"/>
      <c r="D186" s="505"/>
      <c r="E186" s="505"/>
      <c r="F186" s="505"/>
      <c r="G186" s="505"/>
      <c r="H186" s="505"/>
      <c r="I186" s="410" t="str">
        <f>VLOOKUP(A186,'[1]PLANILHA ORÇAMENTÁRIA'!$B$8:$D$8000,3,FALSE)</f>
        <v>UND.</v>
      </c>
      <c r="J186" s="307">
        <f>I194</f>
        <v>4.9000000000000004</v>
      </c>
    </row>
    <row r="187" spans="1:10" s="87" customFormat="1" ht="24">
      <c r="A187" s="308" t="s">
        <v>377</v>
      </c>
      <c r="B187" s="309" t="s">
        <v>378</v>
      </c>
      <c r="C187" s="310" t="s">
        <v>25</v>
      </c>
      <c r="D187" s="310" t="s">
        <v>2</v>
      </c>
      <c r="E187" s="310" t="s">
        <v>375</v>
      </c>
      <c r="F187" s="311" t="s">
        <v>379</v>
      </c>
      <c r="G187" s="312" t="s">
        <v>316</v>
      </c>
      <c r="H187" s="312" t="s">
        <v>380</v>
      </c>
      <c r="I187" s="313" t="s">
        <v>381</v>
      </c>
    </row>
    <row r="188" spans="1:10" s="87" customFormat="1" ht="24">
      <c r="A188" s="422" t="s">
        <v>19</v>
      </c>
      <c r="B188" s="299" t="s">
        <v>385</v>
      </c>
      <c r="C188" s="299">
        <v>122</v>
      </c>
      <c r="D188" s="300" t="s">
        <v>448</v>
      </c>
      <c r="E188" s="299" t="s">
        <v>102</v>
      </c>
      <c r="F188" s="314">
        <v>6.0000000000000001E-3</v>
      </c>
      <c r="G188" s="315">
        <v>44.26</v>
      </c>
      <c r="H188" s="411">
        <f t="shared" ref="H188:H193" si="41">IF(E188="H",G188,TRUNC(G188*(1-$K$5),2))</f>
        <v>44.23</v>
      </c>
      <c r="I188" s="412">
        <f t="shared" ref="I188:I193" si="42">TRUNC(H188*F188,2)</f>
        <v>0.26</v>
      </c>
    </row>
    <row r="189" spans="1:10" s="87" customFormat="1" ht="24">
      <c r="A189" s="422" t="s">
        <v>19</v>
      </c>
      <c r="B189" s="299" t="s">
        <v>385</v>
      </c>
      <c r="C189" s="299">
        <v>3542</v>
      </c>
      <c r="D189" s="300" t="s">
        <v>773</v>
      </c>
      <c r="E189" s="299" t="s">
        <v>102</v>
      </c>
      <c r="F189" s="314">
        <v>1</v>
      </c>
      <c r="G189" s="315">
        <v>0.4</v>
      </c>
      <c r="H189" s="411">
        <f t="shared" si="41"/>
        <v>0.39</v>
      </c>
      <c r="I189" s="412">
        <f t="shared" si="42"/>
        <v>0.39</v>
      </c>
    </row>
    <row r="190" spans="1:10" s="87" customFormat="1" ht="24">
      <c r="A190" s="422" t="s">
        <v>19</v>
      </c>
      <c r="B190" s="299" t="s">
        <v>385</v>
      </c>
      <c r="C190" s="299">
        <v>20083</v>
      </c>
      <c r="D190" s="300" t="s">
        <v>449</v>
      </c>
      <c r="E190" s="299" t="s">
        <v>102</v>
      </c>
      <c r="F190" s="314">
        <v>6.0000000000000001E-3</v>
      </c>
      <c r="G190" s="315">
        <v>38.44</v>
      </c>
      <c r="H190" s="411">
        <f t="shared" si="41"/>
        <v>38.42</v>
      </c>
      <c r="I190" s="412">
        <f t="shared" si="42"/>
        <v>0.23</v>
      </c>
    </row>
    <row r="191" spans="1:10" s="87" customFormat="1">
      <c r="A191" s="422" t="s">
        <v>19</v>
      </c>
      <c r="B191" s="299" t="s">
        <v>385</v>
      </c>
      <c r="C191" s="299">
        <v>38383</v>
      </c>
      <c r="D191" s="300" t="s">
        <v>450</v>
      </c>
      <c r="E191" s="299" t="s">
        <v>102</v>
      </c>
      <c r="F191" s="314">
        <v>4.2999999999999997E-2</v>
      </c>
      <c r="G191" s="315">
        <v>1.43</v>
      </c>
      <c r="H191" s="411">
        <f t="shared" si="41"/>
        <v>1.42</v>
      </c>
      <c r="I191" s="412">
        <f t="shared" si="42"/>
        <v>0.06</v>
      </c>
    </row>
    <row r="192" spans="1:10" s="87" customFormat="1" ht="36">
      <c r="A192" s="422" t="s">
        <v>19</v>
      </c>
      <c r="B192" s="299" t="s">
        <v>382</v>
      </c>
      <c r="C192" s="299">
        <v>88248</v>
      </c>
      <c r="D192" s="300" t="s">
        <v>451</v>
      </c>
      <c r="E192" s="299" t="s">
        <v>161</v>
      </c>
      <c r="F192" s="314">
        <v>0.129</v>
      </c>
      <c r="G192" s="315">
        <v>13.56</v>
      </c>
      <c r="H192" s="411">
        <f t="shared" si="41"/>
        <v>13.56</v>
      </c>
      <c r="I192" s="412">
        <f t="shared" si="42"/>
        <v>1.74</v>
      </c>
    </row>
    <row r="193" spans="1:10" s="87" customFormat="1" ht="24">
      <c r="A193" s="422" t="s">
        <v>19</v>
      </c>
      <c r="B193" s="299" t="s">
        <v>382</v>
      </c>
      <c r="C193" s="299">
        <v>88267</v>
      </c>
      <c r="D193" s="300" t="s">
        <v>452</v>
      </c>
      <c r="E193" s="299" t="s">
        <v>161</v>
      </c>
      <c r="F193" s="314">
        <v>0.129</v>
      </c>
      <c r="G193" s="315">
        <v>17.22</v>
      </c>
      <c r="H193" s="411">
        <f t="shared" si="41"/>
        <v>17.22</v>
      </c>
      <c r="I193" s="412">
        <f t="shared" si="42"/>
        <v>2.2200000000000002</v>
      </c>
    </row>
    <row r="194" spans="1:10" s="87" customFormat="1">
      <c r="A194" s="506" t="s">
        <v>387</v>
      </c>
      <c r="B194" s="506"/>
      <c r="C194" s="506"/>
      <c r="D194" s="506"/>
      <c r="E194" s="506"/>
      <c r="F194" s="506"/>
      <c r="G194" s="506"/>
      <c r="H194" s="507"/>
      <c r="I194" s="365">
        <f>SUM(I188:I193)</f>
        <v>4.9000000000000004</v>
      </c>
    </row>
    <row r="195" spans="1:10" s="87" customFormat="1">
      <c r="A195" s="508"/>
      <c r="B195" s="508"/>
      <c r="C195" s="508"/>
      <c r="D195" s="508"/>
      <c r="E195" s="508"/>
      <c r="F195" s="508"/>
      <c r="G195" s="508"/>
      <c r="H195" s="508"/>
      <c r="I195" s="508"/>
    </row>
    <row r="196" spans="1:10" s="87" customFormat="1" ht="33.75" customHeight="1">
      <c r="A196" s="409">
        <v>94783</v>
      </c>
      <c r="B196" s="505" t="s">
        <v>524</v>
      </c>
      <c r="C196" s="505"/>
      <c r="D196" s="505"/>
      <c r="E196" s="505"/>
      <c r="F196" s="505"/>
      <c r="G196" s="505"/>
      <c r="H196" s="505"/>
      <c r="I196" s="410" t="str">
        <f>VLOOKUP(A196,'[1]PLANILHA ORÇAMENTÁRIA'!$B$8:$D$8000,3,FALSE)</f>
        <v>UND.</v>
      </c>
      <c r="J196" s="307">
        <f>I204</f>
        <v>14.3</v>
      </c>
    </row>
    <row r="197" spans="1:10" s="87" customFormat="1" ht="24">
      <c r="A197" s="308" t="s">
        <v>377</v>
      </c>
      <c r="B197" s="309" t="s">
        <v>378</v>
      </c>
      <c r="C197" s="310" t="s">
        <v>25</v>
      </c>
      <c r="D197" s="310" t="s">
        <v>2</v>
      </c>
      <c r="E197" s="310" t="s">
        <v>375</v>
      </c>
      <c r="F197" s="311" t="s">
        <v>379</v>
      </c>
      <c r="G197" s="312" t="s">
        <v>316</v>
      </c>
      <c r="H197" s="312" t="s">
        <v>380</v>
      </c>
      <c r="I197" s="313" t="s">
        <v>381</v>
      </c>
    </row>
    <row r="198" spans="1:10" s="87" customFormat="1" ht="36">
      <c r="A198" s="422" t="s">
        <v>19</v>
      </c>
      <c r="B198" s="299" t="s">
        <v>385</v>
      </c>
      <c r="C198" s="299">
        <v>95</v>
      </c>
      <c r="D198" s="300" t="s">
        <v>774</v>
      </c>
      <c r="E198" s="299" t="s">
        <v>102</v>
      </c>
      <c r="F198" s="314">
        <v>1</v>
      </c>
      <c r="G198" s="315">
        <v>9.06</v>
      </c>
      <c r="H198" s="411">
        <f t="shared" ref="H198:H203" si="43">IF(E198="H",G198,TRUNC(G198*(1-$K$5),2))</f>
        <v>9.0500000000000007</v>
      </c>
      <c r="I198" s="412">
        <f t="shared" ref="I198:I203" si="44">TRUNC(H198*F198,2)</f>
        <v>9.0500000000000007</v>
      </c>
    </row>
    <row r="199" spans="1:10" s="87" customFormat="1" ht="24">
      <c r="A199" s="422" t="s">
        <v>19</v>
      </c>
      <c r="B199" s="299" t="s">
        <v>385</v>
      </c>
      <c r="C199" s="299">
        <v>20080</v>
      </c>
      <c r="D199" s="300" t="s">
        <v>775</v>
      </c>
      <c r="E199" s="299" t="s">
        <v>102</v>
      </c>
      <c r="F199" s="314">
        <v>4.5999999999999999E-2</v>
      </c>
      <c r="G199" s="315">
        <v>14.05</v>
      </c>
      <c r="H199" s="411">
        <f t="shared" si="43"/>
        <v>14.04</v>
      </c>
      <c r="I199" s="412">
        <f t="shared" si="44"/>
        <v>0.64</v>
      </c>
    </row>
    <row r="200" spans="1:10" s="87" customFormat="1" ht="24">
      <c r="A200" s="422" t="s">
        <v>19</v>
      </c>
      <c r="B200" s="299" t="s">
        <v>385</v>
      </c>
      <c r="C200" s="299">
        <v>20083</v>
      </c>
      <c r="D200" s="300" t="s">
        <v>449</v>
      </c>
      <c r="E200" s="299" t="s">
        <v>102</v>
      </c>
      <c r="F200" s="314">
        <v>1.0999999999999999E-2</v>
      </c>
      <c r="G200" s="315">
        <v>38.44</v>
      </c>
      <c r="H200" s="411">
        <f t="shared" si="43"/>
        <v>38.42</v>
      </c>
      <c r="I200" s="412">
        <f t="shared" si="44"/>
        <v>0.42</v>
      </c>
    </row>
    <row r="201" spans="1:10" s="87" customFormat="1">
      <c r="A201" s="422" t="s">
        <v>19</v>
      </c>
      <c r="B201" s="299" t="s">
        <v>385</v>
      </c>
      <c r="C201" s="299">
        <v>38383</v>
      </c>
      <c r="D201" s="300" t="s">
        <v>450</v>
      </c>
      <c r="E201" s="299" t="s">
        <v>102</v>
      </c>
      <c r="F201" s="314">
        <v>1.4E-2</v>
      </c>
      <c r="G201" s="315">
        <v>1.43</v>
      </c>
      <c r="H201" s="411">
        <f t="shared" si="43"/>
        <v>1.42</v>
      </c>
      <c r="I201" s="412">
        <f t="shared" si="44"/>
        <v>0.01</v>
      </c>
    </row>
    <row r="202" spans="1:10" s="87" customFormat="1" ht="36">
      <c r="A202" s="422" t="s">
        <v>19</v>
      </c>
      <c r="B202" s="299" t="s">
        <v>382</v>
      </c>
      <c r="C202" s="299">
        <v>88248</v>
      </c>
      <c r="D202" s="300" t="s">
        <v>451</v>
      </c>
      <c r="E202" s="299" t="s">
        <v>161</v>
      </c>
      <c r="F202" s="314">
        <v>0.13600000000000001</v>
      </c>
      <c r="G202" s="315">
        <v>13.56</v>
      </c>
      <c r="H202" s="411">
        <f t="shared" si="43"/>
        <v>13.56</v>
      </c>
      <c r="I202" s="412">
        <f t="shared" si="44"/>
        <v>1.84</v>
      </c>
    </row>
    <row r="203" spans="1:10" s="87" customFormat="1" ht="24">
      <c r="A203" s="422" t="s">
        <v>19</v>
      </c>
      <c r="B203" s="299" t="s">
        <v>382</v>
      </c>
      <c r="C203" s="299">
        <v>88267</v>
      </c>
      <c r="D203" s="300" t="s">
        <v>452</v>
      </c>
      <c r="E203" s="299" t="s">
        <v>161</v>
      </c>
      <c r="F203" s="314">
        <v>0.13600000000000001</v>
      </c>
      <c r="G203" s="315">
        <v>17.22</v>
      </c>
      <c r="H203" s="411">
        <f t="shared" si="43"/>
        <v>17.22</v>
      </c>
      <c r="I203" s="412">
        <f t="shared" si="44"/>
        <v>2.34</v>
      </c>
    </row>
    <row r="204" spans="1:10" s="87" customFormat="1">
      <c r="A204" s="506" t="s">
        <v>387</v>
      </c>
      <c r="B204" s="506"/>
      <c r="C204" s="506"/>
      <c r="D204" s="506"/>
      <c r="E204" s="506"/>
      <c r="F204" s="506"/>
      <c r="G204" s="506"/>
      <c r="H204" s="507"/>
      <c r="I204" s="365">
        <f>SUM(I198:I203)</f>
        <v>14.3</v>
      </c>
    </row>
    <row r="205" spans="1:10" s="87" customFormat="1">
      <c r="A205" s="508"/>
      <c r="B205" s="508"/>
      <c r="C205" s="508"/>
      <c r="D205" s="508"/>
      <c r="E205" s="508"/>
      <c r="F205" s="508"/>
      <c r="G205" s="508"/>
      <c r="H205" s="508"/>
      <c r="I205" s="508"/>
    </row>
    <row r="206" spans="1:10" s="87" customFormat="1" ht="24">
      <c r="A206" s="409" t="s">
        <v>526</v>
      </c>
      <c r="B206" s="505" t="s">
        <v>527</v>
      </c>
      <c r="C206" s="505"/>
      <c r="D206" s="505"/>
      <c r="E206" s="505"/>
      <c r="F206" s="505"/>
      <c r="G206" s="505"/>
      <c r="H206" s="505"/>
      <c r="I206" s="410" t="str">
        <f>VLOOKUP(A206,'[1]PLANILHA ORÇAMENTÁRIA'!$B$8:$D$8000,3,FALSE)</f>
        <v>UND.</v>
      </c>
      <c r="J206" s="307">
        <f>I214</f>
        <v>11.239999999999998</v>
      </c>
    </row>
    <row r="207" spans="1:10" s="87" customFormat="1" ht="24">
      <c r="A207" s="308" t="s">
        <v>377</v>
      </c>
      <c r="B207" s="309" t="s">
        <v>378</v>
      </c>
      <c r="C207" s="310" t="s">
        <v>25</v>
      </c>
      <c r="D207" s="310" t="s">
        <v>2</v>
      </c>
      <c r="E207" s="310" t="s">
        <v>375</v>
      </c>
      <c r="F207" s="311" t="s">
        <v>379</v>
      </c>
      <c r="G207" s="312" t="s">
        <v>316</v>
      </c>
      <c r="H207" s="312" t="s">
        <v>380</v>
      </c>
      <c r="I207" s="313" t="s">
        <v>381</v>
      </c>
    </row>
    <row r="208" spans="1:10" s="87" customFormat="1" ht="36">
      <c r="A208" s="422" t="s">
        <v>463</v>
      </c>
      <c r="B208" s="299" t="s">
        <v>464</v>
      </c>
      <c r="C208" s="299" t="s">
        <v>465</v>
      </c>
      <c r="D208" s="300" t="str">
        <f>B206</f>
        <v>REGISTRO DE ESFERA, PVC, COM VOLANTE, VS, SOLDAVEL, DN 20 MM, COM CORPO DIVIDIDO</v>
      </c>
      <c r="E208" s="299" t="s">
        <v>102</v>
      </c>
      <c r="F208" s="314">
        <v>1</v>
      </c>
      <c r="G208" s="315">
        <v>9.1</v>
      </c>
      <c r="H208" s="411">
        <f t="shared" ref="H208:H213" si="45">IF(E208="H",G208,TRUNC(G208*(1-$K$5),2))</f>
        <v>9.09</v>
      </c>
      <c r="I208" s="412">
        <f t="shared" ref="I208:I213" si="46">TRUNC(H208*F208,2)</f>
        <v>9.09</v>
      </c>
    </row>
    <row r="209" spans="1:10" s="87" customFormat="1" ht="24">
      <c r="A209" s="422" t="s">
        <v>19</v>
      </c>
      <c r="B209" s="299" t="s">
        <v>385</v>
      </c>
      <c r="C209" s="299">
        <v>20080</v>
      </c>
      <c r="D209" s="300" t="s">
        <v>775</v>
      </c>
      <c r="E209" s="299" t="s">
        <v>102</v>
      </c>
      <c r="F209" s="314">
        <v>0.06</v>
      </c>
      <c r="G209" s="315">
        <v>14.05</v>
      </c>
      <c r="H209" s="411">
        <f t="shared" si="45"/>
        <v>14.04</v>
      </c>
      <c r="I209" s="412">
        <f t="shared" si="46"/>
        <v>0.84</v>
      </c>
    </row>
    <row r="210" spans="1:10" s="87" customFormat="1" ht="24">
      <c r="A210" s="422" t="s">
        <v>19</v>
      </c>
      <c r="B210" s="299" t="s">
        <v>385</v>
      </c>
      <c r="C210" s="299">
        <v>20083</v>
      </c>
      <c r="D210" s="300" t="s">
        <v>449</v>
      </c>
      <c r="E210" s="299" t="s">
        <v>102</v>
      </c>
      <c r="F210" s="314">
        <v>1.4E-2</v>
      </c>
      <c r="G210" s="315">
        <v>38.44</v>
      </c>
      <c r="H210" s="411">
        <f t="shared" si="45"/>
        <v>38.42</v>
      </c>
      <c r="I210" s="412">
        <f t="shared" si="46"/>
        <v>0.53</v>
      </c>
    </row>
    <row r="211" spans="1:10" s="87" customFormat="1">
      <c r="A211" s="422" t="s">
        <v>19</v>
      </c>
      <c r="B211" s="299" t="s">
        <v>385</v>
      </c>
      <c r="C211" s="299">
        <v>38383</v>
      </c>
      <c r="D211" s="300" t="s">
        <v>450</v>
      </c>
      <c r="E211" s="299" t="s">
        <v>102</v>
      </c>
      <c r="F211" s="314">
        <v>0.02</v>
      </c>
      <c r="G211" s="315">
        <v>1.43</v>
      </c>
      <c r="H211" s="411">
        <f t="shared" si="45"/>
        <v>1.42</v>
      </c>
      <c r="I211" s="412">
        <f t="shared" si="46"/>
        <v>0.02</v>
      </c>
    </row>
    <row r="212" spans="1:10" s="87" customFormat="1" ht="36">
      <c r="A212" s="422" t="s">
        <v>19</v>
      </c>
      <c r="B212" s="299" t="s">
        <v>382</v>
      </c>
      <c r="C212" s="299">
        <v>88248</v>
      </c>
      <c r="D212" s="300" t="s">
        <v>451</v>
      </c>
      <c r="E212" s="299" t="s">
        <v>161</v>
      </c>
      <c r="F212" s="314">
        <v>2.5000000000000001E-2</v>
      </c>
      <c r="G212" s="315">
        <v>13.56</v>
      </c>
      <c r="H212" s="411">
        <f t="shared" si="45"/>
        <v>13.56</v>
      </c>
      <c r="I212" s="412">
        <f t="shared" si="46"/>
        <v>0.33</v>
      </c>
    </row>
    <row r="213" spans="1:10" s="87" customFormat="1" ht="24">
      <c r="A213" s="422" t="s">
        <v>19</v>
      </c>
      <c r="B213" s="299" t="s">
        <v>382</v>
      </c>
      <c r="C213" s="299">
        <v>88267</v>
      </c>
      <c r="D213" s="300" t="s">
        <v>452</v>
      </c>
      <c r="E213" s="299" t="s">
        <v>161</v>
      </c>
      <c r="F213" s="314">
        <v>2.5000000000000001E-2</v>
      </c>
      <c r="G213" s="315">
        <v>17.22</v>
      </c>
      <c r="H213" s="411">
        <f t="shared" si="45"/>
        <v>17.22</v>
      </c>
      <c r="I213" s="412">
        <f t="shared" si="46"/>
        <v>0.43</v>
      </c>
    </row>
    <row r="214" spans="1:10" s="87" customFormat="1">
      <c r="A214" s="506" t="s">
        <v>387</v>
      </c>
      <c r="B214" s="506"/>
      <c r="C214" s="506"/>
      <c r="D214" s="506"/>
      <c r="E214" s="506"/>
      <c r="F214" s="506"/>
      <c r="G214" s="506"/>
      <c r="H214" s="507"/>
      <c r="I214" s="365">
        <f>SUM(I208:I213)</f>
        <v>11.239999999999998</v>
      </c>
    </row>
    <row r="215" spans="1:10" s="87" customFormat="1">
      <c r="A215" s="508"/>
      <c r="B215" s="508"/>
      <c r="C215" s="508"/>
      <c r="D215" s="508"/>
      <c r="E215" s="508"/>
      <c r="F215" s="508"/>
      <c r="G215" s="508"/>
      <c r="H215" s="508"/>
      <c r="I215" s="508"/>
    </row>
    <row r="216" spans="1:10" s="87" customFormat="1" ht="33.75" customHeight="1">
      <c r="A216" s="409">
        <v>89446</v>
      </c>
      <c r="B216" s="505" t="s">
        <v>531</v>
      </c>
      <c r="C216" s="505"/>
      <c r="D216" s="505"/>
      <c r="E216" s="505"/>
      <c r="F216" s="505"/>
      <c r="G216" s="505"/>
      <c r="H216" s="505"/>
      <c r="I216" s="410" t="str">
        <f>VLOOKUP(A216,'[1]PLANILHA ORÇAMENTÁRIA'!$B$8:$D$8000,3,FALSE)</f>
        <v>M</v>
      </c>
      <c r="J216" s="307">
        <f>I221</f>
        <v>3</v>
      </c>
    </row>
    <row r="217" spans="1:10" s="87" customFormat="1" ht="24">
      <c r="A217" s="308" t="s">
        <v>377</v>
      </c>
      <c r="B217" s="309" t="s">
        <v>378</v>
      </c>
      <c r="C217" s="310" t="s">
        <v>25</v>
      </c>
      <c r="D217" s="310" t="s">
        <v>2</v>
      </c>
      <c r="E217" s="310" t="s">
        <v>375</v>
      </c>
      <c r="F217" s="311" t="s">
        <v>379</v>
      </c>
      <c r="G217" s="312" t="s">
        <v>316</v>
      </c>
      <c r="H217" s="312" t="s">
        <v>380</v>
      </c>
      <c r="I217" s="313" t="s">
        <v>381</v>
      </c>
    </row>
    <row r="218" spans="1:10" s="87" customFormat="1" ht="24">
      <c r="A218" s="422" t="s">
        <v>19</v>
      </c>
      <c r="B218" s="299" t="s">
        <v>385</v>
      </c>
      <c r="C218" s="299">
        <v>9868</v>
      </c>
      <c r="D218" s="300" t="s">
        <v>776</v>
      </c>
      <c r="E218" s="299" t="s">
        <v>389</v>
      </c>
      <c r="F218" s="314">
        <v>1.0609999999999999</v>
      </c>
      <c r="G218" s="315">
        <v>2.39</v>
      </c>
      <c r="H218" s="411">
        <f t="shared" ref="H218:H220" si="47">IF(E218="H",G218,TRUNC(G218*(1-$K$5),2))</f>
        <v>2.38</v>
      </c>
      <c r="I218" s="412">
        <f t="shared" ref="I218:I220" si="48">TRUNC(H218*F218,2)</f>
        <v>2.52</v>
      </c>
    </row>
    <row r="219" spans="1:10" s="87" customFormat="1" ht="36">
      <c r="A219" s="422" t="s">
        <v>19</v>
      </c>
      <c r="B219" s="299" t="s">
        <v>382</v>
      </c>
      <c r="C219" s="299">
        <v>88248</v>
      </c>
      <c r="D219" s="300" t="s">
        <v>451</v>
      </c>
      <c r="E219" s="299" t="s">
        <v>161</v>
      </c>
      <c r="F219" s="314">
        <v>1.6E-2</v>
      </c>
      <c r="G219" s="315">
        <v>13.56</v>
      </c>
      <c r="H219" s="411">
        <f t="shared" si="47"/>
        <v>13.56</v>
      </c>
      <c r="I219" s="412">
        <f t="shared" si="48"/>
        <v>0.21</v>
      </c>
    </row>
    <row r="220" spans="1:10" s="87" customFormat="1" ht="24">
      <c r="A220" s="422" t="s">
        <v>19</v>
      </c>
      <c r="B220" s="299" t="s">
        <v>382</v>
      </c>
      <c r="C220" s="299">
        <v>88267</v>
      </c>
      <c r="D220" s="300" t="s">
        <v>452</v>
      </c>
      <c r="E220" s="299" t="s">
        <v>161</v>
      </c>
      <c r="F220" s="314">
        <v>1.6E-2</v>
      </c>
      <c r="G220" s="315">
        <v>17.22</v>
      </c>
      <c r="H220" s="411">
        <f t="shared" si="47"/>
        <v>17.22</v>
      </c>
      <c r="I220" s="412">
        <f t="shared" si="48"/>
        <v>0.27</v>
      </c>
    </row>
    <row r="221" spans="1:10" s="87" customFormat="1">
      <c r="A221" s="506" t="s">
        <v>387</v>
      </c>
      <c r="B221" s="506"/>
      <c r="C221" s="506"/>
      <c r="D221" s="506"/>
      <c r="E221" s="506"/>
      <c r="F221" s="506"/>
      <c r="G221" s="506"/>
      <c r="H221" s="507"/>
      <c r="I221" s="365">
        <f>SUM(I218:I220)</f>
        <v>3</v>
      </c>
    </row>
    <row r="222" spans="1:10" s="87" customFormat="1">
      <c r="A222" s="508"/>
      <c r="B222" s="508"/>
      <c r="C222" s="508"/>
      <c r="D222" s="508"/>
      <c r="E222" s="508"/>
      <c r="F222" s="508"/>
      <c r="G222" s="508"/>
      <c r="H222" s="508"/>
      <c r="I222" s="508"/>
    </row>
    <row r="223" spans="1:10" s="87" customFormat="1" ht="28.5" customHeight="1">
      <c r="A223" s="409">
        <v>89401</v>
      </c>
      <c r="B223" s="505" t="s">
        <v>520</v>
      </c>
      <c r="C223" s="505"/>
      <c r="D223" s="505"/>
      <c r="E223" s="505"/>
      <c r="F223" s="505"/>
      <c r="G223" s="505"/>
      <c r="H223" s="505"/>
      <c r="I223" s="410" t="str">
        <f>VLOOKUP(A223,'[1]PLANILHA ORÇAMENTÁRIA'!$B$8:$D$8000,3,FALSE)</f>
        <v>M</v>
      </c>
      <c r="J223" s="307">
        <f>I229</f>
        <v>4.91</v>
      </c>
    </row>
    <row r="224" spans="1:10" s="87" customFormat="1" ht="24">
      <c r="A224" s="308" t="s">
        <v>377</v>
      </c>
      <c r="B224" s="309" t="s">
        <v>378</v>
      </c>
      <c r="C224" s="310" t="s">
        <v>25</v>
      </c>
      <c r="D224" s="310" t="s">
        <v>2</v>
      </c>
      <c r="E224" s="310" t="s">
        <v>375</v>
      </c>
      <c r="F224" s="311" t="s">
        <v>379</v>
      </c>
      <c r="G224" s="312" t="s">
        <v>316</v>
      </c>
      <c r="H224" s="312" t="s">
        <v>380</v>
      </c>
      <c r="I224" s="313" t="s">
        <v>381</v>
      </c>
    </row>
    <row r="225" spans="1:10" s="87" customFormat="1" ht="24">
      <c r="A225" s="422" t="s">
        <v>19</v>
      </c>
      <c r="B225" s="299" t="s">
        <v>385</v>
      </c>
      <c r="C225" s="299">
        <v>9867</v>
      </c>
      <c r="D225" s="300" t="s">
        <v>772</v>
      </c>
      <c r="E225" s="299" t="s">
        <v>389</v>
      </c>
      <c r="F225" s="314">
        <v>1.0609999999999999</v>
      </c>
      <c r="G225" s="315">
        <v>1.8</v>
      </c>
      <c r="H225" s="411">
        <f t="shared" ref="H225:H228" si="49">IF(E225="H",G225,TRUNC(G225*(1-$K$5),2))</f>
        <v>1.79</v>
      </c>
      <c r="I225" s="412">
        <f t="shared" ref="I225:I228" si="50">TRUNC(H225*F225,2)</f>
        <v>1.89</v>
      </c>
    </row>
    <row r="226" spans="1:10" s="87" customFormat="1">
      <c r="A226" s="422" t="s">
        <v>19</v>
      </c>
      <c r="B226" s="299" t="s">
        <v>385</v>
      </c>
      <c r="C226" s="299">
        <v>38383</v>
      </c>
      <c r="D226" s="300" t="s">
        <v>450</v>
      </c>
      <c r="E226" s="299" t="s">
        <v>102</v>
      </c>
      <c r="F226" s="314">
        <v>3.2000000000000001E-2</v>
      </c>
      <c r="G226" s="315">
        <v>1.43</v>
      </c>
      <c r="H226" s="411">
        <f t="shared" si="49"/>
        <v>1.42</v>
      </c>
      <c r="I226" s="412">
        <f t="shared" si="50"/>
        <v>0.04</v>
      </c>
    </row>
    <row r="227" spans="1:10" s="87" customFormat="1" ht="36">
      <c r="A227" s="422" t="s">
        <v>19</v>
      </c>
      <c r="B227" s="299" t="s">
        <v>382</v>
      </c>
      <c r="C227" s="299">
        <v>88248</v>
      </c>
      <c r="D227" s="300" t="s">
        <v>451</v>
      </c>
      <c r="E227" s="299" t="s">
        <v>161</v>
      </c>
      <c r="F227" s="314">
        <v>9.7000000000000003E-2</v>
      </c>
      <c r="G227" s="315">
        <v>13.56</v>
      </c>
      <c r="H227" s="411">
        <f t="shared" si="49"/>
        <v>13.56</v>
      </c>
      <c r="I227" s="412">
        <f t="shared" si="50"/>
        <v>1.31</v>
      </c>
    </row>
    <row r="228" spans="1:10" s="87" customFormat="1" ht="24">
      <c r="A228" s="422" t="s">
        <v>19</v>
      </c>
      <c r="B228" s="299" t="s">
        <v>382</v>
      </c>
      <c r="C228" s="299">
        <v>88267</v>
      </c>
      <c r="D228" s="300" t="s">
        <v>452</v>
      </c>
      <c r="E228" s="299" t="s">
        <v>161</v>
      </c>
      <c r="F228" s="314">
        <v>9.7000000000000003E-2</v>
      </c>
      <c r="G228" s="315">
        <v>17.22</v>
      </c>
      <c r="H228" s="411">
        <f t="shared" si="49"/>
        <v>17.22</v>
      </c>
      <c r="I228" s="412">
        <f t="shared" si="50"/>
        <v>1.67</v>
      </c>
    </row>
    <row r="229" spans="1:10" s="87" customFormat="1">
      <c r="A229" s="506" t="s">
        <v>387</v>
      </c>
      <c r="B229" s="506"/>
      <c r="C229" s="506"/>
      <c r="D229" s="506"/>
      <c r="E229" s="506"/>
      <c r="F229" s="506"/>
      <c r="G229" s="506"/>
      <c r="H229" s="507"/>
      <c r="I229" s="365">
        <f>SUM(I225:I228)</f>
        <v>4.91</v>
      </c>
    </row>
    <row r="230" spans="1:10" s="87" customFormat="1">
      <c r="A230" s="508"/>
      <c r="B230" s="508"/>
      <c r="C230" s="508"/>
      <c r="D230" s="508"/>
      <c r="E230" s="508"/>
      <c r="F230" s="508"/>
      <c r="G230" s="508"/>
      <c r="H230" s="508"/>
      <c r="I230" s="508"/>
    </row>
    <row r="231" spans="1:10" s="87" customFormat="1" ht="36" customHeight="1">
      <c r="A231" s="409">
        <v>89393</v>
      </c>
      <c r="B231" s="505" t="s">
        <v>533</v>
      </c>
      <c r="C231" s="505"/>
      <c r="D231" s="505"/>
      <c r="E231" s="505"/>
      <c r="F231" s="505"/>
      <c r="G231" s="505"/>
      <c r="H231" s="505"/>
      <c r="I231" s="410" t="str">
        <f>VLOOKUP(A231,'[1]PLANILHA ORÇAMENTÁRIA'!$B$8:$D$8000,3,FALSE)</f>
        <v>UND.</v>
      </c>
      <c r="J231" s="307">
        <f>I239</f>
        <v>6.82</v>
      </c>
    </row>
    <row r="232" spans="1:10" s="87" customFormat="1" ht="24">
      <c r="A232" s="308" t="s">
        <v>377</v>
      </c>
      <c r="B232" s="309" t="s">
        <v>378</v>
      </c>
      <c r="C232" s="310" t="s">
        <v>25</v>
      </c>
      <c r="D232" s="310" t="s">
        <v>2</v>
      </c>
      <c r="E232" s="310" t="s">
        <v>375</v>
      </c>
      <c r="F232" s="311" t="s">
        <v>379</v>
      </c>
      <c r="G232" s="312" t="s">
        <v>316</v>
      </c>
      <c r="H232" s="312" t="s">
        <v>380</v>
      </c>
      <c r="I232" s="313" t="s">
        <v>381</v>
      </c>
    </row>
    <row r="233" spans="1:10" s="87" customFormat="1" ht="24">
      <c r="A233" s="422" t="s">
        <v>19</v>
      </c>
      <c r="B233" s="299" t="s">
        <v>385</v>
      </c>
      <c r="C233" s="299">
        <v>122</v>
      </c>
      <c r="D233" s="300" t="s">
        <v>448</v>
      </c>
      <c r="E233" s="299" t="s">
        <v>102</v>
      </c>
      <c r="F233" s="314">
        <v>8.9999999999999993E-3</v>
      </c>
      <c r="G233" s="315">
        <v>44.26</v>
      </c>
      <c r="H233" s="411">
        <f t="shared" ref="H233:H238" si="51">IF(E233="H",G233,TRUNC(G233*(1-$K$5),2))</f>
        <v>44.23</v>
      </c>
      <c r="I233" s="412">
        <f t="shared" ref="I233:I238" si="52">TRUNC(H233*F233,2)</f>
        <v>0.39</v>
      </c>
    </row>
    <row r="234" spans="1:10" s="87" customFormat="1" ht="24">
      <c r="A234" s="422" t="s">
        <v>19</v>
      </c>
      <c r="B234" s="299" t="s">
        <v>385</v>
      </c>
      <c r="C234" s="299">
        <v>7138</v>
      </c>
      <c r="D234" s="300" t="s">
        <v>777</v>
      </c>
      <c r="E234" s="299" t="s">
        <v>102</v>
      </c>
      <c r="F234" s="314">
        <v>1</v>
      </c>
      <c r="G234" s="315">
        <v>0.72</v>
      </c>
      <c r="H234" s="411">
        <f t="shared" si="51"/>
        <v>0.71</v>
      </c>
      <c r="I234" s="412">
        <f t="shared" si="52"/>
        <v>0.71</v>
      </c>
    </row>
    <row r="235" spans="1:10" s="87" customFormat="1" ht="24">
      <c r="A235" s="422" t="s">
        <v>19</v>
      </c>
      <c r="B235" s="299" t="s">
        <v>385</v>
      </c>
      <c r="C235" s="299">
        <v>20083</v>
      </c>
      <c r="D235" s="300" t="s">
        <v>449</v>
      </c>
      <c r="E235" s="299" t="s">
        <v>102</v>
      </c>
      <c r="F235" s="314">
        <v>8.9999999999999993E-3</v>
      </c>
      <c r="G235" s="315">
        <v>38.44</v>
      </c>
      <c r="H235" s="411">
        <f t="shared" si="51"/>
        <v>38.42</v>
      </c>
      <c r="I235" s="412">
        <f t="shared" si="52"/>
        <v>0.34</v>
      </c>
    </row>
    <row r="236" spans="1:10" s="87" customFormat="1">
      <c r="A236" s="422" t="s">
        <v>19</v>
      </c>
      <c r="B236" s="299" t="s">
        <v>385</v>
      </c>
      <c r="C236" s="299">
        <v>38383</v>
      </c>
      <c r="D236" s="300" t="s">
        <v>450</v>
      </c>
      <c r="E236" s="299" t="s">
        <v>102</v>
      </c>
      <c r="F236" s="314">
        <v>6.5000000000000002E-2</v>
      </c>
      <c r="G236" s="315">
        <v>1.43</v>
      </c>
      <c r="H236" s="411">
        <f t="shared" si="51"/>
        <v>1.42</v>
      </c>
      <c r="I236" s="412">
        <f t="shared" si="52"/>
        <v>0.09</v>
      </c>
    </row>
    <row r="237" spans="1:10" s="87" customFormat="1" ht="36">
      <c r="A237" s="422" t="s">
        <v>19</v>
      </c>
      <c r="B237" s="299" t="s">
        <v>382</v>
      </c>
      <c r="C237" s="299">
        <v>88248</v>
      </c>
      <c r="D237" s="300" t="s">
        <v>451</v>
      </c>
      <c r="E237" s="299" t="s">
        <v>161</v>
      </c>
      <c r="F237" s="314">
        <v>0.17199999999999999</v>
      </c>
      <c r="G237" s="315">
        <v>13.56</v>
      </c>
      <c r="H237" s="411">
        <f t="shared" si="51"/>
        <v>13.56</v>
      </c>
      <c r="I237" s="412">
        <f t="shared" si="52"/>
        <v>2.33</v>
      </c>
    </row>
    <row r="238" spans="1:10" s="87" customFormat="1" ht="24">
      <c r="A238" s="422" t="s">
        <v>19</v>
      </c>
      <c r="B238" s="299" t="s">
        <v>382</v>
      </c>
      <c r="C238" s="299">
        <v>88267</v>
      </c>
      <c r="D238" s="300" t="s">
        <v>452</v>
      </c>
      <c r="E238" s="299" t="s">
        <v>161</v>
      </c>
      <c r="F238" s="314">
        <v>0.17199999999999999</v>
      </c>
      <c r="G238" s="315">
        <v>17.22</v>
      </c>
      <c r="H238" s="411">
        <f t="shared" si="51"/>
        <v>17.22</v>
      </c>
      <c r="I238" s="412">
        <f t="shared" si="52"/>
        <v>2.96</v>
      </c>
    </row>
    <row r="239" spans="1:10" s="87" customFormat="1">
      <c r="A239" s="506" t="s">
        <v>387</v>
      </c>
      <c r="B239" s="506"/>
      <c r="C239" s="506"/>
      <c r="D239" s="506"/>
      <c r="E239" s="506"/>
      <c r="F239" s="506"/>
      <c r="G239" s="506"/>
      <c r="H239" s="507"/>
      <c r="I239" s="365">
        <f>SUM(I233:I238)</f>
        <v>6.82</v>
      </c>
    </row>
    <row r="240" spans="1:10" s="87" customFormat="1">
      <c r="A240" s="508"/>
      <c r="B240" s="508"/>
      <c r="C240" s="508"/>
      <c r="D240" s="508"/>
      <c r="E240" s="508"/>
      <c r="F240" s="508"/>
      <c r="G240" s="508"/>
      <c r="H240" s="508"/>
      <c r="I240" s="508"/>
    </row>
    <row r="241" spans="1:10" s="87" customFormat="1" ht="32.25" customHeight="1">
      <c r="A241" s="409">
        <v>89395</v>
      </c>
      <c r="B241" s="505" t="s">
        <v>534</v>
      </c>
      <c r="C241" s="505"/>
      <c r="D241" s="505"/>
      <c r="E241" s="505"/>
      <c r="F241" s="505"/>
      <c r="G241" s="505"/>
      <c r="H241" s="505"/>
      <c r="I241" s="410" t="str">
        <f>VLOOKUP(A241,'[1]PLANILHA ORÇAMENTÁRIA'!$B$8:$D$8000,3,FALSE)</f>
        <v>UND.</v>
      </c>
      <c r="J241" s="307">
        <f>I249</f>
        <v>8.18</v>
      </c>
    </row>
    <row r="242" spans="1:10" s="87" customFormat="1" ht="24">
      <c r="A242" s="308" t="s">
        <v>377</v>
      </c>
      <c r="B242" s="309" t="s">
        <v>378</v>
      </c>
      <c r="C242" s="310" t="s">
        <v>25</v>
      </c>
      <c r="D242" s="310" t="s">
        <v>2</v>
      </c>
      <c r="E242" s="310" t="s">
        <v>375</v>
      </c>
      <c r="F242" s="311" t="s">
        <v>379</v>
      </c>
      <c r="G242" s="312" t="s">
        <v>316</v>
      </c>
      <c r="H242" s="312" t="s">
        <v>380</v>
      </c>
      <c r="I242" s="313" t="s">
        <v>381</v>
      </c>
    </row>
    <row r="243" spans="1:10" s="87" customFormat="1" ht="24">
      <c r="A243" s="422" t="s">
        <v>19</v>
      </c>
      <c r="B243" s="299" t="s">
        <v>385</v>
      </c>
      <c r="C243" s="299">
        <v>122</v>
      </c>
      <c r="D243" s="300" t="s">
        <v>448</v>
      </c>
      <c r="E243" s="299" t="s">
        <v>102</v>
      </c>
      <c r="F243" s="314">
        <v>1.0999999999999999E-2</v>
      </c>
      <c r="G243" s="315">
        <v>44.26</v>
      </c>
      <c r="H243" s="411">
        <f t="shared" ref="H243:H248" si="53">IF(E243="H",G243,TRUNC(G243*(1-$K$5),2))</f>
        <v>44.23</v>
      </c>
      <c r="I243" s="412">
        <f t="shared" ref="I243:I248" si="54">TRUNC(H243*F243,2)</f>
        <v>0.48</v>
      </c>
    </row>
    <row r="244" spans="1:10" s="87" customFormat="1" ht="24">
      <c r="A244" s="422" t="s">
        <v>19</v>
      </c>
      <c r="B244" s="299" t="s">
        <v>385</v>
      </c>
      <c r="C244" s="299">
        <v>7139</v>
      </c>
      <c r="D244" s="300" t="s">
        <v>778</v>
      </c>
      <c r="E244" s="299" t="s">
        <v>102</v>
      </c>
      <c r="F244" s="314">
        <v>1</v>
      </c>
      <c r="G244" s="315">
        <v>1</v>
      </c>
      <c r="H244" s="411">
        <f t="shared" si="53"/>
        <v>0.99</v>
      </c>
      <c r="I244" s="412">
        <f t="shared" si="54"/>
        <v>0.99</v>
      </c>
    </row>
    <row r="245" spans="1:10" s="87" customFormat="1" ht="24">
      <c r="A245" s="422" t="s">
        <v>19</v>
      </c>
      <c r="B245" s="299" t="s">
        <v>385</v>
      </c>
      <c r="C245" s="299">
        <v>20083</v>
      </c>
      <c r="D245" s="300" t="s">
        <v>449</v>
      </c>
      <c r="E245" s="299" t="s">
        <v>102</v>
      </c>
      <c r="F245" s="314">
        <v>1.2E-2</v>
      </c>
      <c r="G245" s="315">
        <v>38.44</v>
      </c>
      <c r="H245" s="411">
        <f t="shared" si="53"/>
        <v>38.42</v>
      </c>
      <c r="I245" s="412">
        <f t="shared" si="54"/>
        <v>0.46</v>
      </c>
    </row>
    <row r="246" spans="1:10" s="87" customFormat="1">
      <c r="A246" s="422" t="s">
        <v>19</v>
      </c>
      <c r="B246" s="299" t="s">
        <v>385</v>
      </c>
      <c r="C246" s="299">
        <v>38383</v>
      </c>
      <c r="D246" s="300" t="s">
        <v>450</v>
      </c>
      <c r="E246" s="299" t="s">
        <v>102</v>
      </c>
      <c r="F246" s="314">
        <v>7.4999999999999997E-2</v>
      </c>
      <c r="G246" s="315">
        <v>1.43</v>
      </c>
      <c r="H246" s="411">
        <f t="shared" si="53"/>
        <v>1.42</v>
      </c>
      <c r="I246" s="412">
        <f t="shared" si="54"/>
        <v>0.1</v>
      </c>
    </row>
    <row r="247" spans="1:10" s="87" customFormat="1" ht="36">
      <c r="A247" s="422" t="s">
        <v>19</v>
      </c>
      <c r="B247" s="299" t="s">
        <v>382</v>
      </c>
      <c r="C247" s="299">
        <v>88248</v>
      </c>
      <c r="D247" s="300" t="s">
        <v>451</v>
      </c>
      <c r="E247" s="299" t="s">
        <v>161</v>
      </c>
      <c r="F247" s="314">
        <v>0.2</v>
      </c>
      <c r="G247" s="315">
        <v>13.56</v>
      </c>
      <c r="H247" s="411">
        <f t="shared" si="53"/>
        <v>13.56</v>
      </c>
      <c r="I247" s="412">
        <f t="shared" si="54"/>
        <v>2.71</v>
      </c>
    </row>
    <row r="248" spans="1:10" s="87" customFormat="1" ht="24">
      <c r="A248" s="422" t="s">
        <v>19</v>
      </c>
      <c r="B248" s="299" t="s">
        <v>382</v>
      </c>
      <c r="C248" s="299">
        <v>88267</v>
      </c>
      <c r="D248" s="300" t="s">
        <v>452</v>
      </c>
      <c r="E248" s="299" t="s">
        <v>161</v>
      </c>
      <c r="F248" s="314">
        <v>0.2</v>
      </c>
      <c r="G248" s="315">
        <v>17.22</v>
      </c>
      <c r="H248" s="411">
        <f t="shared" si="53"/>
        <v>17.22</v>
      </c>
      <c r="I248" s="412">
        <f t="shared" si="54"/>
        <v>3.44</v>
      </c>
    </row>
    <row r="249" spans="1:10" s="87" customFormat="1">
      <c r="A249" s="506" t="s">
        <v>387</v>
      </c>
      <c r="B249" s="506"/>
      <c r="C249" s="506"/>
      <c r="D249" s="506"/>
      <c r="E249" s="506"/>
      <c r="F249" s="506"/>
      <c r="G249" s="506"/>
      <c r="H249" s="507"/>
      <c r="I249" s="365">
        <f>SUM(I243:I248)</f>
        <v>8.18</v>
      </c>
    </row>
    <row r="250" spans="1:10" s="87" customFormat="1">
      <c r="A250" s="508"/>
      <c r="B250" s="508"/>
      <c r="C250" s="508"/>
      <c r="D250" s="508"/>
      <c r="E250" s="508"/>
      <c r="F250" s="508"/>
      <c r="G250" s="508"/>
      <c r="H250" s="508"/>
      <c r="I250" s="508"/>
    </row>
    <row r="251" spans="1:10" s="87" customFormat="1" ht="36" customHeight="1">
      <c r="A251" s="409">
        <v>89481</v>
      </c>
      <c r="B251" s="505" t="s">
        <v>536</v>
      </c>
      <c r="C251" s="505"/>
      <c r="D251" s="505"/>
      <c r="E251" s="505"/>
      <c r="F251" s="505"/>
      <c r="G251" s="505"/>
      <c r="H251" s="505"/>
      <c r="I251" s="410" t="str">
        <f>VLOOKUP(A251,'[1]PLANILHA ORÇAMENTÁRIA'!$B$8:$D$8000,3,FALSE)</f>
        <v>UND.</v>
      </c>
      <c r="J251" s="307">
        <f>I259</f>
        <v>3.04</v>
      </c>
    </row>
    <row r="252" spans="1:10" s="87" customFormat="1" ht="24">
      <c r="A252" s="308" t="s">
        <v>377</v>
      </c>
      <c r="B252" s="309" t="s">
        <v>378</v>
      </c>
      <c r="C252" s="310" t="s">
        <v>25</v>
      </c>
      <c r="D252" s="310" t="s">
        <v>2</v>
      </c>
      <c r="E252" s="310" t="s">
        <v>375</v>
      </c>
      <c r="F252" s="311" t="s">
        <v>379</v>
      </c>
      <c r="G252" s="312" t="s">
        <v>316</v>
      </c>
      <c r="H252" s="312" t="s">
        <v>380</v>
      </c>
      <c r="I252" s="313" t="s">
        <v>381</v>
      </c>
    </row>
    <row r="253" spans="1:10" s="87" customFormat="1" ht="24">
      <c r="A253" s="422" t="s">
        <v>19</v>
      </c>
      <c r="B253" s="299" t="s">
        <v>385</v>
      </c>
      <c r="C253" s="299">
        <v>122</v>
      </c>
      <c r="D253" s="300" t="s">
        <v>448</v>
      </c>
      <c r="E253" s="299" t="s">
        <v>102</v>
      </c>
      <c r="F253" s="314">
        <v>7.0000000000000001E-3</v>
      </c>
      <c r="G253" s="315">
        <v>44.26</v>
      </c>
      <c r="H253" s="411">
        <f t="shared" ref="H253:H258" si="55">IF(E253="H",G253,TRUNC(G253*(1-$K$5),2))</f>
        <v>44.23</v>
      </c>
      <c r="I253" s="412">
        <f t="shared" ref="I253:I258" si="56">TRUNC(H253*F253,2)</f>
        <v>0.3</v>
      </c>
    </row>
    <row r="254" spans="1:10" s="87" customFormat="1" ht="24">
      <c r="A254" s="422" t="s">
        <v>19</v>
      </c>
      <c r="B254" s="299" t="s">
        <v>385</v>
      </c>
      <c r="C254" s="299">
        <v>3529</v>
      </c>
      <c r="D254" s="300" t="s">
        <v>779</v>
      </c>
      <c r="E254" s="299" t="s">
        <v>102</v>
      </c>
      <c r="F254" s="314">
        <v>1</v>
      </c>
      <c r="G254" s="315">
        <v>0.6</v>
      </c>
      <c r="H254" s="411">
        <f t="shared" si="55"/>
        <v>0.59</v>
      </c>
      <c r="I254" s="412">
        <f t="shared" si="56"/>
        <v>0.59</v>
      </c>
    </row>
    <row r="255" spans="1:10" s="87" customFormat="1" ht="24">
      <c r="A255" s="422" t="s">
        <v>19</v>
      </c>
      <c r="B255" s="299" t="s">
        <v>385</v>
      </c>
      <c r="C255" s="299">
        <v>20083</v>
      </c>
      <c r="D255" s="300" t="s">
        <v>449</v>
      </c>
      <c r="E255" s="299" t="s">
        <v>102</v>
      </c>
      <c r="F255" s="314">
        <v>8.0000000000000002E-3</v>
      </c>
      <c r="G255" s="315">
        <v>38.44</v>
      </c>
      <c r="H255" s="411">
        <f t="shared" si="55"/>
        <v>38.42</v>
      </c>
      <c r="I255" s="412">
        <f t="shared" si="56"/>
        <v>0.3</v>
      </c>
    </row>
    <row r="256" spans="1:10" s="87" customFormat="1">
      <c r="A256" s="422" t="s">
        <v>19</v>
      </c>
      <c r="B256" s="299" t="s">
        <v>385</v>
      </c>
      <c r="C256" s="299">
        <v>38383</v>
      </c>
      <c r="D256" s="300" t="s">
        <v>450</v>
      </c>
      <c r="E256" s="299" t="s">
        <v>102</v>
      </c>
      <c r="F256" s="314">
        <v>1.2999999999999999E-2</v>
      </c>
      <c r="G256" s="315">
        <v>1.43</v>
      </c>
      <c r="H256" s="411">
        <f t="shared" si="55"/>
        <v>1.42</v>
      </c>
      <c r="I256" s="412">
        <f t="shared" si="56"/>
        <v>0.01</v>
      </c>
    </row>
    <row r="257" spans="1:10" s="87" customFormat="1" ht="36">
      <c r="A257" s="422" t="s">
        <v>19</v>
      </c>
      <c r="B257" s="299" t="s">
        <v>382</v>
      </c>
      <c r="C257" s="299">
        <v>88248</v>
      </c>
      <c r="D257" s="300" t="s">
        <v>451</v>
      </c>
      <c r="E257" s="299" t="s">
        <v>161</v>
      </c>
      <c r="F257" s="314">
        <v>0.06</v>
      </c>
      <c r="G257" s="315">
        <v>13.56</v>
      </c>
      <c r="H257" s="411">
        <f t="shared" si="55"/>
        <v>13.56</v>
      </c>
      <c r="I257" s="412">
        <f t="shared" si="56"/>
        <v>0.81</v>
      </c>
    </row>
    <row r="258" spans="1:10" s="87" customFormat="1" ht="24">
      <c r="A258" s="422" t="s">
        <v>19</v>
      </c>
      <c r="B258" s="299" t="s">
        <v>382</v>
      </c>
      <c r="C258" s="299">
        <v>88267</v>
      </c>
      <c r="D258" s="300" t="s">
        <v>452</v>
      </c>
      <c r="E258" s="299" t="s">
        <v>161</v>
      </c>
      <c r="F258" s="314">
        <v>0.06</v>
      </c>
      <c r="G258" s="315">
        <v>17.22</v>
      </c>
      <c r="H258" s="411">
        <f t="shared" si="55"/>
        <v>17.22</v>
      </c>
      <c r="I258" s="412">
        <f t="shared" si="56"/>
        <v>1.03</v>
      </c>
    </row>
    <row r="259" spans="1:10" s="87" customFormat="1">
      <c r="A259" s="506" t="s">
        <v>387</v>
      </c>
      <c r="B259" s="506"/>
      <c r="C259" s="506"/>
      <c r="D259" s="506"/>
      <c r="E259" s="506"/>
      <c r="F259" s="506"/>
      <c r="G259" s="506"/>
      <c r="H259" s="507"/>
      <c r="I259" s="365">
        <f>SUM(I253:I258)</f>
        <v>3.04</v>
      </c>
    </row>
    <row r="260" spans="1:10" s="87" customFormat="1">
      <c r="A260" s="508"/>
      <c r="B260" s="508"/>
      <c r="C260" s="508"/>
      <c r="D260" s="508"/>
      <c r="E260" s="508"/>
      <c r="F260" s="508"/>
      <c r="G260" s="508"/>
      <c r="H260" s="508"/>
      <c r="I260" s="508"/>
    </row>
    <row r="261" spans="1:10" s="87" customFormat="1" ht="26.25" customHeight="1">
      <c r="A261" s="409">
        <v>89404</v>
      </c>
      <c r="B261" s="505" t="s">
        <v>538</v>
      </c>
      <c r="C261" s="505"/>
      <c r="D261" s="505"/>
      <c r="E261" s="505"/>
      <c r="F261" s="505"/>
      <c r="G261" s="505"/>
      <c r="H261" s="505"/>
      <c r="I261" s="410" t="str">
        <f>VLOOKUP(A261,'[1]PLANILHA ORÇAMENTÁRIA'!$B$8:$D$8000,3,FALSE)</f>
        <v>UND.</v>
      </c>
      <c r="J261" s="307">
        <f>I269</f>
        <v>3.2700000000000005</v>
      </c>
    </row>
    <row r="262" spans="1:10" s="87" customFormat="1" ht="24">
      <c r="A262" s="308" t="s">
        <v>377</v>
      </c>
      <c r="B262" s="309" t="s">
        <v>378</v>
      </c>
      <c r="C262" s="310" t="s">
        <v>25</v>
      </c>
      <c r="D262" s="310" t="s">
        <v>2</v>
      </c>
      <c r="E262" s="310" t="s">
        <v>375</v>
      </c>
      <c r="F262" s="311" t="s">
        <v>379</v>
      </c>
      <c r="G262" s="312" t="s">
        <v>316</v>
      </c>
      <c r="H262" s="312" t="s">
        <v>380</v>
      </c>
      <c r="I262" s="313" t="s">
        <v>381</v>
      </c>
    </row>
    <row r="263" spans="1:10" s="87" customFormat="1" ht="24">
      <c r="A263" s="422" t="s">
        <v>19</v>
      </c>
      <c r="B263" s="299" t="s">
        <v>385</v>
      </c>
      <c r="C263" s="299">
        <v>122</v>
      </c>
      <c r="D263" s="300" t="s">
        <v>448</v>
      </c>
      <c r="E263" s="299" t="s">
        <v>102</v>
      </c>
      <c r="F263" s="314">
        <v>6.0000000000000001E-3</v>
      </c>
      <c r="G263" s="315">
        <v>44.26</v>
      </c>
      <c r="H263" s="411">
        <f t="shared" ref="H263:H268" si="57">IF(E263="H",G263,TRUNC(G263*(1-$K$5),2))</f>
        <v>44.23</v>
      </c>
      <c r="I263" s="412">
        <f t="shared" ref="I263:I268" si="58">TRUNC(H263*F263,2)</f>
        <v>0.26</v>
      </c>
    </row>
    <row r="264" spans="1:10" s="87" customFormat="1" ht="24">
      <c r="A264" s="422" t="s">
        <v>19</v>
      </c>
      <c r="B264" s="299" t="s">
        <v>385</v>
      </c>
      <c r="C264" s="299">
        <v>3542</v>
      </c>
      <c r="D264" s="300" t="s">
        <v>773</v>
      </c>
      <c r="E264" s="299" t="s">
        <v>102</v>
      </c>
      <c r="F264" s="314">
        <v>1</v>
      </c>
      <c r="G264" s="315">
        <v>0.4</v>
      </c>
      <c r="H264" s="411">
        <f t="shared" si="57"/>
        <v>0.39</v>
      </c>
      <c r="I264" s="412">
        <f t="shared" si="58"/>
        <v>0.39</v>
      </c>
    </row>
    <row r="265" spans="1:10" s="87" customFormat="1" ht="24">
      <c r="A265" s="422" t="s">
        <v>19</v>
      </c>
      <c r="B265" s="299" t="s">
        <v>385</v>
      </c>
      <c r="C265" s="299">
        <v>20083</v>
      </c>
      <c r="D265" s="300" t="s">
        <v>449</v>
      </c>
      <c r="E265" s="299" t="s">
        <v>102</v>
      </c>
      <c r="F265" s="314">
        <v>6.0000000000000001E-3</v>
      </c>
      <c r="G265" s="315">
        <v>38.44</v>
      </c>
      <c r="H265" s="411">
        <f t="shared" si="57"/>
        <v>38.42</v>
      </c>
      <c r="I265" s="412">
        <f t="shared" si="58"/>
        <v>0.23</v>
      </c>
    </row>
    <row r="266" spans="1:10" s="87" customFormat="1">
      <c r="A266" s="422" t="s">
        <v>19</v>
      </c>
      <c r="B266" s="299" t="s">
        <v>385</v>
      </c>
      <c r="C266" s="299">
        <v>38383</v>
      </c>
      <c r="D266" s="300" t="s">
        <v>450</v>
      </c>
      <c r="E266" s="299" t="s">
        <v>102</v>
      </c>
      <c r="F266" s="314">
        <v>2.5999999999999999E-2</v>
      </c>
      <c r="G266" s="315">
        <v>1.43</v>
      </c>
      <c r="H266" s="411">
        <f t="shared" si="57"/>
        <v>1.42</v>
      </c>
      <c r="I266" s="412">
        <f t="shared" si="58"/>
        <v>0.03</v>
      </c>
    </row>
    <row r="267" spans="1:10" s="87" customFormat="1" ht="36">
      <c r="A267" s="422" t="s">
        <v>19</v>
      </c>
      <c r="B267" s="299" t="s">
        <v>382</v>
      </c>
      <c r="C267" s="299">
        <v>88248</v>
      </c>
      <c r="D267" s="300" t="s">
        <v>451</v>
      </c>
      <c r="E267" s="299" t="s">
        <v>161</v>
      </c>
      <c r="F267" s="314">
        <v>7.6999999999999999E-2</v>
      </c>
      <c r="G267" s="315">
        <v>13.56</v>
      </c>
      <c r="H267" s="411">
        <f t="shared" si="57"/>
        <v>13.56</v>
      </c>
      <c r="I267" s="412">
        <f t="shared" si="58"/>
        <v>1.04</v>
      </c>
    </row>
    <row r="268" spans="1:10" s="87" customFormat="1" ht="24">
      <c r="A268" s="422" t="s">
        <v>19</v>
      </c>
      <c r="B268" s="299" t="s">
        <v>382</v>
      </c>
      <c r="C268" s="299">
        <v>88267</v>
      </c>
      <c r="D268" s="300" t="s">
        <v>452</v>
      </c>
      <c r="E268" s="299" t="s">
        <v>161</v>
      </c>
      <c r="F268" s="314">
        <v>7.6999999999999999E-2</v>
      </c>
      <c r="G268" s="315">
        <v>17.22</v>
      </c>
      <c r="H268" s="411">
        <f t="shared" si="57"/>
        <v>17.22</v>
      </c>
      <c r="I268" s="412">
        <f t="shared" si="58"/>
        <v>1.32</v>
      </c>
    </row>
    <row r="269" spans="1:10" s="87" customFormat="1">
      <c r="A269" s="506" t="s">
        <v>387</v>
      </c>
      <c r="B269" s="506"/>
      <c r="C269" s="506"/>
      <c r="D269" s="506"/>
      <c r="E269" s="506"/>
      <c r="F269" s="506"/>
      <c r="G269" s="506"/>
      <c r="H269" s="507"/>
      <c r="I269" s="365">
        <f>SUM(I263:I268)</f>
        <v>3.2700000000000005</v>
      </c>
    </row>
    <row r="270" spans="1:10" s="87" customFormat="1">
      <c r="A270" s="508"/>
      <c r="B270" s="508"/>
      <c r="C270" s="508"/>
      <c r="D270" s="508"/>
      <c r="E270" s="508"/>
      <c r="F270" s="508"/>
      <c r="G270" s="508"/>
      <c r="H270" s="508"/>
      <c r="I270" s="508"/>
    </row>
    <row r="271" spans="1:10" s="87" customFormat="1" ht="24">
      <c r="A271" s="409" t="s">
        <v>540</v>
      </c>
      <c r="B271" s="505" t="s">
        <v>541</v>
      </c>
      <c r="C271" s="505"/>
      <c r="D271" s="505"/>
      <c r="E271" s="505"/>
      <c r="F271" s="505"/>
      <c r="G271" s="505"/>
      <c r="H271" s="505"/>
      <c r="I271" s="410" t="str">
        <f>VLOOKUP(A271,'[1]PLANILHA ORÇAMENTÁRIA'!$B$8:$D$8000,3,FALSE)</f>
        <v>UND.</v>
      </c>
      <c r="J271" s="307">
        <f>I274</f>
        <v>4.46</v>
      </c>
    </row>
    <row r="272" spans="1:10" s="87" customFormat="1" ht="24">
      <c r="A272" s="308" t="s">
        <v>377</v>
      </c>
      <c r="B272" s="309" t="s">
        <v>378</v>
      </c>
      <c r="C272" s="310" t="s">
        <v>25</v>
      </c>
      <c r="D272" s="310" t="s">
        <v>2</v>
      </c>
      <c r="E272" s="310" t="s">
        <v>375</v>
      </c>
      <c r="F272" s="311" t="s">
        <v>379</v>
      </c>
      <c r="G272" s="312" t="s">
        <v>316</v>
      </c>
      <c r="H272" s="312" t="s">
        <v>380</v>
      </c>
      <c r="I272" s="313" t="s">
        <v>381</v>
      </c>
    </row>
    <row r="273" spans="1:10" s="87" customFormat="1" ht="24">
      <c r="A273" s="422" t="s">
        <v>463</v>
      </c>
      <c r="B273" s="299" t="s">
        <v>464</v>
      </c>
      <c r="C273" s="299" t="s">
        <v>465</v>
      </c>
      <c r="D273" s="300" t="str">
        <f>B271</f>
        <v>JOELHO PVC SOLD 90G C/BUCHA DE LATAO 20MM X 1/2" PARA AGUA FRIA PREDIAL</v>
      </c>
      <c r="E273" s="299" t="s">
        <v>102</v>
      </c>
      <c r="F273" s="314">
        <v>1</v>
      </c>
      <c r="G273" s="315">
        <v>4.47</v>
      </c>
      <c r="H273" s="411">
        <f t="shared" ref="H273" si="59">IF(E273="H",G273,TRUNC(G273*(1-$K$5),2))</f>
        <v>4.46</v>
      </c>
      <c r="I273" s="412">
        <f t="shared" ref="I273" si="60">TRUNC(H273*F273,2)</f>
        <v>4.46</v>
      </c>
    </row>
    <row r="274" spans="1:10" s="87" customFormat="1">
      <c r="A274" s="506" t="s">
        <v>387</v>
      </c>
      <c r="B274" s="506"/>
      <c r="C274" s="506"/>
      <c r="D274" s="506"/>
      <c r="E274" s="506"/>
      <c r="F274" s="506"/>
      <c r="G274" s="506"/>
      <c r="H274" s="507"/>
      <c r="I274" s="365">
        <f>SUM(I273:I273)</f>
        <v>4.46</v>
      </c>
    </row>
    <row r="275" spans="1:10" s="87" customFormat="1">
      <c r="A275" s="508"/>
      <c r="B275" s="508"/>
      <c r="C275" s="508"/>
      <c r="D275" s="508"/>
      <c r="E275" s="508"/>
      <c r="F275" s="508"/>
      <c r="G275" s="508"/>
      <c r="H275" s="508"/>
      <c r="I275" s="508"/>
    </row>
    <row r="276" spans="1:10" s="87" customFormat="1" ht="27" customHeight="1">
      <c r="A276" s="409">
        <v>89373</v>
      </c>
      <c r="B276" s="505" t="s">
        <v>543</v>
      </c>
      <c r="C276" s="505"/>
      <c r="D276" s="505"/>
      <c r="E276" s="505"/>
      <c r="F276" s="505"/>
      <c r="G276" s="505"/>
      <c r="H276" s="505"/>
      <c r="I276" s="410" t="str">
        <f>VLOOKUP(A276,'[1]PLANILHA ORÇAMENTÁRIA'!$B$8:$D$8000,3,FALSE)</f>
        <v>UND.</v>
      </c>
      <c r="J276" s="307">
        <f>I284</f>
        <v>3.29</v>
      </c>
    </row>
    <row r="277" spans="1:10" s="87" customFormat="1" ht="24">
      <c r="A277" s="308" t="s">
        <v>377</v>
      </c>
      <c r="B277" s="309" t="s">
        <v>378</v>
      </c>
      <c r="C277" s="310" t="s">
        <v>25</v>
      </c>
      <c r="D277" s="310" t="s">
        <v>2</v>
      </c>
      <c r="E277" s="310" t="s">
        <v>375</v>
      </c>
      <c r="F277" s="311" t="s">
        <v>379</v>
      </c>
      <c r="G277" s="312" t="s">
        <v>316</v>
      </c>
      <c r="H277" s="312" t="s">
        <v>380</v>
      </c>
      <c r="I277" s="313" t="s">
        <v>381</v>
      </c>
    </row>
    <row r="278" spans="1:10" s="87" customFormat="1" ht="24">
      <c r="A278" s="422" t="s">
        <v>19</v>
      </c>
      <c r="B278" s="299" t="s">
        <v>385</v>
      </c>
      <c r="C278" s="299">
        <v>122</v>
      </c>
      <c r="D278" s="300" t="s">
        <v>448</v>
      </c>
      <c r="E278" s="299" t="s">
        <v>102</v>
      </c>
      <c r="F278" s="314">
        <v>6.0000000000000001E-3</v>
      </c>
      <c r="G278" s="315">
        <v>44.26</v>
      </c>
      <c r="H278" s="411">
        <f t="shared" ref="H278:H283" si="61">IF(E278="H",G278,TRUNC(G278*(1-$K$5),2))</f>
        <v>44.23</v>
      </c>
      <c r="I278" s="412">
        <f t="shared" ref="I278:I283" si="62">TRUNC(H278*F278,2)</f>
        <v>0.26</v>
      </c>
    </row>
    <row r="279" spans="1:10" s="87" customFormat="1" ht="24">
      <c r="A279" s="422" t="s">
        <v>19</v>
      </c>
      <c r="B279" s="299" t="s">
        <v>385</v>
      </c>
      <c r="C279" s="299">
        <v>3868</v>
      </c>
      <c r="D279" s="300" t="s">
        <v>780</v>
      </c>
      <c r="E279" s="299" t="s">
        <v>102</v>
      </c>
      <c r="F279" s="314">
        <v>1</v>
      </c>
      <c r="G279" s="315">
        <v>0.81</v>
      </c>
      <c r="H279" s="411">
        <f t="shared" si="61"/>
        <v>0.8</v>
      </c>
      <c r="I279" s="412">
        <f t="shared" si="62"/>
        <v>0.8</v>
      </c>
    </row>
    <row r="280" spans="1:10" s="87" customFormat="1" ht="24">
      <c r="A280" s="422" t="s">
        <v>19</v>
      </c>
      <c r="B280" s="299" t="s">
        <v>385</v>
      </c>
      <c r="C280" s="299">
        <v>20083</v>
      </c>
      <c r="D280" s="300" t="s">
        <v>449</v>
      </c>
      <c r="E280" s="299" t="s">
        <v>102</v>
      </c>
      <c r="F280" s="314">
        <v>6.0000000000000001E-3</v>
      </c>
      <c r="G280" s="315">
        <v>38.44</v>
      </c>
      <c r="H280" s="411">
        <f t="shared" si="61"/>
        <v>38.42</v>
      </c>
      <c r="I280" s="412">
        <f t="shared" si="62"/>
        <v>0.23</v>
      </c>
    </row>
    <row r="281" spans="1:10" s="87" customFormat="1">
      <c r="A281" s="422" t="s">
        <v>19</v>
      </c>
      <c r="B281" s="299" t="s">
        <v>385</v>
      </c>
      <c r="C281" s="299">
        <v>38383</v>
      </c>
      <c r="D281" s="300" t="s">
        <v>450</v>
      </c>
      <c r="E281" s="299" t="s">
        <v>102</v>
      </c>
      <c r="F281" s="314">
        <v>4.2999999999999997E-2</v>
      </c>
      <c r="G281" s="315">
        <v>1.43</v>
      </c>
      <c r="H281" s="411">
        <f t="shared" si="61"/>
        <v>1.42</v>
      </c>
      <c r="I281" s="412">
        <f t="shared" si="62"/>
        <v>0.06</v>
      </c>
    </row>
    <row r="282" spans="1:10" s="87" customFormat="1" ht="36">
      <c r="A282" s="422" t="s">
        <v>19</v>
      </c>
      <c r="B282" s="299" t="s">
        <v>382</v>
      </c>
      <c r="C282" s="299">
        <v>88248</v>
      </c>
      <c r="D282" s="300" t="s">
        <v>451</v>
      </c>
      <c r="E282" s="299" t="s">
        <v>161</v>
      </c>
      <c r="F282" s="314">
        <v>0.06</v>
      </c>
      <c r="G282" s="315">
        <v>13.56</v>
      </c>
      <c r="H282" s="411">
        <f t="shared" si="61"/>
        <v>13.56</v>
      </c>
      <c r="I282" s="412">
        <f t="shared" si="62"/>
        <v>0.81</v>
      </c>
    </row>
    <row r="283" spans="1:10" s="87" customFormat="1" ht="24">
      <c r="A283" s="422" t="s">
        <v>19</v>
      </c>
      <c r="B283" s="299" t="s">
        <v>382</v>
      </c>
      <c r="C283" s="299">
        <v>88267</v>
      </c>
      <c r="D283" s="300" t="s">
        <v>452</v>
      </c>
      <c r="E283" s="299" t="s">
        <v>161</v>
      </c>
      <c r="F283" s="314">
        <v>6.6000000000000003E-2</v>
      </c>
      <c r="G283" s="315">
        <v>17.22</v>
      </c>
      <c r="H283" s="411">
        <f t="shared" si="61"/>
        <v>17.22</v>
      </c>
      <c r="I283" s="412">
        <f t="shared" si="62"/>
        <v>1.1299999999999999</v>
      </c>
    </row>
    <row r="284" spans="1:10" s="87" customFormat="1">
      <c r="A284" s="506" t="s">
        <v>387</v>
      </c>
      <c r="B284" s="506"/>
      <c r="C284" s="506"/>
      <c r="D284" s="506"/>
      <c r="E284" s="506"/>
      <c r="F284" s="506"/>
      <c r="G284" s="506"/>
      <c r="H284" s="507"/>
      <c r="I284" s="365">
        <f>SUM(I278:I283)</f>
        <v>3.29</v>
      </c>
    </row>
    <row r="285" spans="1:10" s="87" customFormat="1">
      <c r="A285" s="508"/>
      <c r="B285" s="508"/>
      <c r="C285" s="508"/>
      <c r="D285" s="508"/>
      <c r="E285" s="508"/>
      <c r="F285" s="508"/>
      <c r="G285" s="508"/>
      <c r="H285" s="508"/>
      <c r="I285" s="508"/>
    </row>
    <row r="286" spans="1:10" s="87" customFormat="1" ht="39.75" customHeight="1">
      <c r="A286" s="409">
        <v>95141</v>
      </c>
      <c r="B286" s="505" t="s">
        <v>545</v>
      </c>
      <c r="C286" s="505"/>
      <c r="D286" s="505"/>
      <c r="E286" s="505"/>
      <c r="F286" s="505"/>
      <c r="G286" s="505"/>
      <c r="H286" s="505"/>
      <c r="I286" s="410" t="str">
        <f>VLOOKUP(A286,'[1]PLANILHA ORÇAMENTÁRIA'!$B$8:$D$8000,3,FALSE)</f>
        <v>UND.</v>
      </c>
      <c r="J286" s="307">
        <f>I294</f>
        <v>23.08</v>
      </c>
    </row>
    <row r="287" spans="1:10" s="87" customFormat="1" ht="24">
      <c r="A287" s="308" t="s">
        <v>377</v>
      </c>
      <c r="B287" s="309" t="s">
        <v>378</v>
      </c>
      <c r="C287" s="310" t="s">
        <v>25</v>
      </c>
      <c r="D287" s="310" t="s">
        <v>2</v>
      </c>
      <c r="E287" s="310" t="s">
        <v>375</v>
      </c>
      <c r="F287" s="311" t="s">
        <v>379</v>
      </c>
      <c r="G287" s="312" t="s">
        <v>316</v>
      </c>
      <c r="H287" s="312" t="s">
        <v>380</v>
      </c>
      <c r="I287" s="313" t="s">
        <v>381</v>
      </c>
    </row>
    <row r="288" spans="1:10" s="87" customFormat="1" ht="36">
      <c r="A288" s="422" t="s">
        <v>19</v>
      </c>
      <c r="B288" s="299" t="s">
        <v>385</v>
      </c>
      <c r="C288" s="299">
        <v>87</v>
      </c>
      <c r="D288" s="300" t="s">
        <v>781</v>
      </c>
      <c r="E288" s="299" t="s">
        <v>102</v>
      </c>
      <c r="F288" s="314">
        <v>1</v>
      </c>
      <c r="G288" s="315">
        <v>14.9</v>
      </c>
      <c r="H288" s="411">
        <f>IF(E288="H",G288,TRUNC(G288*(1-$K$5),2))</f>
        <v>14.89</v>
      </c>
      <c r="I288" s="412">
        <f t="shared" ref="I288:I293" si="63">TRUNC(H288*F288,2)</f>
        <v>14.89</v>
      </c>
    </row>
    <row r="289" spans="1:10" s="87" customFormat="1" ht="24">
      <c r="A289" s="422" t="s">
        <v>19</v>
      </c>
      <c r="B289" s="299" t="s">
        <v>385</v>
      </c>
      <c r="C289" s="299">
        <v>20080</v>
      </c>
      <c r="D289" s="300" t="s">
        <v>775</v>
      </c>
      <c r="E289" s="299" t="s">
        <v>102</v>
      </c>
      <c r="F289" s="314">
        <v>4.5999999999999999E-2</v>
      </c>
      <c r="G289" s="315">
        <v>14.05</v>
      </c>
      <c r="H289" s="411">
        <f t="shared" ref="H289:H293" si="64">IF(E289="H",G289,TRUNC(G289*(1-$K$5),2))</f>
        <v>14.04</v>
      </c>
      <c r="I289" s="412">
        <f t="shared" si="63"/>
        <v>0.64</v>
      </c>
    </row>
    <row r="290" spans="1:10" s="87" customFormat="1" ht="24">
      <c r="A290" s="422" t="s">
        <v>19</v>
      </c>
      <c r="B290" s="299" t="s">
        <v>385</v>
      </c>
      <c r="C290" s="299">
        <v>20083</v>
      </c>
      <c r="D290" s="300" t="s">
        <v>449</v>
      </c>
      <c r="E290" s="299" t="s">
        <v>102</v>
      </c>
      <c r="F290" s="314">
        <v>1.0999999999999999E-2</v>
      </c>
      <c r="G290" s="315">
        <v>38.44</v>
      </c>
      <c r="H290" s="411">
        <f t="shared" si="64"/>
        <v>38.42</v>
      </c>
      <c r="I290" s="412">
        <f t="shared" si="63"/>
        <v>0.42</v>
      </c>
    </row>
    <row r="291" spans="1:10" s="87" customFormat="1">
      <c r="A291" s="422" t="s">
        <v>19</v>
      </c>
      <c r="B291" s="299" t="s">
        <v>385</v>
      </c>
      <c r="C291" s="299">
        <v>38383</v>
      </c>
      <c r="D291" s="300" t="s">
        <v>450</v>
      </c>
      <c r="E291" s="299" t="s">
        <v>102</v>
      </c>
      <c r="F291" s="314">
        <v>2.3E-2</v>
      </c>
      <c r="G291" s="315">
        <v>1.43</v>
      </c>
      <c r="H291" s="411">
        <f t="shared" si="64"/>
        <v>1.42</v>
      </c>
      <c r="I291" s="412">
        <f t="shared" si="63"/>
        <v>0.03</v>
      </c>
    </row>
    <row r="292" spans="1:10" s="87" customFormat="1" ht="36">
      <c r="A292" s="422" t="s">
        <v>19</v>
      </c>
      <c r="B292" s="299" t="s">
        <v>382</v>
      </c>
      <c r="C292" s="299">
        <v>88248</v>
      </c>
      <c r="D292" s="300" t="s">
        <v>451</v>
      </c>
      <c r="E292" s="299" t="s">
        <v>161</v>
      </c>
      <c r="F292" s="314">
        <v>0.23100000000000001</v>
      </c>
      <c r="G292" s="315">
        <v>13.56</v>
      </c>
      <c r="H292" s="411">
        <f t="shared" si="64"/>
        <v>13.56</v>
      </c>
      <c r="I292" s="412">
        <f t="shared" si="63"/>
        <v>3.13</v>
      </c>
    </row>
    <row r="293" spans="1:10" s="87" customFormat="1" ht="24">
      <c r="A293" s="422" t="s">
        <v>19</v>
      </c>
      <c r="B293" s="299" t="s">
        <v>382</v>
      </c>
      <c r="C293" s="299">
        <v>88267</v>
      </c>
      <c r="D293" s="300" t="s">
        <v>452</v>
      </c>
      <c r="E293" s="299" t="s">
        <v>161</v>
      </c>
      <c r="F293" s="314">
        <v>0.23100000000000001</v>
      </c>
      <c r="G293" s="315">
        <v>17.22</v>
      </c>
      <c r="H293" s="411">
        <f t="shared" si="64"/>
        <v>17.22</v>
      </c>
      <c r="I293" s="412">
        <f t="shared" si="63"/>
        <v>3.97</v>
      </c>
    </row>
    <row r="294" spans="1:10" s="87" customFormat="1">
      <c r="A294" s="506" t="s">
        <v>387</v>
      </c>
      <c r="B294" s="506"/>
      <c r="C294" s="506"/>
      <c r="D294" s="506"/>
      <c r="E294" s="506"/>
      <c r="F294" s="506"/>
      <c r="G294" s="506"/>
      <c r="H294" s="507"/>
      <c r="I294" s="365">
        <f>SUM(I288:I293)</f>
        <v>23.08</v>
      </c>
    </row>
    <row r="295" spans="1:10" s="87" customFormat="1">
      <c r="A295" s="508"/>
      <c r="B295" s="508"/>
      <c r="C295" s="508"/>
      <c r="D295" s="508"/>
      <c r="E295" s="508"/>
      <c r="F295" s="508"/>
      <c r="G295" s="508"/>
      <c r="H295" s="508"/>
      <c r="I295" s="508"/>
    </row>
    <row r="296" spans="1:10" s="87" customFormat="1" ht="24">
      <c r="A296" s="409" t="s">
        <v>547</v>
      </c>
      <c r="B296" s="505" t="s">
        <v>548</v>
      </c>
      <c r="C296" s="505"/>
      <c r="D296" s="505"/>
      <c r="E296" s="505"/>
      <c r="F296" s="505"/>
      <c r="G296" s="505"/>
      <c r="H296" s="505"/>
      <c r="I296" s="410" t="str">
        <f>VLOOKUP(A296,'[1]PLANILHA ORÇAMENTÁRIA'!$B$8:$D$8000,3,FALSE)</f>
        <v>UND.</v>
      </c>
      <c r="J296" s="307">
        <f>I299</f>
        <v>14.52</v>
      </c>
    </row>
    <row r="297" spans="1:10" s="87" customFormat="1" ht="24">
      <c r="A297" s="308" t="s">
        <v>377</v>
      </c>
      <c r="B297" s="309" t="s">
        <v>378</v>
      </c>
      <c r="C297" s="310" t="s">
        <v>25</v>
      </c>
      <c r="D297" s="310" t="s">
        <v>2</v>
      </c>
      <c r="E297" s="310" t="s">
        <v>375</v>
      </c>
      <c r="F297" s="311" t="s">
        <v>379</v>
      </c>
      <c r="G297" s="312" t="s">
        <v>316</v>
      </c>
      <c r="H297" s="312" t="s">
        <v>380</v>
      </c>
      <c r="I297" s="313" t="s">
        <v>381</v>
      </c>
    </row>
    <row r="298" spans="1:10" s="87" customFormat="1" ht="36">
      <c r="A298" s="422" t="s">
        <v>19</v>
      </c>
      <c r="B298" s="299" t="s">
        <v>385</v>
      </c>
      <c r="C298" s="299">
        <v>11674</v>
      </c>
      <c r="D298" s="300" t="s">
        <v>548</v>
      </c>
      <c r="E298" s="299" t="s">
        <v>102</v>
      </c>
      <c r="F298" s="314">
        <v>1</v>
      </c>
      <c r="G298" s="315">
        <v>14.53</v>
      </c>
      <c r="H298" s="411">
        <f t="shared" ref="H298" si="65">IF(E298="H",G298,TRUNC(G298*(1-$K$5),2))</f>
        <v>14.52</v>
      </c>
      <c r="I298" s="412">
        <f t="shared" ref="I298" si="66">TRUNC(H298*F298,2)</f>
        <v>14.52</v>
      </c>
    </row>
    <row r="299" spans="1:10" s="87" customFormat="1">
      <c r="A299" s="506" t="s">
        <v>387</v>
      </c>
      <c r="B299" s="506"/>
      <c r="C299" s="506"/>
      <c r="D299" s="506"/>
      <c r="E299" s="506"/>
      <c r="F299" s="506"/>
      <c r="G299" s="506"/>
      <c r="H299" s="507"/>
      <c r="I299" s="365">
        <f>SUM(I298:I298)</f>
        <v>14.52</v>
      </c>
    </row>
    <row r="300" spans="1:10" s="87" customFormat="1">
      <c r="A300" s="508"/>
      <c r="B300" s="508"/>
      <c r="C300" s="508"/>
      <c r="D300" s="508"/>
      <c r="E300" s="508"/>
      <c r="F300" s="508"/>
      <c r="G300" s="508"/>
      <c r="H300" s="508"/>
      <c r="I300" s="508"/>
    </row>
    <row r="301" spans="1:10" s="87" customFormat="1" ht="24">
      <c r="A301" s="409" t="s">
        <v>550</v>
      </c>
      <c r="B301" s="505" t="s">
        <v>551</v>
      </c>
      <c r="C301" s="505"/>
      <c r="D301" s="505"/>
      <c r="E301" s="505"/>
      <c r="F301" s="505"/>
      <c r="G301" s="505"/>
      <c r="H301" s="505"/>
      <c r="I301" s="410" t="str">
        <f>VLOOKUP(A301,'[1]PLANILHA ORÇAMENTÁRIA'!$B$8:$D$8000,3,FALSE)</f>
        <v>UND.</v>
      </c>
      <c r="J301" s="307">
        <f>I304</f>
        <v>3.69</v>
      </c>
    </row>
    <row r="302" spans="1:10" s="87" customFormat="1" ht="24">
      <c r="A302" s="308" t="s">
        <v>377</v>
      </c>
      <c r="B302" s="309" t="s">
        <v>378</v>
      </c>
      <c r="C302" s="310" t="s">
        <v>25</v>
      </c>
      <c r="D302" s="310" t="s">
        <v>2</v>
      </c>
      <c r="E302" s="310" t="s">
        <v>375</v>
      </c>
      <c r="F302" s="311" t="s">
        <v>379</v>
      </c>
      <c r="G302" s="312" t="s">
        <v>316</v>
      </c>
      <c r="H302" s="312" t="s">
        <v>380</v>
      </c>
      <c r="I302" s="313" t="s">
        <v>381</v>
      </c>
    </row>
    <row r="303" spans="1:10" s="87" customFormat="1" ht="24">
      <c r="A303" s="422" t="s">
        <v>463</v>
      </c>
      <c r="B303" s="299" t="s">
        <v>464</v>
      </c>
      <c r="C303" s="299" t="s">
        <v>465</v>
      </c>
      <c r="D303" s="300" t="str">
        <f>B301</f>
        <v xml:space="preserve">REGISTRO DE PRESSAO PVC, ROSCAVEL, VOLANTE SIMPLES, DE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303" s="299" t="s">
        <v>102</v>
      </c>
      <c r="F303" s="314">
        <v>1</v>
      </c>
      <c r="G303" s="315">
        <v>3.7</v>
      </c>
      <c r="H303" s="411">
        <f t="shared" ref="H303" si="67">IF(E303="H",G303,TRUNC(G303*(1-$K$5),2))</f>
        <v>3.69</v>
      </c>
      <c r="I303" s="412">
        <f t="shared" ref="I303" si="68">TRUNC(H303*F303,2)</f>
        <v>3.69</v>
      </c>
    </row>
    <row r="304" spans="1:10" s="87" customFormat="1">
      <c r="A304" s="506" t="s">
        <v>387</v>
      </c>
      <c r="B304" s="506"/>
      <c r="C304" s="506"/>
      <c r="D304" s="506"/>
      <c r="E304" s="506"/>
      <c r="F304" s="506"/>
      <c r="G304" s="506"/>
      <c r="H304" s="507"/>
      <c r="I304" s="365">
        <f>SUM(I303:I303)</f>
        <v>3.69</v>
      </c>
    </row>
    <row r="305" spans="1:10" s="87" customFormat="1">
      <c r="A305" s="508"/>
      <c r="B305" s="508"/>
      <c r="C305" s="508"/>
      <c r="D305" s="508"/>
      <c r="E305" s="508"/>
      <c r="F305" s="508"/>
      <c r="G305" s="508"/>
      <c r="H305" s="508"/>
      <c r="I305" s="508"/>
    </row>
    <row r="306" spans="1:10" s="87" customFormat="1" ht="24">
      <c r="A306" s="409" t="s">
        <v>553</v>
      </c>
      <c r="B306" s="505" t="s">
        <v>554</v>
      </c>
      <c r="C306" s="505"/>
      <c r="D306" s="505"/>
      <c r="E306" s="505"/>
      <c r="F306" s="505"/>
      <c r="G306" s="505"/>
      <c r="H306" s="505"/>
      <c r="I306" s="410" t="str">
        <f>VLOOKUP(A306,'[1]PLANILHA ORÇAMENTÁRIA'!$B$8:$D$8000,3,FALSE)</f>
        <v>UND.</v>
      </c>
      <c r="J306" s="307">
        <f>I309</f>
        <v>13.22</v>
      </c>
    </row>
    <row r="307" spans="1:10" s="87" customFormat="1" ht="24">
      <c r="A307" s="308" t="s">
        <v>377</v>
      </c>
      <c r="B307" s="309" t="s">
        <v>378</v>
      </c>
      <c r="C307" s="310" t="s">
        <v>25</v>
      </c>
      <c r="D307" s="310" t="s">
        <v>2</v>
      </c>
      <c r="E307" s="310" t="s">
        <v>375</v>
      </c>
      <c r="F307" s="311" t="s">
        <v>379</v>
      </c>
      <c r="G307" s="312" t="s">
        <v>316</v>
      </c>
      <c r="H307" s="312" t="s">
        <v>380</v>
      </c>
      <c r="I307" s="313" t="s">
        <v>381</v>
      </c>
    </row>
    <row r="308" spans="1:10" s="87" customFormat="1" ht="36">
      <c r="A308" s="422" t="s">
        <v>463</v>
      </c>
      <c r="B308" s="299" t="s">
        <v>464</v>
      </c>
      <c r="C308" s="299" t="s">
        <v>465</v>
      </c>
      <c r="D308" s="300" t="str">
        <f>B306</f>
        <v>TORNEIRA METALICA DE BOIA CONVENCIONAL PARA CAIXA D'AGUA, 1/2", COM HASTE METALICA E BALAO PLASTICO</v>
      </c>
      <c r="E308" s="299" t="s">
        <v>102</v>
      </c>
      <c r="F308" s="314">
        <v>1</v>
      </c>
      <c r="G308" s="315">
        <v>13.23</v>
      </c>
      <c r="H308" s="411">
        <f t="shared" ref="H308" si="69">IF(E308="H",G308,TRUNC(G308*(1-$K$5),2))</f>
        <v>13.22</v>
      </c>
      <c r="I308" s="412">
        <f t="shared" ref="I308" si="70">TRUNC(H308*F308,2)</f>
        <v>13.22</v>
      </c>
    </row>
    <row r="309" spans="1:10" s="87" customFormat="1">
      <c r="A309" s="506" t="s">
        <v>387</v>
      </c>
      <c r="B309" s="506"/>
      <c r="C309" s="506"/>
      <c r="D309" s="506"/>
      <c r="E309" s="506"/>
      <c r="F309" s="506"/>
      <c r="G309" s="506"/>
      <c r="H309" s="507"/>
      <c r="I309" s="365">
        <f>SUM(I308:I308)</f>
        <v>13.22</v>
      </c>
    </row>
    <row r="310" spans="1:10" s="87" customFormat="1">
      <c r="A310" s="508"/>
      <c r="B310" s="508"/>
      <c r="C310" s="508"/>
      <c r="D310" s="508"/>
      <c r="E310" s="508"/>
      <c r="F310" s="508"/>
      <c r="G310" s="508"/>
      <c r="H310" s="508"/>
      <c r="I310" s="508"/>
    </row>
    <row r="311" spans="1:10" s="87" customFormat="1" ht="30.75" customHeight="1">
      <c r="A311" s="409">
        <v>89394</v>
      </c>
      <c r="B311" s="505" t="s">
        <v>556</v>
      </c>
      <c r="C311" s="505"/>
      <c r="D311" s="505"/>
      <c r="E311" s="505"/>
      <c r="F311" s="505"/>
      <c r="G311" s="505"/>
      <c r="H311" s="505"/>
      <c r="I311" s="410" t="str">
        <f>VLOOKUP(A311,'[1]PLANILHA ORÇAMENTÁRIA'!$B$8:$D$8000,3,FALSE)</f>
        <v>UND.</v>
      </c>
      <c r="J311" s="307">
        <f>I319</f>
        <v>13</v>
      </c>
    </row>
    <row r="312" spans="1:10" s="87" customFormat="1" ht="24">
      <c r="A312" s="308" t="s">
        <v>377</v>
      </c>
      <c r="B312" s="309" t="s">
        <v>378</v>
      </c>
      <c r="C312" s="310" t="s">
        <v>25</v>
      </c>
      <c r="D312" s="310" t="s">
        <v>2</v>
      </c>
      <c r="E312" s="310" t="s">
        <v>375</v>
      </c>
      <c r="F312" s="311" t="s">
        <v>379</v>
      </c>
      <c r="G312" s="312" t="s">
        <v>316</v>
      </c>
      <c r="H312" s="312" t="s">
        <v>380</v>
      </c>
      <c r="I312" s="313" t="s">
        <v>381</v>
      </c>
    </row>
    <row r="313" spans="1:10" s="87" customFormat="1" ht="24">
      <c r="A313" s="422" t="s">
        <v>19</v>
      </c>
      <c r="B313" s="299" t="s">
        <v>385</v>
      </c>
      <c r="C313" s="299">
        <v>122</v>
      </c>
      <c r="D313" s="300" t="s">
        <v>448</v>
      </c>
      <c r="E313" s="299" t="s">
        <v>102</v>
      </c>
      <c r="F313" s="314">
        <v>8.9999999999999993E-3</v>
      </c>
      <c r="G313" s="315">
        <v>44.26</v>
      </c>
      <c r="H313" s="411">
        <f t="shared" ref="H313:H318" si="71">IF(E313="H",G313,TRUNC(G313*(1-$K$5),2))</f>
        <v>44.23</v>
      </c>
      <c r="I313" s="412">
        <f t="shared" ref="I313:I318" si="72">TRUNC(H313*F313,2)</f>
        <v>0.39</v>
      </c>
    </row>
    <row r="314" spans="1:10" s="87" customFormat="1" ht="36">
      <c r="A314" s="422" t="s">
        <v>19</v>
      </c>
      <c r="B314" s="299" t="s">
        <v>385</v>
      </c>
      <c r="C314" s="299">
        <v>7121</v>
      </c>
      <c r="D314" s="300" t="s">
        <v>782</v>
      </c>
      <c r="E314" s="299" t="s">
        <v>102</v>
      </c>
      <c r="F314" s="314">
        <v>1</v>
      </c>
      <c r="G314" s="315">
        <v>6.9</v>
      </c>
      <c r="H314" s="411">
        <f t="shared" si="71"/>
        <v>6.89</v>
      </c>
      <c r="I314" s="412">
        <f t="shared" si="72"/>
        <v>6.89</v>
      </c>
    </row>
    <row r="315" spans="1:10" s="87" customFormat="1" ht="24">
      <c r="A315" s="422" t="s">
        <v>19</v>
      </c>
      <c r="B315" s="299" t="s">
        <v>385</v>
      </c>
      <c r="C315" s="299">
        <v>20083</v>
      </c>
      <c r="D315" s="300" t="s">
        <v>449</v>
      </c>
      <c r="E315" s="299" t="s">
        <v>102</v>
      </c>
      <c r="F315" s="314">
        <v>8.9999999999999993E-3</v>
      </c>
      <c r="G315" s="315">
        <v>38.44</v>
      </c>
      <c r="H315" s="411">
        <f t="shared" si="71"/>
        <v>38.42</v>
      </c>
      <c r="I315" s="412">
        <f t="shared" si="72"/>
        <v>0.34</v>
      </c>
    </row>
    <row r="316" spans="1:10" s="87" customFormat="1">
      <c r="A316" s="422" t="s">
        <v>19</v>
      </c>
      <c r="B316" s="299" t="s">
        <v>385</v>
      </c>
      <c r="C316" s="299">
        <v>38383</v>
      </c>
      <c r="D316" s="300" t="s">
        <v>450</v>
      </c>
      <c r="E316" s="299" t="s">
        <v>102</v>
      </c>
      <c r="F316" s="314">
        <v>6.5000000000000002E-2</v>
      </c>
      <c r="G316" s="315">
        <v>1.43</v>
      </c>
      <c r="H316" s="411">
        <f t="shared" si="71"/>
        <v>1.42</v>
      </c>
      <c r="I316" s="412">
        <f t="shared" si="72"/>
        <v>0.09</v>
      </c>
    </row>
    <row r="317" spans="1:10" s="87" customFormat="1" ht="36">
      <c r="A317" s="422" t="s">
        <v>19</v>
      </c>
      <c r="B317" s="299" t="s">
        <v>382</v>
      </c>
      <c r="C317" s="299">
        <v>88248</v>
      </c>
      <c r="D317" s="300" t="s">
        <v>451</v>
      </c>
      <c r="E317" s="299" t="s">
        <v>161</v>
      </c>
      <c r="F317" s="314">
        <v>0.17199999999999999</v>
      </c>
      <c r="G317" s="315">
        <v>13.56</v>
      </c>
      <c r="H317" s="411">
        <f t="shared" si="71"/>
        <v>13.56</v>
      </c>
      <c r="I317" s="412">
        <f t="shared" si="72"/>
        <v>2.33</v>
      </c>
    </row>
    <row r="318" spans="1:10" s="87" customFormat="1" ht="24">
      <c r="A318" s="422" t="s">
        <v>19</v>
      </c>
      <c r="B318" s="299" t="s">
        <v>382</v>
      </c>
      <c r="C318" s="299">
        <v>88267</v>
      </c>
      <c r="D318" s="300" t="s">
        <v>452</v>
      </c>
      <c r="E318" s="299" t="s">
        <v>161</v>
      </c>
      <c r="F318" s="314">
        <v>0.17199999999999999</v>
      </c>
      <c r="G318" s="315">
        <v>17.22</v>
      </c>
      <c r="H318" s="411">
        <f t="shared" si="71"/>
        <v>17.22</v>
      </c>
      <c r="I318" s="412">
        <f t="shared" si="72"/>
        <v>2.96</v>
      </c>
    </row>
    <row r="319" spans="1:10" s="87" customFormat="1">
      <c r="A319" s="506" t="s">
        <v>387</v>
      </c>
      <c r="B319" s="506"/>
      <c r="C319" s="506"/>
      <c r="D319" s="506"/>
      <c r="E319" s="506"/>
      <c r="F319" s="506"/>
      <c r="G319" s="506"/>
      <c r="H319" s="507"/>
      <c r="I319" s="365">
        <f>SUM(I313:I318)</f>
        <v>13</v>
      </c>
    </row>
    <row r="320" spans="1:10" s="87" customFormat="1">
      <c r="A320" s="508"/>
      <c r="B320" s="508"/>
      <c r="C320" s="508"/>
      <c r="D320" s="508"/>
      <c r="E320" s="508"/>
      <c r="F320" s="508"/>
      <c r="G320" s="508"/>
      <c r="H320" s="508"/>
      <c r="I320" s="508"/>
    </row>
    <row r="321" spans="1:10" s="87" customFormat="1" ht="24">
      <c r="A321" s="409" t="s">
        <v>558</v>
      </c>
      <c r="B321" s="505" t="s">
        <v>559</v>
      </c>
      <c r="C321" s="505"/>
      <c r="D321" s="505"/>
      <c r="E321" s="505"/>
      <c r="F321" s="505"/>
      <c r="G321" s="505"/>
      <c r="H321" s="505"/>
      <c r="I321" s="410" t="str">
        <f>VLOOKUP(A321,'[1]PLANILHA ORÇAMENTÁRIA'!$B$8:$D$8000,3,FALSE)</f>
        <v>UND.</v>
      </c>
      <c r="J321" s="307">
        <f>I324</f>
        <v>4.96</v>
      </c>
    </row>
    <row r="322" spans="1:10" s="87" customFormat="1" ht="24">
      <c r="A322" s="308" t="s">
        <v>377</v>
      </c>
      <c r="B322" s="309" t="s">
        <v>378</v>
      </c>
      <c r="C322" s="310" t="s">
        <v>25</v>
      </c>
      <c r="D322" s="310" t="s">
        <v>2</v>
      </c>
      <c r="E322" s="310" t="s">
        <v>375</v>
      </c>
      <c r="F322" s="311" t="s">
        <v>379</v>
      </c>
      <c r="G322" s="312" t="s">
        <v>316</v>
      </c>
      <c r="H322" s="312" t="s">
        <v>380</v>
      </c>
      <c r="I322" s="313" t="s">
        <v>381</v>
      </c>
    </row>
    <row r="323" spans="1:10" s="87" customFormat="1" ht="24">
      <c r="A323" s="422" t="s">
        <v>463</v>
      </c>
      <c r="B323" s="299" t="s">
        <v>464</v>
      </c>
      <c r="C323" s="299" t="s">
        <v>465</v>
      </c>
      <c r="D323" s="300" t="str">
        <f>B321</f>
        <v>FITA VEDA ROSCA EM ROLOS DE 18 MM X 50 M (L X C)</v>
      </c>
      <c r="E323" s="299" t="s">
        <v>102</v>
      </c>
      <c r="F323" s="314">
        <v>1</v>
      </c>
      <c r="G323" s="315">
        <v>4.97</v>
      </c>
      <c r="H323" s="411">
        <f t="shared" ref="H323" si="73">IF(E323="H",G323,TRUNC(G323*(1-$K$5),2))</f>
        <v>4.96</v>
      </c>
      <c r="I323" s="412">
        <f t="shared" ref="I323" si="74">TRUNC(H323*F323,2)</f>
        <v>4.96</v>
      </c>
    </row>
    <row r="324" spans="1:10" s="87" customFormat="1">
      <c r="A324" s="506" t="s">
        <v>387</v>
      </c>
      <c r="B324" s="506"/>
      <c r="C324" s="506"/>
      <c r="D324" s="506"/>
      <c r="E324" s="506"/>
      <c r="F324" s="506"/>
      <c r="G324" s="506"/>
      <c r="H324" s="507"/>
      <c r="I324" s="365">
        <f>SUM(I323:I323)</f>
        <v>4.96</v>
      </c>
    </row>
    <row r="325" spans="1:10" s="87" customFormat="1">
      <c r="A325" s="508"/>
      <c r="B325" s="508"/>
      <c r="C325" s="508"/>
      <c r="D325" s="508"/>
      <c r="E325" s="508"/>
      <c r="F325" s="508"/>
      <c r="G325" s="508"/>
      <c r="H325" s="508"/>
      <c r="I325" s="508"/>
    </row>
    <row r="326" spans="1:10" s="87" customFormat="1" ht="24">
      <c r="A326" s="409" t="s">
        <v>564</v>
      </c>
      <c r="B326" s="505" t="s">
        <v>565</v>
      </c>
      <c r="C326" s="505"/>
      <c r="D326" s="505"/>
      <c r="E326" s="505"/>
      <c r="F326" s="505"/>
      <c r="G326" s="505"/>
      <c r="H326" s="505"/>
      <c r="I326" s="410" t="str">
        <f>VLOOKUP(A326,'[1]PLANILHA ORÇAMENTÁRIA'!$B$8:$D$8000,3,FALSE)</f>
        <v>UND.</v>
      </c>
      <c r="J326" s="307">
        <f>I329</f>
        <v>135.44999999999999</v>
      </c>
    </row>
    <row r="327" spans="1:10" s="87" customFormat="1" ht="24">
      <c r="A327" s="308" t="s">
        <v>377</v>
      </c>
      <c r="B327" s="309" t="s">
        <v>378</v>
      </c>
      <c r="C327" s="310" t="s">
        <v>25</v>
      </c>
      <c r="D327" s="310" t="s">
        <v>2</v>
      </c>
      <c r="E327" s="310" t="s">
        <v>375</v>
      </c>
      <c r="F327" s="311" t="s">
        <v>379</v>
      </c>
      <c r="G327" s="312" t="s">
        <v>316</v>
      </c>
      <c r="H327" s="312" t="s">
        <v>380</v>
      </c>
      <c r="I327" s="313" t="s">
        <v>381</v>
      </c>
    </row>
    <row r="328" spans="1:10" s="87" customFormat="1" ht="36">
      <c r="A328" s="422" t="s">
        <v>463</v>
      </c>
      <c r="B328" s="299" t="s">
        <v>464</v>
      </c>
      <c r="C328" s="299" t="s">
        <v>465</v>
      </c>
      <c r="D328" s="300" t="str">
        <f>B326</f>
        <v>TANQUE DUPLO EM MARMORE SINTETICO COM CUBA LISA E ESFREGADOR, *110 X 60* CM</v>
      </c>
      <c r="E328" s="299" t="s">
        <v>102</v>
      </c>
      <c r="F328" s="314">
        <v>1</v>
      </c>
      <c r="G328" s="315">
        <v>135.52000000000001</v>
      </c>
      <c r="H328" s="411">
        <f t="shared" ref="H328" si="75">IF(E328="H",G328,TRUNC(G328*(1-$K$5),2))</f>
        <v>135.44999999999999</v>
      </c>
      <c r="I328" s="412">
        <f t="shared" ref="I328" si="76">TRUNC(H328*F328,2)</f>
        <v>135.44999999999999</v>
      </c>
    </row>
    <row r="329" spans="1:10" s="87" customFormat="1">
      <c r="A329" s="506" t="s">
        <v>387</v>
      </c>
      <c r="B329" s="506"/>
      <c r="C329" s="506"/>
      <c r="D329" s="506"/>
      <c r="E329" s="506"/>
      <c r="F329" s="506"/>
      <c r="G329" s="506"/>
      <c r="H329" s="507"/>
      <c r="I329" s="365">
        <f>SUM(I328:I328)</f>
        <v>135.44999999999999</v>
      </c>
    </row>
    <row r="330" spans="1:10" s="87" customFormat="1">
      <c r="A330" s="508"/>
      <c r="B330" s="508"/>
      <c r="C330" s="508"/>
      <c r="D330" s="508"/>
      <c r="E330" s="508"/>
      <c r="F330" s="508"/>
      <c r="G330" s="508"/>
      <c r="H330" s="508"/>
      <c r="I330" s="508"/>
    </row>
    <row r="331" spans="1:10" s="87" customFormat="1" ht="46.5" customHeight="1">
      <c r="A331" s="409">
        <v>86939</v>
      </c>
      <c r="B331" s="505" t="s">
        <v>567</v>
      </c>
      <c r="C331" s="505"/>
      <c r="D331" s="505"/>
      <c r="E331" s="505"/>
      <c r="F331" s="505"/>
      <c r="G331" s="505"/>
      <c r="H331" s="505"/>
      <c r="I331" s="410" t="str">
        <f>VLOOKUP(A331,'[1]PLANILHA ORÇAMENTÁRIA'!$B$8:$D$8000,3,FALSE)</f>
        <v>UND.</v>
      </c>
      <c r="J331" s="307">
        <f>I338</f>
        <v>257.78000000000003</v>
      </c>
    </row>
    <row r="332" spans="1:10" s="87" customFormat="1" ht="24">
      <c r="A332" s="308" t="s">
        <v>377</v>
      </c>
      <c r="B332" s="309" t="s">
        <v>378</v>
      </c>
      <c r="C332" s="310" t="s">
        <v>25</v>
      </c>
      <c r="D332" s="310" t="s">
        <v>2</v>
      </c>
      <c r="E332" s="310" t="s">
        <v>375</v>
      </c>
      <c r="F332" s="311" t="s">
        <v>379</v>
      </c>
      <c r="G332" s="312" t="s">
        <v>316</v>
      </c>
      <c r="H332" s="312" t="s">
        <v>380</v>
      </c>
      <c r="I332" s="313" t="s">
        <v>381</v>
      </c>
    </row>
    <row r="333" spans="1:10" s="87" customFormat="1" ht="36">
      <c r="A333" s="422" t="s">
        <v>19</v>
      </c>
      <c r="B333" s="299" t="s">
        <v>382</v>
      </c>
      <c r="C333" s="299">
        <v>86879</v>
      </c>
      <c r="D333" s="300" t="s">
        <v>783</v>
      </c>
      <c r="E333" s="299" t="s">
        <v>102</v>
      </c>
      <c r="F333" s="314">
        <v>1</v>
      </c>
      <c r="G333" s="315">
        <v>5.56</v>
      </c>
      <c r="H333" s="411">
        <f t="shared" ref="H333:H337" si="77">IF(E333="H",G333,TRUNC(G333*(1-$K$5),2))</f>
        <v>5.55</v>
      </c>
      <c r="I333" s="412">
        <f t="shared" ref="I333:I337" si="78">TRUNC(H333*F333,2)</f>
        <v>5.55</v>
      </c>
    </row>
    <row r="334" spans="1:10" s="87" customFormat="1" ht="24">
      <c r="A334" s="422" t="s">
        <v>19</v>
      </c>
      <c r="B334" s="299" t="s">
        <v>382</v>
      </c>
      <c r="C334" s="299">
        <v>86883</v>
      </c>
      <c r="D334" s="300" t="s">
        <v>784</v>
      </c>
      <c r="E334" s="299" t="s">
        <v>102</v>
      </c>
      <c r="F334" s="314">
        <v>1</v>
      </c>
      <c r="G334" s="315">
        <v>9.8699999999999992</v>
      </c>
      <c r="H334" s="411">
        <f t="shared" si="77"/>
        <v>9.86</v>
      </c>
      <c r="I334" s="412">
        <f t="shared" si="78"/>
        <v>9.86</v>
      </c>
    </row>
    <row r="335" spans="1:10" s="87" customFormat="1" ht="36">
      <c r="A335" s="422" t="s">
        <v>19</v>
      </c>
      <c r="B335" s="299" t="s">
        <v>382</v>
      </c>
      <c r="C335" s="299">
        <v>86884</v>
      </c>
      <c r="D335" s="300" t="s">
        <v>785</v>
      </c>
      <c r="E335" s="299" t="s">
        <v>102</v>
      </c>
      <c r="F335" s="314">
        <v>1</v>
      </c>
      <c r="G335" s="315">
        <v>6.9</v>
      </c>
      <c r="H335" s="411">
        <f t="shared" si="77"/>
        <v>6.89</v>
      </c>
      <c r="I335" s="412">
        <f t="shared" si="78"/>
        <v>6.89</v>
      </c>
    </row>
    <row r="336" spans="1:10" s="87" customFormat="1" ht="36">
      <c r="A336" s="422" t="s">
        <v>19</v>
      </c>
      <c r="B336" s="299" t="s">
        <v>382</v>
      </c>
      <c r="C336" s="299">
        <v>86902</v>
      </c>
      <c r="D336" s="300" t="s">
        <v>786</v>
      </c>
      <c r="E336" s="299" t="s">
        <v>102</v>
      </c>
      <c r="F336" s="314">
        <v>1</v>
      </c>
      <c r="G336" s="315">
        <v>193.43</v>
      </c>
      <c r="H336" s="411">
        <f t="shared" si="77"/>
        <v>193.33</v>
      </c>
      <c r="I336" s="412">
        <f t="shared" si="78"/>
        <v>193.33</v>
      </c>
    </row>
    <row r="337" spans="1:10" s="87" customFormat="1" ht="36">
      <c r="A337" s="422" t="s">
        <v>19</v>
      </c>
      <c r="B337" s="299" t="s">
        <v>382</v>
      </c>
      <c r="C337" s="299">
        <v>86906</v>
      </c>
      <c r="D337" s="300" t="s">
        <v>787</v>
      </c>
      <c r="E337" s="299" t="s">
        <v>102</v>
      </c>
      <c r="F337" s="314">
        <v>1</v>
      </c>
      <c r="G337" s="315">
        <v>42.18</v>
      </c>
      <c r="H337" s="411">
        <f t="shared" si="77"/>
        <v>42.15</v>
      </c>
      <c r="I337" s="412">
        <f t="shared" si="78"/>
        <v>42.15</v>
      </c>
    </row>
    <row r="338" spans="1:10" s="87" customFormat="1">
      <c r="A338" s="506" t="s">
        <v>387</v>
      </c>
      <c r="B338" s="506"/>
      <c r="C338" s="506"/>
      <c r="D338" s="506"/>
      <c r="E338" s="506"/>
      <c r="F338" s="506"/>
      <c r="G338" s="506"/>
      <c r="H338" s="507"/>
      <c r="I338" s="365">
        <f>SUM(I333:I337)</f>
        <v>257.78000000000003</v>
      </c>
    </row>
    <row r="339" spans="1:10" s="87" customFormat="1">
      <c r="A339" s="508"/>
      <c r="B339" s="508"/>
      <c r="C339" s="508"/>
      <c r="D339" s="508"/>
      <c r="E339" s="508"/>
      <c r="F339" s="508"/>
      <c r="G339" s="508"/>
      <c r="H339" s="508"/>
      <c r="I339" s="508"/>
    </row>
    <row r="340" spans="1:10" s="87" customFormat="1" ht="27" customHeight="1">
      <c r="A340" s="409">
        <v>95469</v>
      </c>
      <c r="B340" s="505" t="s">
        <v>569</v>
      </c>
      <c r="C340" s="505"/>
      <c r="D340" s="505"/>
      <c r="E340" s="505"/>
      <c r="F340" s="505"/>
      <c r="G340" s="505"/>
      <c r="H340" s="505"/>
      <c r="I340" s="410" t="str">
        <f>VLOOKUP(A340,'[1]PLANILHA ORÇAMENTÁRIA'!$B$8:$D$8000,3,FALSE)</f>
        <v>UND.</v>
      </c>
      <c r="J340" s="307">
        <f>I348</f>
        <v>162.17000000000002</v>
      </c>
    </row>
    <row r="341" spans="1:10" s="87" customFormat="1" ht="24">
      <c r="A341" s="308" t="s">
        <v>377</v>
      </c>
      <c r="B341" s="309" t="s">
        <v>378</v>
      </c>
      <c r="C341" s="310" t="s">
        <v>25</v>
      </c>
      <c r="D341" s="310" t="s">
        <v>2</v>
      </c>
      <c r="E341" s="310" t="s">
        <v>375</v>
      </c>
      <c r="F341" s="311" t="s">
        <v>379</v>
      </c>
      <c r="G341" s="312" t="s">
        <v>316</v>
      </c>
      <c r="H341" s="312" t="s">
        <v>380</v>
      </c>
      <c r="I341" s="313" t="s">
        <v>381</v>
      </c>
    </row>
    <row r="342" spans="1:10" s="87" customFormat="1" ht="48">
      <c r="A342" s="422" t="s">
        <v>19</v>
      </c>
      <c r="B342" s="299" t="s">
        <v>385</v>
      </c>
      <c r="C342" s="299">
        <v>4384</v>
      </c>
      <c r="D342" s="300" t="s">
        <v>788</v>
      </c>
      <c r="E342" s="299" t="s">
        <v>102</v>
      </c>
      <c r="F342" s="314">
        <v>2</v>
      </c>
      <c r="G342" s="315">
        <v>11.84</v>
      </c>
      <c r="H342" s="411">
        <f t="shared" ref="H342:H347" si="79">IF(E342="H",G342,TRUNC(G342*(1-$K$5),2))</f>
        <v>11.83</v>
      </c>
      <c r="I342" s="412">
        <f t="shared" ref="I342:I347" si="80">TRUNC(H342*F342,2)</f>
        <v>23.66</v>
      </c>
    </row>
    <row r="343" spans="1:10" s="87" customFormat="1" ht="24">
      <c r="A343" s="422" t="s">
        <v>19</v>
      </c>
      <c r="B343" s="299" t="s">
        <v>385</v>
      </c>
      <c r="C343" s="299">
        <v>6138</v>
      </c>
      <c r="D343" s="300" t="s">
        <v>789</v>
      </c>
      <c r="E343" s="299" t="s">
        <v>102</v>
      </c>
      <c r="F343" s="314">
        <v>1</v>
      </c>
      <c r="G343" s="315">
        <v>1.53</v>
      </c>
      <c r="H343" s="411">
        <f t="shared" si="79"/>
        <v>1.52</v>
      </c>
      <c r="I343" s="412">
        <f t="shared" si="80"/>
        <v>1.52</v>
      </c>
    </row>
    <row r="344" spans="1:10" s="87" customFormat="1" ht="24">
      <c r="A344" s="422" t="s">
        <v>19</v>
      </c>
      <c r="B344" s="299" t="s">
        <v>385</v>
      </c>
      <c r="C344" s="299">
        <v>10420</v>
      </c>
      <c r="D344" s="300" t="s">
        <v>790</v>
      </c>
      <c r="E344" s="299" t="s">
        <v>102</v>
      </c>
      <c r="F344" s="314">
        <v>1</v>
      </c>
      <c r="G344" s="315">
        <v>109.75</v>
      </c>
      <c r="H344" s="411">
        <f t="shared" si="79"/>
        <v>109.69</v>
      </c>
      <c r="I344" s="412">
        <f t="shared" si="80"/>
        <v>109.69</v>
      </c>
    </row>
    <row r="345" spans="1:10" s="87" customFormat="1">
      <c r="A345" s="422" t="s">
        <v>19</v>
      </c>
      <c r="B345" s="299" t="s">
        <v>385</v>
      </c>
      <c r="C345" s="299">
        <v>37329</v>
      </c>
      <c r="D345" s="300" t="s">
        <v>791</v>
      </c>
      <c r="E345" s="299" t="s">
        <v>386</v>
      </c>
      <c r="F345" s="314">
        <v>0.1469</v>
      </c>
      <c r="G345" s="315">
        <v>53.16</v>
      </c>
      <c r="H345" s="411">
        <f t="shared" si="79"/>
        <v>53.13</v>
      </c>
      <c r="I345" s="412">
        <f t="shared" si="80"/>
        <v>7.8</v>
      </c>
    </row>
    <row r="346" spans="1:10" s="87" customFormat="1" ht="24">
      <c r="A346" s="422" t="s">
        <v>19</v>
      </c>
      <c r="B346" s="299" t="s">
        <v>382</v>
      </c>
      <c r="C346" s="299">
        <v>88267</v>
      </c>
      <c r="D346" s="300" t="s">
        <v>452</v>
      </c>
      <c r="E346" s="299" t="s">
        <v>161</v>
      </c>
      <c r="F346" s="314">
        <v>0.78</v>
      </c>
      <c r="G346" s="315">
        <v>17.22</v>
      </c>
      <c r="H346" s="411">
        <f t="shared" si="79"/>
        <v>17.22</v>
      </c>
      <c r="I346" s="412">
        <f t="shared" si="80"/>
        <v>13.43</v>
      </c>
    </row>
    <row r="347" spans="1:10" s="87" customFormat="1" ht="24">
      <c r="A347" s="422" t="s">
        <v>19</v>
      </c>
      <c r="B347" s="299" t="s">
        <v>382</v>
      </c>
      <c r="C347" s="299">
        <v>88316</v>
      </c>
      <c r="D347" s="300" t="s">
        <v>384</v>
      </c>
      <c r="E347" s="299" t="s">
        <v>161</v>
      </c>
      <c r="F347" s="314">
        <v>0.44</v>
      </c>
      <c r="G347" s="315">
        <v>13.8</v>
      </c>
      <c r="H347" s="411">
        <f t="shared" si="79"/>
        <v>13.8</v>
      </c>
      <c r="I347" s="412">
        <f t="shared" si="80"/>
        <v>6.07</v>
      </c>
    </row>
    <row r="348" spans="1:10" s="87" customFormat="1">
      <c r="A348" s="506" t="s">
        <v>387</v>
      </c>
      <c r="B348" s="506"/>
      <c r="C348" s="506"/>
      <c r="D348" s="506"/>
      <c r="E348" s="506"/>
      <c r="F348" s="506"/>
      <c r="G348" s="506"/>
      <c r="H348" s="507"/>
      <c r="I348" s="365">
        <f>SUM(I342:I347)</f>
        <v>162.17000000000002</v>
      </c>
    </row>
    <row r="349" spans="1:10" s="87" customFormat="1">
      <c r="A349" s="508"/>
      <c r="B349" s="508"/>
      <c r="C349" s="508"/>
      <c r="D349" s="508"/>
      <c r="E349" s="508"/>
      <c r="F349" s="508"/>
      <c r="G349" s="508"/>
      <c r="H349" s="508"/>
      <c r="I349" s="508"/>
    </row>
    <row r="350" spans="1:10" s="87" customFormat="1" ht="24">
      <c r="A350" s="409" t="s">
        <v>571</v>
      </c>
      <c r="B350" s="505" t="s">
        <v>572</v>
      </c>
      <c r="C350" s="505"/>
      <c r="D350" s="505"/>
      <c r="E350" s="505"/>
      <c r="F350" s="505"/>
      <c r="G350" s="505"/>
      <c r="H350" s="505"/>
      <c r="I350" s="410" t="str">
        <f>VLOOKUP(A350,'[1]PLANILHA ORÇAMENTÁRIA'!$B$8:$D$8000,3,FALSE)</f>
        <v>UND.</v>
      </c>
      <c r="J350" s="307">
        <f>I353</f>
        <v>22.46</v>
      </c>
    </row>
    <row r="351" spans="1:10" s="87" customFormat="1" ht="24">
      <c r="A351" s="308" t="s">
        <v>377</v>
      </c>
      <c r="B351" s="309" t="s">
        <v>378</v>
      </c>
      <c r="C351" s="310" t="s">
        <v>25</v>
      </c>
      <c r="D351" s="310" t="s">
        <v>2</v>
      </c>
      <c r="E351" s="310" t="s">
        <v>375</v>
      </c>
      <c r="F351" s="311" t="s">
        <v>379</v>
      </c>
      <c r="G351" s="312" t="s">
        <v>316</v>
      </c>
      <c r="H351" s="312" t="s">
        <v>380</v>
      </c>
      <c r="I351" s="313" t="s">
        <v>381</v>
      </c>
    </row>
    <row r="352" spans="1:10" s="87" customFormat="1" ht="24">
      <c r="A352" s="422" t="s">
        <v>463</v>
      </c>
      <c r="B352" s="299" t="s">
        <v>464</v>
      </c>
      <c r="C352" s="299" t="s">
        <v>465</v>
      </c>
      <c r="D352" s="300" t="str">
        <f>B350</f>
        <v>ASSENTO SANITARIO DE PLASTICO, TIPO CONVENCIONAL</v>
      </c>
      <c r="E352" s="299" t="s">
        <v>102</v>
      </c>
      <c r="F352" s="314">
        <v>1</v>
      </c>
      <c r="G352" s="315">
        <v>22.48</v>
      </c>
      <c r="H352" s="411">
        <f t="shared" ref="H352" si="81">IF(E352="H",G352,TRUNC(G352*(1-$K$5),2))</f>
        <v>22.46</v>
      </c>
      <c r="I352" s="412">
        <f t="shared" ref="I352" si="82">TRUNC(H352*F352,2)</f>
        <v>22.46</v>
      </c>
    </row>
    <row r="353" spans="1:10" s="87" customFormat="1">
      <c r="A353" s="506" t="s">
        <v>387</v>
      </c>
      <c r="B353" s="506"/>
      <c r="C353" s="506"/>
      <c r="D353" s="506"/>
      <c r="E353" s="506"/>
      <c r="F353" s="506"/>
      <c r="G353" s="506"/>
      <c r="H353" s="507"/>
      <c r="I353" s="365">
        <f>SUM(I352:I352)</f>
        <v>22.46</v>
      </c>
    </row>
    <row r="354" spans="1:10" s="87" customFormat="1">
      <c r="A354" s="508"/>
      <c r="B354" s="508"/>
      <c r="C354" s="508"/>
      <c r="D354" s="508"/>
      <c r="E354" s="508"/>
      <c r="F354" s="508"/>
      <c r="G354" s="508"/>
      <c r="H354" s="508"/>
      <c r="I354" s="508"/>
    </row>
    <row r="355" spans="1:10" s="87" customFormat="1" ht="24">
      <c r="A355" s="409" t="s">
        <v>574</v>
      </c>
      <c r="B355" s="505" t="s">
        <v>575</v>
      </c>
      <c r="C355" s="505"/>
      <c r="D355" s="505"/>
      <c r="E355" s="505"/>
      <c r="F355" s="505"/>
      <c r="G355" s="505"/>
      <c r="H355" s="505"/>
      <c r="I355" s="410" t="str">
        <f>VLOOKUP(A355,'[1]PLANILHA ORÇAMENTÁRIA'!$B$8:$D$8000,3,FALSE)</f>
        <v>UND.</v>
      </c>
      <c r="J355" s="307">
        <f>I358</f>
        <v>27.1</v>
      </c>
    </row>
    <row r="356" spans="1:10" s="87" customFormat="1" ht="24">
      <c r="A356" s="308" t="s">
        <v>377</v>
      </c>
      <c r="B356" s="309" t="s">
        <v>378</v>
      </c>
      <c r="C356" s="310" t="s">
        <v>25</v>
      </c>
      <c r="D356" s="310" t="s">
        <v>2</v>
      </c>
      <c r="E356" s="310" t="s">
        <v>375</v>
      </c>
      <c r="F356" s="311" t="s">
        <v>379</v>
      </c>
      <c r="G356" s="312" t="s">
        <v>316</v>
      </c>
      <c r="H356" s="312" t="s">
        <v>380</v>
      </c>
      <c r="I356" s="313" t="s">
        <v>381</v>
      </c>
    </row>
    <row r="357" spans="1:10" s="87" customFormat="1" ht="48">
      <c r="A357" s="422" t="s">
        <v>463</v>
      </c>
      <c r="B357" s="299" t="s">
        <v>464</v>
      </c>
      <c r="C357" s="299" t="s">
        <v>465</v>
      </c>
      <c r="D357" s="300" t="str">
        <f>B355</f>
        <v>CAIXA DE DESCARGA DE PLASTICO EXTERNA, DE *9* L, PUXADOR FIO DE NYLON, NAO INCLUSO CANO, BOLSA, ENGATE</v>
      </c>
      <c r="E357" s="299" t="s">
        <v>102</v>
      </c>
      <c r="F357" s="314">
        <v>1</v>
      </c>
      <c r="G357" s="315">
        <v>27.12</v>
      </c>
      <c r="H357" s="411">
        <f t="shared" ref="H357" si="83">IF(E357="H",G357,TRUNC(G357*(1-$K$5),2))</f>
        <v>27.1</v>
      </c>
      <c r="I357" s="412">
        <f t="shared" ref="I357" si="84">TRUNC(H357*F357,2)</f>
        <v>27.1</v>
      </c>
    </row>
    <row r="358" spans="1:10" s="87" customFormat="1">
      <c r="A358" s="506" t="s">
        <v>387</v>
      </c>
      <c r="B358" s="506"/>
      <c r="C358" s="506"/>
      <c r="D358" s="506"/>
      <c r="E358" s="506"/>
      <c r="F358" s="506"/>
      <c r="G358" s="506"/>
      <c r="H358" s="507"/>
      <c r="I358" s="365">
        <f>SUM(I357:I357)</f>
        <v>27.1</v>
      </c>
    </row>
    <row r="359" spans="1:10" s="87" customFormat="1">
      <c r="A359" s="508"/>
      <c r="B359" s="508"/>
      <c r="C359" s="508"/>
      <c r="D359" s="508"/>
      <c r="E359" s="508"/>
      <c r="F359" s="508"/>
      <c r="G359" s="508"/>
      <c r="H359" s="508"/>
      <c r="I359" s="508"/>
    </row>
    <row r="360" spans="1:10" s="87" customFormat="1" ht="24">
      <c r="A360" s="409" t="s">
        <v>577</v>
      </c>
      <c r="B360" s="505" t="s">
        <v>578</v>
      </c>
      <c r="C360" s="505"/>
      <c r="D360" s="505"/>
      <c r="E360" s="505"/>
      <c r="F360" s="505"/>
      <c r="G360" s="505"/>
      <c r="H360" s="505"/>
      <c r="I360" s="410" t="str">
        <f>VLOOKUP(A360,'[1]PLANILHA ORÇAMENTÁRIA'!$B$8:$D$8000,3,FALSE)</f>
        <v>UND.</v>
      </c>
      <c r="J360" s="307">
        <f>I363</f>
        <v>8.2100000000000009</v>
      </c>
    </row>
    <row r="361" spans="1:10" s="87" customFormat="1" ht="24">
      <c r="A361" s="308" t="s">
        <v>377</v>
      </c>
      <c r="B361" s="309" t="s">
        <v>378</v>
      </c>
      <c r="C361" s="310" t="s">
        <v>25</v>
      </c>
      <c r="D361" s="310" t="s">
        <v>2</v>
      </c>
      <c r="E361" s="310" t="s">
        <v>375</v>
      </c>
      <c r="F361" s="311" t="s">
        <v>379</v>
      </c>
      <c r="G361" s="312" t="s">
        <v>316</v>
      </c>
      <c r="H361" s="312" t="s">
        <v>380</v>
      </c>
      <c r="I361" s="313" t="s">
        <v>381</v>
      </c>
    </row>
    <row r="362" spans="1:10" s="87" customFormat="1" ht="36">
      <c r="A362" s="422" t="s">
        <v>463</v>
      </c>
      <c r="B362" s="299" t="s">
        <v>464</v>
      </c>
      <c r="C362" s="299" t="s">
        <v>465</v>
      </c>
      <c r="D362" s="300" t="str">
        <f>B360</f>
        <v>TUBO DE DESCIDA EXTERNO DE PVC PARA CAIXA DE DESCARGA EXTERNA ALTA - 40 MM X 1,60 M</v>
      </c>
      <c r="E362" s="299" t="s">
        <v>102</v>
      </c>
      <c r="F362" s="314">
        <v>1</v>
      </c>
      <c r="G362" s="315">
        <v>8.2200000000000006</v>
      </c>
      <c r="H362" s="411">
        <f t="shared" ref="H362" si="85">IF(E362="H",G362,TRUNC(G362*(1-$K$5),2))</f>
        <v>8.2100000000000009</v>
      </c>
      <c r="I362" s="412">
        <f t="shared" ref="I362" si="86">TRUNC(H362*F362,2)</f>
        <v>8.2100000000000009</v>
      </c>
    </row>
    <row r="363" spans="1:10" s="87" customFormat="1">
      <c r="A363" s="506" t="s">
        <v>387</v>
      </c>
      <c r="B363" s="506"/>
      <c r="C363" s="506"/>
      <c r="D363" s="506"/>
      <c r="E363" s="506"/>
      <c r="F363" s="506"/>
      <c r="G363" s="506"/>
      <c r="H363" s="507"/>
      <c r="I363" s="365">
        <f>SUM(I362:I362)</f>
        <v>8.2100000000000009</v>
      </c>
    </row>
    <row r="364" spans="1:10" s="87" customFormat="1">
      <c r="A364" s="508"/>
      <c r="B364" s="508"/>
      <c r="C364" s="508"/>
      <c r="D364" s="508"/>
      <c r="E364" s="508"/>
      <c r="F364" s="508"/>
      <c r="G364" s="508"/>
      <c r="H364" s="508"/>
      <c r="I364" s="508"/>
    </row>
    <row r="365" spans="1:10" s="87" customFormat="1" ht="24">
      <c r="A365" s="409" t="s">
        <v>580</v>
      </c>
      <c r="B365" s="505" t="s">
        <v>581</v>
      </c>
      <c r="C365" s="505"/>
      <c r="D365" s="505"/>
      <c r="E365" s="505"/>
      <c r="F365" s="505"/>
      <c r="G365" s="505"/>
      <c r="H365" s="505"/>
      <c r="I365" s="410" t="str">
        <f>VLOOKUP(A365,'[1]PLANILHA ORÇAMENTÁRIA'!$B$8:$D$8000,3,FALSE)</f>
        <v>UND.</v>
      </c>
      <c r="J365" s="307">
        <f>I368</f>
        <v>5.9</v>
      </c>
    </row>
    <row r="366" spans="1:10" s="87" customFormat="1" ht="24">
      <c r="A366" s="308" t="s">
        <v>377</v>
      </c>
      <c r="B366" s="309" t="s">
        <v>378</v>
      </c>
      <c r="C366" s="310" t="s">
        <v>25</v>
      </c>
      <c r="D366" s="310" t="s">
        <v>2</v>
      </c>
      <c r="E366" s="310" t="s">
        <v>375</v>
      </c>
      <c r="F366" s="311" t="s">
        <v>379</v>
      </c>
      <c r="G366" s="312" t="s">
        <v>316</v>
      </c>
      <c r="H366" s="312" t="s">
        <v>380</v>
      </c>
      <c r="I366" s="313" t="s">
        <v>381</v>
      </c>
    </row>
    <row r="367" spans="1:10" s="87" customFormat="1" ht="24">
      <c r="A367" s="422" t="s">
        <v>463</v>
      </c>
      <c r="B367" s="299" t="s">
        <v>464</v>
      </c>
      <c r="C367" s="299" t="s">
        <v>465</v>
      </c>
      <c r="D367" s="300" t="str">
        <f>B365</f>
        <v>ENGATE/RABICHO FLEXIVEL PLASTICO (PVC OU ABS) BRANCO 1/2 " X 40 CM</v>
      </c>
      <c r="E367" s="299" t="s">
        <v>102</v>
      </c>
      <c r="F367" s="314">
        <v>1</v>
      </c>
      <c r="G367" s="315">
        <v>5.91</v>
      </c>
      <c r="H367" s="411">
        <f t="shared" ref="H367" si="87">IF(E367="H",G367,TRUNC(G367*(1-$K$5),2))</f>
        <v>5.9</v>
      </c>
      <c r="I367" s="412">
        <f t="shared" ref="I367" si="88">TRUNC(H367*F367,2)</f>
        <v>5.9</v>
      </c>
    </row>
    <row r="368" spans="1:10" s="87" customFormat="1">
      <c r="A368" s="506" t="s">
        <v>387</v>
      </c>
      <c r="B368" s="506"/>
      <c r="C368" s="506"/>
      <c r="D368" s="506"/>
      <c r="E368" s="506"/>
      <c r="F368" s="506"/>
      <c r="G368" s="506"/>
      <c r="H368" s="507"/>
      <c r="I368" s="365">
        <f>SUM(I367:I367)</f>
        <v>5.9</v>
      </c>
    </row>
    <row r="369" spans="1:10" s="87" customFormat="1">
      <c r="A369" s="508"/>
      <c r="B369" s="508"/>
      <c r="C369" s="508"/>
      <c r="D369" s="508"/>
      <c r="E369" s="508"/>
      <c r="F369" s="508"/>
      <c r="G369" s="508"/>
      <c r="H369" s="508"/>
      <c r="I369" s="508"/>
    </row>
    <row r="370" spans="1:10" s="87" customFormat="1" ht="24">
      <c r="A370" s="409" t="s">
        <v>583</v>
      </c>
      <c r="B370" s="505" t="s">
        <v>584</v>
      </c>
      <c r="C370" s="505"/>
      <c r="D370" s="505"/>
      <c r="E370" s="505"/>
      <c r="F370" s="505"/>
      <c r="G370" s="505"/>
      <c r="H370" s="505"/>
      <c r="I370" s="410" t="str">
        <f>VLOOKUP(A370,'[1]PLANILHA ORÇAMENTÁRIA'!$B$8:$D$8000,3,FALSE)</f>
        <v>UND.</v>
      </c>
      <c r="J370" s="307">
        <f>I373</f>
        <v>2.35</v>
      </c>
    </row>
    <row r="371" spans="1:10" s="87" customFormat="1" ht="24">
      <c r="A371" s="308" t="s">
        <v>377</v>
      </c>
      <c r="B371" s="309" t="s">
        <v>378</v>
      </c>
      <c r="C371" s="310" t="s">
        <v>25</v>
      </c>
      <c r="D371" s="310" t="s">
        <v>2</v>
      </c>
      <c r="E371" s="310" t="s">
        <v>375</v>
      </c>
      <c r="F371" s="311" t="s">
        <v>379</v>
      </c>
      <c r="G371" s="312" t="s">
        <v>316</v>
      </c>
      <c r="H371" s="312" t="s">
        <v>380</v>
      </c>
      <c r="I371" s="313" t="s">
        <v>381</v>
      </c>
    </row>
    <row r="372" spans="1:10" s="87" customFormat="1" ht="24">
      <c r="A372" s="422" t="s">
        <v>19</v>
      </c>
      <c r="B372" s="299" t="s">
        <v>385</v>
      </c>
      <c r="C372" s="299">
        <v>6140</v>
      </c>
      <c r="D372" s="300" t="s">
        <v>792</v>
      </c>
      <c r="E372" s="299" t="s">
        <v>102</v>
      </c>
      <c r="F372" s="314">
        <v>1</v>
      </c>
      <c r="G372" s="315">
        <v>2.36</v>
      </c>
      <c r="H372" s="411">
        <f t="shared" ref="H372" si="89">IF(E372="H",G372,TRUNC(G372*(1-$K$5),2))</f>
        <v>2.35</v>
      </c>
      <c r="I372" s="412">
        <f t="shared" ref="I372" si="90">TRUNC(H372*F372,2)</f>
        <v>2.35</v>
      </c>
    </row>
    <row r="373" spans="1:10" s="87" customFormat="1">
      <c r="A373" s="506" t="s">
        <v>387</v>
      </c>
      <c r="B373" s="506"/>
      <c r="C373" s="506"/>
      <c r="D373" s="506"/>
      <c r="E373" s="506"/>
      <c r="F373" s="506"/>
      <c r="G373" s="506"/>
      <c r="H373" s="507"/>
      <c r="I373" s="365">
        <f>SUM(I372:I372)</f>
        <v>2.35</v>
      </c>
    </row>
    <row r="374" spans="1:10" s="87" customFormat="1">
      <c r="A374" s="508"/>
      <c r="B374" s="508"/>
      <c r="C374" s="508"/>
      <c r="D374" s="508"/>
      <c r="E374" s="508"/>
      <c r="F374" s="508"/>
      <c r="G374" s="508"/>
      <c r="H374" s="508"/>
      <c r="I374" s="508"/>
    </row>
    <row r="375" spans="1:10" s="87" customFormat="1">
      <c r="A375" s="409">
        <v>95545</v>
      </c>
      <c r="B375" s="505" t="s">
        <v>586</v>
      </c>
      <c r="C375" s="505"/>
      <c r="D375" s="505"/>
      <c r="E375" s="505"/>
      <c r="F375" s="505"/>
      <c r="G375" s="505"/>
      <c r="H375" s="505"/>
      <c r="I375" s="410" t="str">
        <f>VLOOKUP(A375,'[1]PLANILHA ORÇAMENTÁRIA'!$B$8:$D$8000,3,FALSE)</f>
        <v>UND.</v>
      </c>
      <c r="J375" s="307">
        <f>I379</f>
        <v>32.81</v>
      </c>
    </row>
    <row r="376" spans="1:10" s="87" customFormat="1" ht="24">
      <c r="A376" s="308" t="s">
        <v>377</v>
      </c>
      <c r="B376" s="309" t="s">
        <v>378</v>
      </c>
      <c r="C376" s="310" t="s">
        <v>25</v>
      </c>
      <c r="D376" s="310" t="s">
        <v>2</v>
      </c>
      <c r="E376" s="310" t="s">
        <v>375</v>
      </c>
      <c r="F376" s="311" t="s">
        <v>379</v>
      </c>
      <c r="G376" s="312" t="s">
        <v>316</v>
      </c>
      <c r="H376" s="312" t="s">
        <v>380</v>
      </c>
      <c r="I376" s="313" t="s">
        <v>381</v>
      </c>
    </row>
    <row r="377" spans="1:10" s="87" customFormat="1" ht="24">
      <c r="A377" s="422" t="s">
        <v>19</v>
      </c>
      <c r="B377" s="299" t="s">
        <v>385</v>
      </c>
      <c r="C377" s="299">
        <v>11757</v>
      </c>
      <c r="D377" s="300" t="s">
        <v>793</v>
      </c>
      <c r="E377" s="299" t="s">
        <v>102</v>
      </c>
      <c r="F377" s="314">
        <v>1</v>
      </c>
      <c r="G377" s="315">
        <v>29.75</v>
      </c>
      <c r="H377" s="411">
        <f t="shared" ref="H377:H378" si="91">IF(E377="H",G377,TRUNC(G377*(1-$K$5),2))</f>
        <v>29.73</v>
      </c>
      <c r="I377" s="412">
        <f t="shared" ref="I377:I378" si="92">TRUNC(H377*F377,2)</f>
        <v>29.73</v>
      </c>
    </row>
    <row r="378" spans="1:10" s="87" customFormat="1" ht="36">
      <c r="A378" s="422" t="s">
        <v>19</v>
      </c>
      <c r="B378" s="299" t="s">
        <v>382</v>
      </c>
      <c r="C378" s="299">
        <v>95541</v>
      </c>
      <c r="D378" s="300" t="s">
        <v>794</v>
      </c>
      <c r="E378" s="299" t="s">
        <v>102</v>
      </c>
      <c r="F378" s="314">
        <v>1</v>
      </c>
      <c r="G378" s="315">
        <v>3.09</v>
      </c>
      <c r="H378" s="411">
        <f t="shared" si="91"/>
        <v>3.08</v>
      </c>
      <c r="I378" s="412">
        <f t="shared" si="92"/>
        <v>3.08</v>
      </c>
    </row>
    <row r="379" spans="1:10" s="87" customFormat="1">
      <c r="A379" s="506" t="s">
        <v>387</v>
      </c>
      <c r="B379" s="506"/>
      <c r="C379" s="506"/>
      <c r="D379" s="506"/>
      <c r="E379" s="506"/>
      <c r="F379" s="506"/>
      <c r="G379" s="506"/>
      <c r="H379" s="507"/>
      <c r="I379" s="365">
        <f>SUM(I377:I378)</f>
        <v>32.81</v>
      </c>
    </row>
    <row r="380" spans="1:10" s="87" customFormat="1">
      <c r="A380" s="508"/>
      <c r="B380" s="508"/>
      <c r="C380" s="508"/>
      <c r="D380" s="508"/>
      <c r="E380" s="508"/>
      <c r="F380" s="508"/>
      <c r="G380" s="508"/>
      <c r="H380" s="508"/>
      <c r="I380" s="508"/>
    </row>
    <row r="381" spans="1:10" s="87" customFormat="1">
      <c r="A381" s="409">
        <v>95544</v>
      </c>
      <c r="B381" s="505" t="s">
        <v>588</v>
      </c>
      <c r="C381" s="505"/>
      <c r="D381" s="505"/>
      <c r="E381" s="505"/>
      <c r="F381" s="505"/>
      <c r="G381" s="505"/>
      <c r="H381" s="505"/>
      <c r="I381" s="410" t="str">
        <f>VLOOKUP(A381,'[1]PLANILHA ORÇAMENTÁRIA'!$B$8:$D$8000,3,FALSE)</f>
        <v>UND.</v>
      </c>
      <c r="J381" s="307">
        <f>I385</f>
        <v>33.58</v>
      </c>
    </row>
    <row r="382" spans="1:10" s="87" customFormat="1" ht="24">
      <c r="A382" s="308" t="s">
        <v>377</v>
      </c>
      <c r="B382" s="309" t="s">
        <v>378</v>
      </c>
      <c r="C382" s="310" t="s">
        <v>25</v>
      </c>
      <c r="D382" s="310" t="s">
        <v>2</v>
      </c>
      <c r="E382" s="310" t="s">
        <v>375</v>
      </c>
      <c r="F382" s="311" t="s">
        <v>379</v>
      </c>
      <c r="G382" s="312" t="s">
        <v>316</v>
      </c>
      <c r="H382" s="312" t="s">
        <v>380</v>
      </c>
      <c r="I382" s="313" t="s">
        <v>381</v>
      </c>
    </row>
    <row r="383" spans="1:10" s="87" customFormat="1" ht="24">
      <c r="A383" s="422" t="s">
        <v>19</v>
      </c>
      <c r="B383" s="299" t="s">
        <v>385</v>
      </c>
      <c r="C383" s="299">
        <v>11703</v>
      </c>
      <c r="D383" s="300" t="s">
        <v>795</v>
      </c>
      <c r="E383" s="299" t="s">
        <v>102</v>
      </c>
      <c r="F383" s="314">
        <v>1</v>
      </c>
      <c r="G383" s="315">
        <v>30.52</v>
      </c>
      <c r="H383" s="411">
        <f t="shared" ref="H383:H384" si="93">IF(E383="H",G383,TRUNC(G383*(1-$K$5),2))</f>
        <v>30.5</v>
      </c>
      <c r="I383" s="412">
        <f t="shared" ref="I383:I384" si="94">TRUNC(H383*F383,2)</f>
        <v>30.5</v>
      </c>
    </row>
    <row r="384" spans="1:10" s="87" customFormat="1" ht="36">
      <c r="A384" s="422" t="s">
        <v>19</v>
      </c>
      <c r="B384" s="299" t="s">
        <v>382</v>
      </c>
      <c r="C384" s="299">
        <v>95541</v>
      </c>
      <c r="D384" s="300" t="s">
        <v>794</v>
      </c>
      <c r="E384" s="299" t="s">
        <v>102</v>
      </c>
      <c r="F384" s="314">
        <v>1</v>
      </c>
      <c r="G384" s="315">
        <v>3.09</v>
      </c>
      <c r="H384" s="411">
        <f t="shared" si="93"/>
        <v>3.08</v>
      </c>
      <c r="I384" s="412">
        <f t="shared" si="94"/>
        <v>3.08</v>
      </c>
    </row>
    <row r="385" spans="1:10" s="87" customFormat="1">
      <c r="A385" s="506" t="s">
        <v>387</v>
      </c>
      <c r="B385" s="506"/>
      <c r="C385" s="506"/>
      <c r="D385" s="506"/>
      <c r="E385" s="506"/>
      <c r="F385" s="506"/>
      <c r="G385" s="506"/>
      <c r="H385" s="507"/>
      <c r="I385" s="365">
        <f>SUM(I383:I384)</f>
        <v>33.58</v>
      </c>
    </row>
    <row r="386" spans="1:10" s="87" customFormat="1">
      <c r="A386" s="508"/>
      <c r="B386" s="508"/>
      <c r="C386" s="508"/>
      <c r="D386" s="508"/>
      <c r="E386" s="508"/>
      <c r="F386" s="508"/>
      <c r="G386" s="508"/>
      <c r="H386" s="508"/>
      <c r="I386" s="508"/>
    </row>
    <row r="387" spans="1:10" s="87" customFormat="1" ht="24">
      <c r="A387" s="409" t="s">
        <v>590</v>
      </c>
      <c r="B387" s="505" t="s">
        <v>591</v>
      </c>
      <c r="C387" s="505"/>
      <c r="D387" s="505"/>
      <c r="E387" s="505"/>
      <c r="F387" s="505"/>
      <c r="G387" s="505"/>
      <c r="H387" s="505"/>
      <c r="I387" s="410" t="str">
        <f>VLOOKUP(A387,'[1]PLANILHA ORÇAMENTÁRIA'!$B$8:$D$8000,3,FALSE)</f>
        <v>UND.</v>
      </c>
      <c r="J387" s="307">
        <f>I390</f>
        <v>4.5</v>
      </c>
    </row>
    <row r="388" spans="1:10" s="87" customFormat="1" ht="24">
      <c r="A388" s="308" t="s">
        <v>377</v>
      </c>
      <c r="B388" s="309" t="s">
        <v>378</v>
      </c>
      <c r="C388" s="310" t="s">
        <v>25</v>
      </c>
      <c r="D388" s="310" t="s">
        <v>2</v>
      </c>
      <c r="E388" s="310" t="s">
        <v>375</v>
      </c>
      <c r="F388" s="311" t="s">
        <v>379</v>
      </c>
      <c r="G388" s="312" t="s">
        <v>316</v>
      </c>
      <c r="H388" s="312" t="s">
        <v>380</v>
      </c>
      <c r="I388" s="313" t="s">
        <v>381</v>
      </c>
    </row>
    <row r="389" spans="1:10" s="87" customFormat="1" ht="24">
      <c r="A389" s="422" t="s">
        <v>463</v>
      </c>
      <c r="B389" s="299" t="s">
        <v>464</v>
      </c>
      <c r="C389" s="299" t="s">
        <v>465</v>
      </c>
      <c r="D389" s="300" t="str">
        <f>B387</f>
        <v>BRACO OU HASTE COM CANOPLA PLASTICA, 1/2", PARA CHUVEIRO SIMPLES</v>
      </c>
      <c r="E389" s="299" t="s">
        <v>102</v>
      </c>
      <c r="F389" s="314">
        <v>1</v>
      </c>
      <c r="G389" s="315">
        <v>4.51</v>
      </c>
      <c r="H389" s="411">
        <f t="shared" ref="H389" si="95">IF(E389="H",G389,TRUNC(G389*(1-$K$5),2))</f>
        <v>4.5</v>
      </c>
      <c r="I389" s="412">
        <f t="shared" ref="I389" si="96">TRUNC(H389*F389,2)</f>
        <v>4.5</v>
      </c>
    </row>
    <row r="390" spans="1:10" s="87" customFormat="1">
      <c r="A390" s="506" t="s">
        <v>387</v>
      </c>
      <c r="B390" s="506"/>
      <c r="C390" s="506"/>
      <c r="D390" s="506"/>
      <c r="E390" s="506"/>
      <c r="F390" s="506"/>
      <c r="G390" s="506"/>
      <c r="H390" s="507"/>
      <c r="I390" s="365">
        <f>SUM(I389:I389)</f>
        <v>4.5</v>
      </c>
    </row>
    <row r="391" spans="1:10" s="87" customFormat="1">
      <c r="A391" s="508"/>
      <c r="B391" s="508"/>
      <c r="C391" s="508"/>
      <c r="D391" s="508"/>
      <c r="E391" s="508"/>
      <c r="F391" s="508"/>
      <c r="G391" s="508"/>
      <c r="H391" s="508"/>
      <c r="I391" s="508"/>
    </row>
    <row r="392" spans="1:10" s="87" customFormat="1" ht="24">
      <c r="A392" s="409" t="s">
        <v>593</v>
      </c>
      <c r="B392" s="505" t="s">
        <v>594</v>
      </c>
      <c r="C392" s="505"/>
      <c r="D392" s="505"/>
      <c r="E392" s="505"/>
      <c r="F392" s="505"/>
      <c r="G392" s="505"/>
      <c r="H392" s="505"/>
      <c r="I392" s="410" t="str">
        <f>VLOOKUP(A392,'[1]PLANILHA ORÇAMENTÁRIA'!$B$8:$D$8000,3,FALSE)</f>
        <v>UND.</v>
      </c>
      <c r="J392" s="307">
        <f>I395</f>
        <v>3.86</v>
      </c>
    </row>
    <row r="393" spans="1:10" s="87" customFormat="1" ht="24">
      <c r="A393" s="308" t="s">
        <v>377</v>
      </c>
      <c r="B393" s="309" t="s">
        <v>378</v>
      </c>
      <c r="C393" s="310" t="s">
        <v>25</v>
      </c>
      <c r="D393" s="310" t="s">
        <v>2</v>
      </c>
      <c r="E393" s="310" t="s">
        <v>375</v>
      </c>
      <c r="F393" s="311" t="s">
        <v>379</v>
      </c>
      <c r="G393" s="312" t="s">
        <v>316</v>
      </c>
      <c r="H393" s="312" t="s">
        <v>380</v>
      </c>
      <c r="I393" s="313" t="s">
        <v>381</v>
      </c>
    </row>
    <row r="394" spans="1:10" s="87" customFormat="1" ht="24">
      <c r="A394" s="422" t="s">
        <v>463</v>
      </c>
      <c r="B394" s="299" t="s">
        <v>464</v>
      </c>
      <c r="C394" s="299" t="s">
        <v>465</v>
      </c>
      <c r="D394" s="300" t="str">
        <f>B392</f>
        <v>CHUVEIRO PLASTICO BRANCO SIMPLES 5 '' PARA ACOPLAR EM HASTE 1/2 ", AGUA FRIA</v>
      </c>
      <c r="E394" s="299" t="s">
        <v>102</v>
      </c>
      <c r="F394" s="314">
        <v>1</v>
      </c>
      <c r="G394" s="315">
        <v>3.87</v>
      </c>
      <c r="H394" s="411">
        <f t="shared" ref="H394" si="97">IF(E394="H",G394,TRUNC(G394*(1-$K$5),2))</f>
        <v>3.86</v>
      </c>
      <c r="I394" s="412">
        <f t="shared" ref="I394" si="98">TRUNC(H394*F394,2)</f>
        <v>3.86</v>
      </c>
    </row>
    <row r="395" spans="1:10" s="87" customFormat="1">
      <c r="A395" s="506" t="s">
        <v>387</v>
      </c>
      <c r="B395" s="506"/>
      <c r="C395" s="506"/>
      <c r="D395" s="506"/>
      <c r="E395" s="506"/>
      <c r="F395" s="506"/>
      <c r="G395" s="506"/>
      <c r="H395" s="507"/>
      <c r="I395" s="365">
        <f>SUM(I394:I394)</f>
        <v>3.86</v>
      </c>
    </row>
    <row r="396" spans="1:10" s="87" customFormat="1">
      <c r="A396" s="508"/>
      <c r="B396" s="508"/>
      <c r="C396" s="508"/>
      <c r="D396" s="508"/>
      <c r="E396" s="508"/>
      <c r="F396" s="508"/>
      <c r="G396" s="508"/>
      <c r="H396" s="508"/>
      <c r="I396" s="508"/>
    </row>
    <row r="397" spans="1:10" s="87" customFormat="1" ht="29.25" customHeight="1">
      <c r="A397" s="409">
        <v>86914</v>
      </c>
      <c r="B397" s="505" t="s">
        <v>596</v>
      </c>
      <c r="C397" s="505"/>
      <c r="D397" s="505"/>
      <c r="E397" s="505"/>
      <c r="F397" s="505"/>
      <c r="G397" s="505"/>
      <c r="H397" s="505"/>
      <c r="I397" s="410" t="str">
        <f>VLOOKUP(A397,'[1]PLANILHA ORÇAMENTÁRIA'!$B$8:$D$8000,3,FALSE)</f>
        <v>UND.</v>
      </c>
      <c r="J397" s="307">
        <f>I403</f>
        <v>32.519999999999996</v>
      </c>
    </row>
    <row r="398" spans="1:10" s="87" customFormat="1" ht="24">
      <c r="A398" s="308" t="s">
        <v>377</v>
      </c>
      <c r="B398" s="309" t="s">
        <v>378</v>
      </c>
      <c r="C398" s="310" t="s">
        <v>25</v>
      </c>
      <c r="D398" s="310" t="s">
        <v>2</v>
      </c>
      <c r="E398" s="310" t="s">
        <v>375</v>
      </c>
      <c r="F398" s="311" t="s">
        <v>379</v>
      </c>
      <c r="G398" s="312" t="s">
        <v>316</v>
      </c>
      <c r="H398" s="312" t="s">
        <v>380</v>
      </c>
      <c r="I398" s="313" t="s">
        <v>381</v>
      </c>
    </row>
    <row r="399" spans="1:10" s="87" customFormat="1" ht="24">
      <c r="A399" s="422" t="s">
        <v>19</v>
      </c>
      <c r="B399" s="299" t="s">
        <v>385</v>
      </c>
      <c r="C399" s="299">
        <v>3146</v>
      </c>
      <c r="D399" s="300" t="s">
        <v>796</v>
      </c>
      <c r="E399" s="299" t="s">
        <v>102</v>
      </c>
      <c r="F399" s="314">
        <v>3.04E-2</v>
      </c>
      <c r="G399" s="315">
        <v>1.8</v>
      </c>
      <c r="H399" s="411">
        <f t="shared" ref="H399:H402" si="99">IF(E399="H",G399,TRUNC(G399*(1-$K$5),2))</f>
        <v>1.79</v>
      </c>
      <c r="I399" s="412">
        <f t="shared" ref="I399:I402" si="100">TRUNC(H399*F399,2)</f>
        <v>0.05</v>
      </c>
    </row>
    <row r="400" spans="1:10" s="87" customFormat="1" ht="24">
      <c r="A400" s="422" t="s">
        <v>19</v>
      </c>
      <c r="B400" s="299" t="s">
        <v>385</v>
      </c>
      <c r="C400" s="299">
        <v>13417</v>
      </c>
      <c r="D400" s="300" t="s">
        <v>797</v>
      </c>
      <c r="E400" s="299" t="s">
        <v>102</v>
      </c>
      <c r="F400" s="314">
        <v>1</v>
      </c>
      <c r="G400" s="315">
        <v>29.22</v>
      </c>
      <c r="H400" s="411">
        <f t="shared" si="99"/>
        <v>29.2</v>
      </c>
      <c r="I400" s="412">
        <f t="shared" si="100"/>
        <v>29.2</v>
      </c>
    </row>
    <row r="401" spans="1:10" s="87" customFormat="1" ht="24">
      <c r="A401" s="422" t="s">
        <v>19</v>
      </c>
      <c r="B401" s="299" t="s">
        <v>382</v>
      </c>
      <c r="C401" s="299">
        <v>88267</v>
      </c>
      <c r="D401" s="300" t="s">
        <v>452</v>
      </c>
      <c r="E401" s="299" t="s">
        <v>161</v>
      </c>
      <c r="F401" s="314">
        <v>0.15</v>
      </c>
      <c r="G401" s="315">
        <v>17.22</v>
      </c>
      <c r="H401" s="411">
        <f t="shared" si="99"/>
        <v>17.22</v>
      </c>
      <c r="I401" s="412">
        <f t="shared" si="100"/>
        <v>2.58</v>
      </c>
    </row>
    <row r="402" spans="1:10" s="87" customFormat="1" ht="24">
      <c r="A402" s="422" t="s">
        <v>19</v>
      </c>
      <c r="B402" s="299" t="s">
        <v>382</v>
      </c>
      <c r="C402" s="299">
        <v>88316</v>
      </c>
      <c r="D402" s="300" t="s">
        <v>384</v>
      </c>
      <c r="E402" s="299" t="s">
        <v>161</v>
      </c>
      <c r="F402" s="314">
        <v>0.05</v>
      </c>
      <c r="G402" s="315">
        <v>13.8</v>
      </c>
      <c r="H402" s="411">
        <f t="shared" si="99"/>
        <v>13.8</v>
      </c>
      <c r="I402" s="412">
        <f t="shared" si="100"/>
        <v>0.69</v>
      </c>
    </row>
    <row r="403" spans="1:10" s="87" customFormat="1">
      <c r="A403" s="506" t="s">
        <v>387</v>
      </c>
      <c r="B403" s="506"/>
      <c r="C403" s="506"/>
      <c r="D403" s="506"/>
      <c r="E403" s="506"/>
      <c r="F403" s="506"/>
      <c r="G403" s="506"/>
      <c r="H403" s="507"/>
      <c r="I403" s="365">
        <f>SUM(I399:I402)</f>
        <v>32.519999999999996</v>
      </c>
    </row>
    <row r="404" spans="1:10" s="87" customFormat="1">
      <c r="A404" s="508"/>
      <c r="B404" s="508"/>
      <c r="C404" s="508"/>
      <c r="D404" s="508"/>
      <c r="E404" s="508"/>
      <c r="F404" s="508"/>
      <c r="G404" s="508"/>
      <c r="H404" s="508"/>
      <c r="I404" s="508"/>
    </row>
    <row r="405" spans="1:10" s="87" customFormat="1" ht="24">
      <c r="A405" s="409" t="s">
        <v>598</v>
      </c>
      <c r="B405" s="505" t="s">
        <v>599</v>
      </c>
      <c r="C405" s="505"/>
      <c r="D405" s="505"/>
      <c r="E405" s="505"/>
      <c r="F405" s="505"/>
      <c r="G405" s="505"/>
      <c r="H405" s="505"/>
      <c r="I405" s="410" t="str">
        <f>VLOOKUP(A405,'[1]PLANILHA ORÇAMENTÁRIA'!$B$8:$D$8000,3,FALSE)</f>
        <v>UND.</v>
      </c>
      <c r="J405" s="307">
        <f>I408</f>
        <v>175.02</v>
      </c>
    </row>
    <row r="406" spans="1:10" s="87" customFormat="1" ht="24">
      <c r="A406" s="308" t="s">
        <v>377</v>
      </c>
      <c r="B406" s="309" t="s">
        <v>378</v>
      </c>
      <c r="C406" s="310" t="s">
        <v>25</v>
      </c>
      <c r="D406" s="310" t="s">
        <v>2</v>
      </c>
      <c r="E406" s="310" t="s">
        <v>375</v>
      </c>
      <c r="F406" s="311" t="s">
        <v>379</v>
      </c>
      <c r="G406" s="312" t="s">
        <v>316</v>
      </c>
      <c r="H406" s="312" t="s">
        <v>380</v>
      </c>
      <c r="I406" s="313" t="s">
        <v>381</v>
      </c>
    </row>
    <row r="407" spans="1:10" s="87" customFormat="1" ht="24">
      <c r="A407" s="422" t="s">
        <v>463</v>
      </c>
      <c r="B407" s="299" t="s">
        <v>464</v>
      </c>
      <c r="C407" s="299" t="s">
        <v>465</v>
      </c>
      <c r="D407" s="300" t="str">
        <f>B405</f>
        <v>CAIXA D'AGUA EM POLIETILENO 500 LITROS, COM TAMPA</v>
      </c>
      <c r="E407" s="299" t="s">
        <v>102</v>
      </c>
      <c r="F407" s="314">
        <v>1</v>
      </c>
      <c r="G407" s="315">
        <v>175.11</v>
      </c>
      <c r="H407" s="411">
        <f t="shared" ref="H407" si="101">IF(E407="H",G407,TRUNC(G407*(1-$K$5),2))</f>
        <v>175.02</v>
      </c>
      <c r="I407" s="412">
        <f t="shared" ref="I407" si="102">TRUNC(H407*F407,2)</f>
        <v>175.02</v>
      </c>
    </row>
    <row r="408" spans="1:10" s="87" customFormat="1">
      <c r="A408" s="506" t="s">
        <v>387</v>
      </c>
      <c r="B408" s="506"/>
      <c r="C408" s="506"/>
      <c r="D408" s="506"/>
      <c r="E408" s="506"/>
      <c r="F408" s="506"/>
      <c r="G408" s="506"/>
      <c r="H408" s="507"/>
      <c r="I408" s="365">
        <f>SUM(I407:I407)</f>
        <v>175.02</v>
      </c>
    </row>
    <row r="409" spans="1:10" s="87" customFormat="1">
      <c r="A409" s="508"/>
      <c r="B409" s="508"/>
      <c r="C409" s="508"/>
      <c r="D409" s="508"/>
      <c r="E409" s="508"/>
      <c r="F409" s="508"/>
      <c r="G409" s="508"/>
      <c r="H409" s="508"/>
      <c r="I409" s="508"/>
    </row>
    <row r="410" spans="1:10" s="87" customFormat="1" ht="30" customHeight="1">
      <c r="A410" s="409">
        <v>89714</v>
      </c>
      <c r="B410" s="505" t="s">
        <v>604</v>
      </c>
      <c r="C410" s="505"/>
      <c r="D410" s="505"/>
      <c r="E410" s="505"/>
      <c r="F410" s="505"/>
      <c r="G410" s="505"/>
      <c r="H410" s="505"/>
      <c r="I410" s="410" t="str">
        <f>VLOOKUP(A410,'[1]PLANILHA ORÇAMENTÁRIA'!$B$8:$D$8000,3,FALSE)</f>
        <v>M</v>
      </c>
      <c r="J410" s="307">
        <f>I418</f>
        <v>34.85</v>
      </c>
    </row>
    <row r="411" spans="1:10" s="87" customFormat="1" ht="24">
      <c r="A411" s="308" t="s">
        <v>377</v>
      </c>
      <c r="B411" s="309" t="s">
        <v>378</v>
      </c>
      <c r="C411" s="310" t="s">
        <v>25</v>
      </c>
      <c r="D411" s="310" t="s">
        <v>2</v>
      </c>
      <c r="E411" s="310" t="s">
        <v>375</v>
      </c>
      <c r="F411" s="311" t="s">
        <v>379</v>
      </c>
      <c r="G411" s="312" t="s">
        <v>316</v>
      </c>
      <c r="H411" s="312" t="s">
        <v>380</v>
      </c>
      <c r="I411" s="313" t="s">
        <v>381</v>
      </c>
    </row>
    <row r="412" spans="1:10" s="87" customFormat="1" ht="24">
      <c r="A412" s="422" t="s">
        <v>19</v>
      </c>
      <c r="B412" s="299" t="s">
        <v>385</v>
      </c>
      <c r="C412" s="299">
        <v>122</v>
      </c>
      <c r="D412" s="300" t="s">
        <v>448</v>
      </c>
      <c r="E412" s="299" t="s">
        <v>102</v>
      </c>
      <c r="F412" s="314">
        <v>3.6299999999999999E-2</v>
      </c>
      <c r="G412" s="315">
        <v>44.26</v>
      </c>
      <c r="H412" s="411">
        <f t="shared" ref="H412:H417" si="103">IF(E412="H",G412,TRUNC(G412*(1-$K$5),2))</f>
        <v>44.23</v>
      </c>
      <c r="I412" s="412">
        <f t="shared" ref="I412:I417" si="104">TRUNC(H412*F412,2)</f>
        <v>1.6</v>
      </c>
    </row>
    <row r="413" spans="1:10" s="87" customFormat="1" ht="24">
      <c r="A413" s="422" t="s">
        <v>19</v>
      </c>
      <c r="B413" s="299" t="s">
        <v>385</v>
      </c>
      <c r="C413" s="299">
        <v>9836</v>
      </c>
      <c r="D413" s="300" t="s">
        <v>798</v>
      </c>
      <c r="E413" s="299" t="s">
        <v>389</v>
      </c>
      <c r="F413" s="314">
        <v>1.05</v>
      </c>
      <c r="G413" s="315">
        <v>7.5</v>
      </c>
      <c r="H413" s="411">
        <f t="shared" si="103"/>
        <v>7.49</v>
      </c>
      <c r="I413" s="412">
        <f t="shared" si="104"/>
        <v>7.86</v>
      </c>
    </row>
    <row r="414" spans="1:10" s="87" customFormat="1" ht="24">
      <c r="A414" s="422" t="s">
        <v>19</v>
      </c>
      <c r="B414" s="299" t="s">
        <v>385</v>
      </c>
      <c r="C414" s="299">
        <v>20083</v>
      </c>
      <c r="D414" s="300" t="s">
        <v>449</v>
      </c>
      <c r="E414" s="299" t="s">
        <v>102</v>
      </c>
      <c r="F414" s="314">
        <v>5.9299999999999999E-2</v>
      </c>
      <c r="G414" s="315">
        <v>38.44</v>
      </c>
      <c r="H414" s="411">
        <f t="shared" si="103"/>
        <v>38.42</v>
      </c>
      <c r="I414" s="412">
        <f t="shared" si="104"/>
        <v>2.27</v>
      </c>
    </row>
    <row r="415" spans="1:10" s="87" customFormat="1">
      <c r="A415" s="422" t="s">
        <v>19</v>
      </c>
      <c r="B415" s="299" t="s">
        <v>385</v>
      </c>
      <c r="C415" s="299">
        <v>38383</v>
      </c>
      <c r="D415" s="300" t="s">
        <v>450</v>
      </c>
      <c r="E415" s="299" t="s">
        <v>102</v>
      </c>
      <c r="F415" s="314">
        <v>0.247</v>
      </c>
      <c r="G415" s="315">
        <v>1.43</v>
      </c>
      <c r="H415" s="411">
        <f t="shared" si="103"/>
        <v>1.42</v>
      </c>
      <c r="I415" s="412">
        <f t="shared" si="104"/>
        <v>0.35</v>
      </c>
    </row>
    <row r="416" spans="1:10" s="87" customFormat="1" ht="36">
      <c r="A416" s="422" t="s">
        <v>19</v>
      </c>
      <c r="B416" s="299" t="s">
        <v>382</v>
      </c>
      <c r="C416" s="299">
        <v>88248</v>
      </c>
      <c r="D416" s="300" t="s">
        <v>451</v>
      </c>
      <c r="E416" s="299" t="s">
        <v>161</v>
      </c>
      <c r="F416" s="314">
        <v>0.74</v>
      </c>
      <c r="G416" s="315">
        <v>13.56</v>
      </c>
      <c r="H416" s="411">
        <f t="shared" si="103"/>
        <v>13.56</v>
      </c>
      <c r="I416" s="412">
        <f t="shared" si="104"/>
        <v>10.029999999999999</v>
      </c>
    </row>
    <row r="417" spans="1:10" s="87" customFormat="1" ht="24">
      <c r="A417" s="422" t="s">
        <v>19</v>
      </c>
      <c r="B417" s="299" t="s">
        <v>382</v>
      </c>
      <c r="C417" s="299">
        <v>88267</v>
      </c>
      <c r="D417" s="300" t="s">
        <v>452</v>
      </c>
      <c r="E417" s="299" t="s">
        <v>161</v>
      </c>
      <c r="F417" s="314">
        <v>0.74</v>
      </c>
      <c r="G417" s="315">
        <v>17.22</v>
      </c>
      <c r="H417" s="411">
        <f t="shared" si="103"/>
        <v>17.22</v>
      </c>
      <c r="I417" s="412">
        <f t="shared" si="104"/>
        <v>12.74</v>
      </c>
    </row>
    <row r="418" spans="1:10" s="87" customFormat="1">
      <c r="A418" s="506" t="s">
        <v>387</v>
      </c>
      <c r="B418" s="506"/>
      <c r="C418" s="506"/>
      <c r="D418" s="506"/>
      <c r="E418" s="506"/>
      <c r="F418" s="506"/>
      <c r="G418" s="506"/>
      <c r="H418" s="507"/>
      <c r="I418" s="365">
        <f>SUM(I412:I417)</f>
        <v>34.85</v>
      </c>
    </row>
    <row r="419" spans="1:10" s="87" customFormat="1">
      <c r="A419" s="508"/>
      <c r="B419" s="508"/>
      <c r="C419" s="508"/>
      <c r="D419" s="508"/>
      <c r="E419" s="508"/>
      <c r="F419" s="508"/>
      <c r="G419" s="508"/>
      <c r="H419" s="508"/>
      <c r="I419" s="508"/>
    </row>
    <row r="420" spans="1:10" s="87" customFormat="1" ht="28.5" customHeight="1">
      <c r="A420" s="409">
        <v>89798</v>
      </c>
      <c r="B420" s="505" t="s">
        <v>606</v>
      </c>
      <c r="C420" s="505"/>
      <c r="D420" s="505"/>
      <c r="E420" s="505"/>
      <c r="F420" s="505"/>
      <c r="G420" s="505"/>
      <c r="H420" s="505"/>
      <c r="I420" s="410" t="str">
        <f>VLOOKUP(A420,'[1]PLANILHA ORÇAMENTÁRIA'!$B$8:$D$8000,3,FALSE)</f>
        <v>M</v>
      </c>
      <c r="J420" s="307">
        <f>I428</f>
        <v>6.99</v>
      </c>
    </row>
    <row r="421" spans="1:10" s="87" customFormat="1" ht="24">
      <c r="A421" s="308" t="s">
        <v>377</v>
      </c>
      <c r="B421" s="309" t="s">
        <v>378</v>
      </c>
      <c r="C421" s="310" t="s">
        <v>25</v>
      </c>
      <c r="D421" s="310" t="s">
        <v>2</v>
      </c>
      <c r="E421" s="310" t="s">
        <v>375</v>
      </c>
      <c r="F421" s="311" t="s">
        <v>379</v>
      </c>
      <c r="G421" s="312" t="s">
        <v>316</v>
      </c>
      <c r="H421" s="312" t="s">
        <v>380</v>
      </c>
      <c r="I421" s="313" t="s">
        <v>381</v>
      </c>
    </row>
    <row r="422" spans="1:10" s="87" customFormat="1" ht="24">
      <c r="A422" s="422" t="s">
        <v>19</v>
      </c>
      <c r="B422" s="299" t="s">
        <v>385</v>
      </c>
      <c r="C422" s="299">
        <v>122</v>
      </c>
      <c r="D422" s="300" t="s">
        <v>448</v>
      </c>
      <c r="E422" s="299" t="s">
        <v>102</v>
      </c>
      <c r="F422" s="314">
        <v>3.5000000000000001E-3</v>
      </c>
      <c r="G422" s="315">
        <v>44.26</v>
      </c>
      <c r="H422" s="411">
        <f t="shared" ref="H422:H427" si="105">IF(E422="H",G422,TRUNC(G422*(1-$K$5),2))</f>
        <v>44.23</v>
      </c>
      <c r="I422" s="412">
        <f t="shared" ref="I422:I427" si="106">TRUNC(H422*F422,2)</f>
        <v>0.15</v>
      </c>
    </row>
    <row r="423" spans="1:10" s="87" customFormat="1" ht="24">
      <c r="A423" s="422" t="s">
        <v>19</v>
      </c>
      <c r="B423" s="299" t="s">
        <v>385</v>
      </c>
      <c r="C423" s="299">
        <v>9838</v>
      </c>
      <c r="D423" s="300" t="s">
        <v>799</v>
      </c>
      <c r="E423" s="299" t="s">
        <v>389</v>
      </c>
      <c r="F423" s="314">
        <v>1.05</v>
      </c>
      <c r="G423" s="315">
        <v>4.88</v>
      </c>
      <c r="H423" s="411">
        <f t="shared" si="105"/>
        <v>4.87</v>
      </c>
      <c r="I423" s="412">
        <f t="shared" si="106"/>
        <v>5.1100000000000003</v>
      </c>
    </row>
    <row r="424" spans="1:10" s="87" customFormat="1" ht="24">
      <c r="A424" s="422" t="s">
        <v>19</v>
      </c>
      <c r="B424" s="299" t="s">
        <v>385</v>
      </c>
      <c r="C424" s="299">
        <v>20083</v>
      </c>
      <c r="D424" s="300" t="s">
        <v>449</v>
      </c>
      <c r="E424" s="299" t="s">
        <v>102</v>
      </c>
      <c r="F424" s="314">
        <v>4.7999999999999996E-3</v>
      </c>
      <c r="G424" s="315">
        <v>38.44</v>
      </c>
      <c r="H424" s="411">
        <f t="shared" si="105"/>
        <v>38.42</v>
      </c>
      <c r="I424" s="412">
        <f t="shared" si="106"/>
        <v>0.18</v>
      </c>
    </row>
    <row r="425" spans="1:10" s="87" customFormat="1">
      <c r="A425" s="422" t="s">
        <v>19</v>
      </c>
      <c r="B425" s="299" t="s">
        <v>385</v>
      </c>
      <c r="C425" s="299">
        <v>38383</v>
      </c>
      <c r="D425" s="300" t="s">
        <v>450</v>
      </c>
      <c r="E425" s="299" t="s">
        <v>102</v>
      </c>
      <c r="F425" s="314">
        <v>1.7000000000000001E-2</v>
      </c>
      <c r="G425" s="315">
        <v>1.43</v>
      </c>
      <c r="H425" s="411">
        <f t="shared" si="105"/>
        <v>1.42</v>
      </c>
      <c r="I425" s="412">
        <f t="shared" si="106"/>
        <v>0.02</v>
      </c>
    </row>
    <row r="426" spans="1:10" s="87" customFormat="1" ht="36">
      <c r="A426" s="422" t="s">
        <v>19</v>
      </c>
      <c r="B426" s="299" t="s">
        <v>382</v>
      </c>
      <c r="C426" s="299">
        <v>88248</v>
      </c>
      <c r="D426" s="300" t="s">
        <v>451</v>
      </c>
      <c r="E426" s="299" t="s">
        <v>161</v>
      </c>
      <c r="F426" s="314">
        <v>0.05</v>
      </c>
      <c r="G426" s="315">
        <v>13.56</v>
      </c>
      <c r="H426" s="411">
        <f t="shared" si="105"/>
        <v>13.56</v>
      </c>
      <c r="I426" s="412">
        <f t="shared" si="106"/>
        <v>0.67</v>
      </c>
    </row>
    <row r="427" spans="1:10" s="87" customFormat="1" ht="24">
      <c r="A427" s="422" t="s">
        <v>19</v>
      </c>
      <c r="B427" s="299" t="s">
        <v>382</v>
      </c>
      <c r="C427" s="299">
        <v>88267</v>
      </c>
      <c r="D427" s="300" t="s">
        <v>452</v>
      </c>
      <c r="E427" s="299" t="s">
        <v>161</v>
      </c>
      <c r="F427" s="314">
        <v>0.05</v>
      </c>
      <c r="G427" s="315">
        <v>17.22</v>
      </c>
      <c r="H427" s="411">
        <f t="shared" si="105"/>
        <v>17.22</v>
      </c>
      <c r="I427" s="412">
        <f t="shared" si="106"/>
        <v>0.86</v>
      </c>
    </row>
    <row r="428" spans="1:10" s="87" customFormat="1">
      <c r="A428" s="506" t="s">
        <v>387</v>
      </c>
      <c r="B428" s="506"/>
      <c r="C428" s="506"/>
      <c r="D428" s="506"/>
      <c r="E428" s="506"/>
      <c r="F428" s="506"/>
      <c r="G428" s="506"/>
      <c r="H428" s="507"/>
      <c r="I428" s="365">
        <f>SUM(I422:I427)</f>
        <v>6.99</v>
      </c>
    </row>
    <row r="429" spans="1:10" s="87" customFormat="1">
      <c r="A429" s="508"/>
      <c r="B429" s="508"/>
      <c r="C429" s="508"/>
      <c r="D429" s="508"/>
      <c r="E429" s="508"/>
      <c r="F429" s="508"/>
      <c r="G429" s="508"/>
      <c r="H429" s="508"/>
      <c r="I429" s="508"/>
    </row>
    <row r="430" spans="1:10" s="87" customFormat="1" ht="27" customHeight="1">
      <c r="A430" s="409">
        <v>89711</v>
      </c>
      <c r="B430" s="505" t="s">
        <v>608</v>
      </c>
      <c r="C430" s="505"/>
      <c r="D430" s="505"/>
      <c r="E430" s="505"/>
      <c r="F430" s="505"/>
      <c r="G430" s="505"/>
      <c r="H430" s="505"/>
      <c r="I430" s="410" t="str">
        <f>VLOOKUP(A430,'[1]PLANILHA ORÇAMENTÁRIA'!$B$8:$D$8000,3,FALSE)</f>
        <v>M</v>
      </c>
      <c r="J430" s="307">
        <f>I436</f>
        <v>12.33</v>
      </c>
    </row>
    <row r="431" spans="1:10" s="87" customFormat="1" ht="24">
      <c r="A431" s="308" t="s">
        <v>377</v>
      </c>
      <c r="B431" s="309" t="s">
        <v>378</v>
      </c>
      <c r="C431" s="310" t="s">
        <v>25</v>
      </c>
      <c r="D431" s="310" t="s">
        <v>2</v>
      </c>
      <c r="E431" s="310" t="s">
        <v>375</v>
      </c>
      <c r="F431" s="311" t="s">
        <v>379</v>
      </c>
      <c r="G431" s="312" t="s">
        <v>316</v>
      </c>
      <c r="H431" s="312" t="s">
        <v>380</v>
      </c>
      <c r="I431" s="313" t="s">
        <v>381</v>
      </c>
    </row>
    <row r="432" spans="1:10" s="87" customFormat="1" ht="24">
      <c r="A432" s="422" t="s">
        <v>19</v>
      </c>
      <c r="B432" s="299" t="s">
        <v>385</v>
      </c>
      <c r="C432" s="299">
        <v>9835</v>
      </c>
      <c r="D432" s="300" t="s">
        <v>800</v>
      </c>
      <c r="E432" s="299" t="s">
        <v>389</v>
      </c>
      <c r="F432" s="314">
        <v>1.05</v>
      </c>
      <c r="G432" s="315">
        <v>2.84</v>
      </c>
      <c r="H432" s="411">
        <f t="shared" ref="H432:H435" si="107">IF(E432="H",G432,TRUNC(G432*(1-$K$5),2))</f>
        <v>2.83</v>
      </c>
      <c r="I432" s="412">
        <f t="shared" ref="I432:I435" si="108">TRUNC(H432*F432,2)</f>
        <v>2.97</v>
      </c>
    </row>
    <row r="433" spans="1:10" s="87" customFormat="1">
      <c r="A433" s="422" t="s">
        <v>19</v>
      </c>
      <c r="B433" s="299" t="s">
        <v>385</v>
      </c>
      <c r="C433" s="299">
        <v>38383</v>
      </c>
      <c r="D433" s="300" t="s">
        <v>450</v>
      </c>
      <c r="E433" s="299" t="s">
        <v>102</v>
      </c>
      <c r="F433" s="314">
        <v>0.1</v>
      </c>
      <c r="G433" s="315">
        <v>1.43</v>
      </c>
      <c r="H433" s="411">
        <f t="shared" si="107"/>
        <v>1.42</v>
      </c>
      <c r="I433" s="412">
        <f t="shared" si="108"/>
        <v>0.14000000000000001</v>
      </c>
    </row>
    <row r="434" spans="1:10" s="87" customFormat="1" ht="36">
      <c r="A434" s="422" t="s">
        <v>19</v>
      </c>
      <c r="B434" s="299" t="s">
        <v>382</v>
      </c>
      <c r="C434" s="299">
        <v>88248</v>
      </c>
      <c r="D434" s="300" t="s">
        <v>451</v>
      </c>
      <c r="E434" s="299" t="s">
        <v>161</v>
      </c>
      <c r="F434" s="314">
        <v>0.3</v>
      </c>
      <c r="G434" s="315">
        <v>13.56</v>
      </c>
      <c r="H434" s="411">
        <f t="shared" si="107"/>
        <v>13.56</v>
      </c>
      <c r="I434" s="412">
        <f t="shared" si="108"/>
        <v>4.0599999999999996</v>
      </c>
    </row>
    <row r="435" spans="1:10" s="87" customFormat="1" ht="24">
      <c r="A435" s="422" t="s">
        <v>19</v>
      </c>
      <c r="B435" s="299" t="s">
        <v>382</v>
      </c>
      <c r="C435" s="299">
        <v>88267</v>
      </c>
      <c r="D435" s="300" t="s">
        <v>452</v>
      </c>
      <c r="E435" s="299" t="s">
        <v>161</v>
      </c>
      <c r="F435" s="314">
        <v>0.3</v>
      </c>
      <c r="G435" s="315">
        <v>17.22</v>
      </c>
      <c r="H435" s="411">
        <f t="shared" si="107"/>
        <v>17.22</v>
      </c>
      <c r="I435" s="412">
        <f t="shared" si="108"/>
        <v>5.16</v>
      </c>
    </row>
    <row r="436" spans="1:10" s="87" customFormat="1">
      <c r="A436" s="506" t="s">
        <v>387</v>
      </c>
      <c r="B436" s="506"/>
      <c r="C436" s="506"/>
      <c r="D436" s="506"/>
      <c r="E436" s="506"/>
      <c r="F436" s="506"/>
      <c r="G436" s="506"/>
      <c r="H436" s="507"/>
      <c r="I436" s="365">
        <f>SUM(I432:I435)</f>
        <v>12.33</v>
      </c>
    </row>
    <row r="437" spans="1:10" s="87" customFormat="1">
      <c r="A437" s="508"/>
      <c r="B437" s="508"/>
      <c r="C437" s="508"/>
      <c r="D437" s="508"/>
      <c r="E437" s="508"/>
      <c r="F437" s="508"/>
      <c r="G437" s="508"/>
      <c r="H437" s="508"/>
      <c r="I437" s="508"/>
    </row>
    <row r="438" spans="1:10" s="87" customFormat="1" ht="33" customHeight="1">
      <c r="A438" s="409">
        <v>89744</v>
      </c>
      <c r="B438" s="505" t="s">
        <v>610</v>
      </c>
      <c r="C438" s="505"/>
      <c r="D438" s="505"/>
      <c r="E438" s="505"/>
      <c r="F438" s="505"/>
      <c r="G438" s="505"/>
      <c r="H438" s="505"/>
      <c r="I438" s="410" t="str">
        <f>VLOOKUP(A438,'[1]PLANILHA ORÇAMENTÁRIA'!$B$8:$D$8000,3,FALSE)</f>
        <v>UND.</v>
      </c>
      <c r="J438" s="307">
        <f>I445</f>
        <v>17.060000000000002</v>
      </c>
    </row>
    <row r="439" spans="1:10" s="87" customFormat="1" ht="24">
      <c r="A439" s="308" t="s">
        <v>377</v>
      </c>
      <c r="B439" s="309" t="s">
        <v>378</v>
      </c>
      <c r="C439" s="310" t="s">
        <v>25</v>
      </c>
      <c r="D439" s="310" t="s">
        <v>2</v>
      </c>
      <c r="E439" s="310" t="s">
        <v>375</v>
      </c>
      <c r="F439" s="311" t="s">
        <v>379</v>
      </c>
      <c r="G439" s="312" t="s">
        <v>316</v>
      </c>
      <c r="H439" s="312" t="s">
        <v>380</v>
      </c>
      <c r="I439" s="313" t="s">
        <v>381</v>
      </c>
    </row>
    <row r="440" spans="1:10" s="87" customFormat="1" ht="24">
      <c r="A440" s="422" t="s">
        <v>19</v>
      </c>
      <c r="B440" s="299" t="s">
        <v>385</v>
      </c>
      <c r="C440" s="299">
        <v>301</v>
      </c>
      <c r="D440" s="300" t="s">
        <v>801</v>
      </c>
      <c r="E440" s="299" t="s">
        <v>102</v>
      </c>
      <c r="F440" s="314">
        <v>1</v>
      </c>
      <c r="G440" s="315">
        <v>2.48</v>
      </c>
      <c r="H440" s="411">
        <f t="shared" ref="H440:H444" si="109">IF(E440="H",G440,TRUNC(G440*(1-$K$5),2))</f>
        <v>2.4700000000000002</v>
      </c>
      <c r="I440" s="412">
        <f t="shared" ref="I440:I444" si="110">TRUNC(H440*F440,2)</f>
        <v>2.4700000000000002</v>
      </c>
    </row>
    <row r="441" spans="1:10" s="87" customFormat="1" ht="24">
      <c r="A441" s="422" t="s">
        <v>19</v>
      </c>
      <c r="B441" s="299" t="s">
        <v>385</v>
      </c>
      <c r="C441" s="299">
        <v>3520</v>
      </c>
      <c r="D441" s="300" t="s">
        <v>802</v>
      </c>
      <c r="E441" s="299" t="s">
        <v>102</v>
      </c>
      <c r="F441" s="314">
        <v>1</v>
      </c>
      <c r="G441" s="315">
        <v>6.17</v>
      </c>
      <c r="H441" s="411">
        <f t="shared" si="109"/>
        <v>6.16</v>
      </c>
      <c r="I441" s="412">
        <f t="shared" si="110"/>
        <v>6.16</v>
      </c>
    </row>
    <row r="442" spans="1:10" s="87" customFormat="1" ht="48">
      <c r="A442" s="422" t="s">
        <v>19</v>
      </c>
      <c r="B442" s="299" t="s">
        <v>385</v>
      </c>
      <c r="C442" s="299">
        <v>20078</v>
      </c>
      <c r="D442" s="300" t="s">
        <v>803</v>
      </c>
      <c r="E442" s="299" t="s">
        <v>102</v>
      </c>
      <c r="F442" s="314">
        <v>4.5999999999999999E-2</v>
      </c>
      <c r="G442" s="315">
        <v>16.2</v>
      </c>
      <c r="H442" s="411">
        <f t="shared" si="109"/>
        <v>16.190000000000001</v>
      </c>
      <c r="I442" s="412">
        <f t="shared" si="110"/>
        <v>0.74</v>
      </c>
    </row>
    <row r="443" spans="1:10" s="87" customFormat="1" ht="36">
      <c r="A443" s="422" t="s">
        <v>19</v>
      </c>
      <c r="B443" s="299" t="s">
        <v>382</v>
      </c>
      <c r="C443" s="299">
        <v>88248</v>
      </c>
      <c r="D443" s="300" t="s">
        <v>451</v>
      </c>
      <c r="E443" s="299" t="s">
        <v>161</v>
      </c>
      <c r="F443" s="314">
        <v>0.25</v>
      </c>
      <c r="G443" s="315">
        <v>13.56</v>
      </c>
      <c r="H443" s="411">
        <f t="shared" si="109"/>
        <v>13.56</v>
      </c>
      <c r="I443" s="412">
        <f t="shared" si="110"/>
        <v>3.39</v>
      </c>
    </row>
    <row r="444" spans="1:10" s="87" customFormat="1" ht="24">
      <c r="A444" s="422" t="s">
        <v>19</v>
      </c>
      <c r="B444" s="299" t="s">
        <v>382</v>
      </c>
      <c r="C444" s="299">
        <v>88267</v>
      </c>
      <c r="D444" s="300" t="s">
        <v>452</v>
      </c>
      <c r="E444" s="299" t="s">
        <v>161</v>
      </c>
      <c r="F444" s="314">
        <v>0.25</v>
      </c>
      <c r="G444" s="315">
        <v>17.22</v>
      </c>
      <c r="H444" s="411">
        <f t="shared" si="109"/>
        <v>17.22</v>
      </c>
      <c r="I444" s="412">
        <f t="shared" si="110"/>
        <v>4.3</v>
      </c>
    </row>
    <row r="445" spans="1:10" s="87" customFormat="1">
      <c r="A445" s="506" t="s">
        <v>387</v>
      </c>
      <c r="B445" s="506"/>
      <c r="C445" s="506"/>
      <c r="D445" s="506"/>
      <c r="E445" s="506"/>
      <c r="F445" s="506"/>
      <c r="G445" s="506"/>
      <c r="H445" s="507"/>
      <c r="I445" s="365">
        <f>SUM(I440:I444)</f>
        <v>17.060000000000002</v>
      </c>
    </row>
    <row r="446" spans="1:10" s="87" customFormat="1">
      <c r="A446" s="508"/>
      <c r="B446" s="508"/>
      <c r="C446" s="508"/>
      <c r="D446" s="508"/>
      <c r="E446" s="508"/>
      <c r="F446" s="508"/>
      <c r="G446" s="508"/>
      <c r="H446" s="508"/>
      <c r="I446" s="508"/>
    </row>
    <row r="447" spans="1:10" s="87" customFormat="1" ht="28.5" customHeight="1">
      <c r="A447" s="409">
        <v>89731</v>
      </c>
      <c r="B447" s="505" t="s">
        <v>612</v>
      </c>
      <c r="C447" s="505"/>
      <c r="D447" s="505"/>
      <c r="E447" s="505"/>
      <c r="F447" s="505"/>
      <c r="G447" s="505"/>
      <c r="H447" s="505"/>
      <c r="I447" s="410" t="str">
        <f>VLOOKUP(A447,'[1]PLANILHA ORÇAMENTÁRIA'!$B$8:$D$8000,3,FALSE)</f>
        <v>UND.</v>
      </c>
      <c r="J447" s="307">
        <f>I454</f>
        <v>7.5299999999999994</v>
      </c>
    </row>
    <row r="448" spans="1:10" s="87" customFormat="1" ht="24">
      <c r="A448" s="308" t="s">
        <v>377</v>
      </c>
      <c r="B448" s="309" t="s">
        <v>378</v>
      </c>
      <c r="C448" s="310" t="s">
        <v>25</v>
      </c>
      <c r="D448" s="310" t="s">
        <v>2</v>
      </c>
      <c r="E448" s="310" t="s">
        <v>375</v>
      </c>
      <c r="F448" s="311" t="s">
        <v>379</v>
      </c>
      <c r="G448" s="312" t="s">
        <v>316</v>
      </c>
      <c r="H448" s="312" t="s">
        <v>380</v>
      </c>
      <c r="I448" s="313" t="s">
        <v>381</v>
      </c>
    </row>
    <row r="449" spans="1:10" s="87" customFormat="1" ht="24">
      <c r="A449" s="422" t="s">
        <v>19</v>
      </c>
      <c r="B449" s="299" t="s">
        <v>385</v>
      </c>
      <c r="C449" s="299">
        <v>296</v>
      </c>
      <c r="D449" s="300" t="s">
        <v>804</v>
      </c>
      <c r="E449" s="299" t="s">
        <v>102</v>
      </c>
      <c r="F449" s="314">
        <v>1</v>
      </c>
      <c r="G449" s="315">
        <v>1.4</v>
      </c>
      <c r="H449" s="411">
        <f t="shared" ref="H449:H453" si="111">IF(E449="H",G449,TRUNC(G449*(1-$K$5),2))</f>
        <v>1.39</v>
      </c>
      <c r="I449" s="412">
        <f t="shared" ref="I449:I453" si="112">TRUNC(H449*F449,2)</f>
        <v>1.39</v>
      </c>
    </row>
    <row r="450" spans="1:10" s="87" customFormat="1" ht="24">
      <c r="A450" s="422" t="s">
        <v>19</v>
      </c>
      <c r="B450" s="299" t="s">
        <v>385</v>
      </c>
      <c r="C450" s="299">
        <v>3526</v>
      </c>
      <c r="D450" s="300" t="s">
        <v>805</v>
      </c>
      <c r="E450" s="299" t="s">
        <v>102</v>
      </c>
      <c r="F450" s="314">
        <v>1</v>
      </c>
      <c r="G450" s="315">
        <v>1.84</v>
      </c>
      <c r="H450" s="411">
        <f t="shared" si="111"/>
        <v>1.83</v>
      </c>
      <c r="I450" s="412">
        <f t="shared" si="112"/>
        <v>1.83</v>
      </c>
    </row>
    <row r="451" spans="1:10" s="87" customFormat="1" ht="48">
      <c r="A451" s="422" t="s">
        <v>19</v>
      </c>
      <c r="B451" s="299" t="s">
        <v>385</v>
      </c>
      <c r="C451" s="299">
        <v>20078</v>
      </c>
      <c r="D451" s="300" t="s">
        <v>803</v>
      </c>
      <c r="E451" s="299" t="s">
        <v>102</v>
      </c>
      <c r="F451" s="314">
        <v>0.02</v>
      </c>
      <c r="G451" s="315">
        <v>16.2</v>
      </c>
      <c r="H451" s="411">
        <f t="shared" si="111"/>
        <v>16.190000000000001</v>
      </c>
      <c r="I451" s="412">
        <f t="shared" si="112"/>
        <v>0.32</v>
      </c>
    </row>
    <row r="452" spans="1:10" s="87" customFormat="1" ht="36">
      <c r="A452" s="422" t="s">
        <v>19</v>
      </c>
      <c r="B452" s="299" t="s">
        <v>382</v>
      </c>
      <c r="C452" s="299">
        <v>88248</v>
      </c>
      <c r="D452" s="300" t="s">
        <v>451</v>
      </c>
      <c r="E452" s="299" t="s">
        <v>161</v>
      </c>
      <c r="F452" s="314">
        <v>0.13</v>
      </c>
      <c r="G452" s="315">
        <v>13.56</v>
      </c>
      <c r="H452" s="411">
        <f t="shared" si="111"/>
        <v>13.56</v>
      </c>
      <c r="I452" s="412">
        <f t="shared" si="112"/>
        <v>1.76</v>
      </c>
    </row>
    <row r="453" spans="1:10" s="87" customFormat="1" ht="24">
      <c r="A453" s="422" t="s">
        <v>19</v>
      </c>
      <c r="B453" s="299" t="s">
        <v>382</v>
      </c>
      <c r="C453" s="299">
        <v>88267</v>
      </c>
      <c r="D453" s="300" t="s">
        <v>452</v>
      </c>
      <c r="E453" s="299" t="s">
        <v>161</v>
      </c>
      <c r="F453" s="314">
        <v>0.13</v>
      </c>
      <c r="G453" s="315">
        <v>17.22</v>
      </c>
      <c r="H453" s="411">
        <f t="shared" si="111"/>
        <v>17.22</v>
      </c>
      <c r="I453" s="412">
        <f t="shared" si="112"/>
        <v>2.23</v>
      </c>
    </row>
    <row r="454" spans="1:10" s="87" customFormat="1">
      <c r="A454" s="506" t="s">
        <v>387</v>
      </c>
      <c r="B454" s="506"/>
      <c r="C454" s="506"/>
      <c r="D454" s="506"/>
      <c r="E454" s="506"/>
      <c r="F454" s="506"/>
      <c r="G454" s="506"/>
      <c r="H454" s="507"/>
      <c r="I454" s="365">
        <f>SUM(I449:I453)</f>
        <v>7.5299999999999994</v>
      </c>
    </row>
    <row r="455" spans="1:10" s="87" customFormat="1">
      <c r="A455" s="508"/>
      <c r="B455" s="508"/>
      <c r="C455" s="508"/>
      <c r="D455" s="508"/>
      <c r="E455" s="508"/>
      <c r="F455" s="508"/>
      <c r="G455" s="508"/>
      <c r="H455" s="508"/>
      <c r="I455" s="508"/>
    </row>
    <row r="456" spans="1:10" s="87" customFormat="1" ht="32.25" customHeight="1">
      <c r="A456" s="409">
        <v>89732</v>
      </c>
      <c r="B456" s="505" t="s">
        <v>614</v>
      </c>
      <c r="C456" s="505"/>
      <c r="D456" s="505"/>
      <c r="E456" s="505"/>
      <c r="F456" s="505"/>
      <c r="G456" s="505"/>
      <c r="H456" s="505"/>
      <c r="I456" s="410" t="str">
        <f>VLOOKUP(A456,'[1]PLANILHA ORÇAMENTÁRIA'!$B$8:$D$8000,3,FALSE)</f>
        <v>UND.</v>
      </c>
      <c r="J456" s="307">
        <f>I463</f>
        <v>8.09</v>
      </c>
    </row>
    <row r="457" spans="1:10" s="87" customFormat="1" ht="24">
      <c r="A457" s="308" t="s">
        <v>377</v>
      </c>
      <c r="B457" s="309" t="s">
        <v>378</v>
      </c>
      <c r="C457" s="310" t="s">
        <v>25</v>
      </c>
      <c r="D457" s="310" t="s">
        <v>2</v>
      </c>
      <c r="E457" s="310" t="s">
        <v>375</v>
      </c>
      <c r="F457" s="311" t="s">
        <v>379</v>
      </c>
      <c r="G457" s="312" t="s">
        <v>316</v>
      </c>
      <c r="H457" s="312" t="s">
        <v>380</v>
      </c>
      <c r="I457" s="313" t="s">
        <v>381</v>
      </c>
    </row>
    <row r="458" spans="1:10" s="87" customFormat="1" ht="24">
      <c r="A458" s="422" t="s">
        <v>19</v>
      </c>
      <c r="B458" s="299" t="s">
        <v>385</v>
      </c>
      <c r="C458" s="299">
        <v>296</v>
      </c>
      <c r="D458" s="300" t="s">
        <v>804</v>
      </c>
      <c r="E458" s="299" t="s">
        <v>102</v>
      </c>
      <c r="F458" s="314">
        <v>1</v>
      </c>
      <c r="G458" s="315">
        <v>1.4</v>
      </c>
      <c r="H458" s="411">
        <f t="shared" ref="H458:H462" si="113">IF(E458="H",G458,TRUNC(G458*(1-$K$5),2))</f>
        <v>1.39</v>
      </c>
      <c r="I458" s="412">
        <f t="shared" ref="I458:I462" si="114">TRUNC(H458*F458,2)</f>
        <v>1.39</v>
      </c>
    </row>
    <row r="459" spans="1:10" s="87" customFormat="1" ht="24">
      <c r="A459" s="422" t="s">
        <v>19</v>
      </c>
      <c r="B459" s="299" t="s">
        <v>385</v>
      </c>
      <c r="C459" s="299">
        <v>3518</v>
      </c>
      <c r="D459" s="300" t="s">
        <v>806</v>
      </c>
      <c r="E459" s="299" t="s">
        <v>102</v>
      </c>
      <c r="F459" s="314">
        <v>1</v>
      </c>
      <c r="G459" s="315">
        <v>2.4</v>
      </c>
      <c r="H459" s="411">
        <f t="shared" si="113"/>
        <v>2.39</v>
      </c>
      <c r="I459" s="412">
        <f t="shared" si="114"/>
        <v>2.39</v>
      </c>
    </row>
    <row r="460" spans="1:10" s="87" customFormat="1" ht="48">
      <c r="A460" s="422" t="s">
        <v>19</v>
      </c>
      <c r="B460" s="299" t="s">
        <v>385</v>
      </c>
      <c r="C460" s="299">
        <v>20078</v>
      </c>
      <c r="D460" s="300" t="s">
        <v>803</v>
      </c>
      <c r="E460" s="299" t="s">
        <v>102</v>
      </c>
      <c r="F460" s="314">
        <v>0.02</v>
      </c>
      <c r="G460" s="315">
        <v>16.2</v>
      </c>
      <c r="H460" s="411">
        <f t="shared" si="113"/>
        <v>16.190000000000001</v>
      </c>
      <c r="I460" s="412">
        <f t="shared" si="114"/>
        <v>0.32</v>
      </c>
    </row>
    <row r="461" spans="1:10" s="87" customFormat="1" ht="36">
      <c r="A461" s="422" t="s">
        <v>19</v>
      </c>
      <c r="B461" s="299" t="s">
        <v>382</v>
      </c>
      <c r="C461" s="299">
        <v>88248</v>
      </c>
      <c r="D461" s="300" t="s">
        <v>451</v>
      </c>
      <c r="E461" s="299" t="s">
        <v>161</v>
      </c>
      <c r="F461" s="314">
        <v>0.13</v>
      </c>
      <c r="G461" s="315">
        <v>13.56</v>
      </c>
      <c r="H461" s="411">
        <f t="shared" si="113"/>
        <v>13.56</v>
      </c>
      <c r="I461" s="412">
        <f t="shared" si="114"/>
        <v>1.76</v>
      </c>
    </row>
    <row r="462" spans="1:10" s="87" customFormat="1" ht="24">
      <c r="A462" s="422" t="s">
        <v>19</v>
      </c>
      <c r="B462" s="299" t="s">
        <v>382</v>
      </c>
      <c r="C462" s="299">
        <v>88267</v>
      </c>
      <c r="D462" s="300" t="s">
        <v>452</v>
      </c>
      <c r="E462" s="299" t="s">
        <v>161</v>
      </c>
      <c r="F462" s="314">
        <v>0.13</v>
      </c>
      <c r="G462" s="315">
        <v>17.22</v>
      </c>
      <c r="H462" s="411">
        <f t="shared" si="113"/>
        <v>17.22</v>
      </c>
      <c r="I462" s="412">
        <f t="shared" si="114"/>
        <v>2.23</v>
      </c>
    </row>
    <row r="463" spans="1:10" s="87" customFormat="1">
      <c r="A463" s="506" t="s">
        <v>387</v>
      </c>
      <c r="B463" s="506"/>
      <c r="C463" s="506"/>
      <c r="D463" s="506"/>
      <c r="E463" s="506"/>
      <c r="F463" s="506"/>
      <c r="G463" s="506"/>
      <c r="H463" s="507"/>
      <c r="I463" s="365">
        <f>SUM(I458:I462)</f>
        <v>8.09</v>
      </c>
    </row>
    <row r="464" spans="1:10" s="87" customFormat="1">
      <c r="A464" s="508"/>
      <c r="B464" s="508"/>
      <c r="C464" s="508"/>
      <c r="D464" s="508"/>
      <c r="E464" s="508"/>
      <c r="F464" s="508"/>
      <c r="G464" s="508"/>
      <c r="H464" s="508"/>
      <c r="I464" s="508"/>
    </row>
    <row r="465" spans="1:10" s="87" customFormat="1" ht="30.75" customHeight="1">
      <c r="A465" s="409">
        <v>89724</v>
      </c>
      <c r="B465" s="505" t="s">
        <v>616</v>
      </c>
      <c r="C465" s="505"/>
      <c r="D465" s="505"/>
      <c r="E465" s="505"/>
      <c r="F465" s="505"/>
      <c r="G465" s="505"/>
      <c r="H465" s="505"/>
      <c r="I465" s="410" t="str">
        <f>VLOOKUP(A465,'[1]PLANILHA ORÇAMENTÁRIA'!$B$8:$D$8000,3,FALSE)</f>
        <v>UND.</v>
      </c>
      <c r="J465" s="307">
        <f>I473</f>
        <v>5.28</v>
      </c>
    </row>
    <row r="466" spans="1:10" s="87" customFormat="1" ht="24">
      <c r="A466" s="308" t="s">
        <v>377</v>
      </c>
      <c r="B466" s="309" t="s">
        <v>378</v>
      </c>
      <c r="C466" s="310" t="s">
        <v>25</v>
      </c>
      <c r="D466" s="310" t="s">
        <v>2</v>
      </c>
      <c r="E466" s="310" t="s">
        <v>375</v>
      </c>
      <c r="F466" s="311" t="s">
        <v>379</v>
      </c>
      <c r="G466" s="312" t="s">
        <v>316</v>
      </c>
      <c r="H466" s="312" t="s">
        <v>380</v>
      </c>
      <c r="I466" s="313" t="s">
        <v>381</v>
      </c>
    </row>
    <row r="467" spans="1:10" s="87" customFormat="1" ht="24">
      <c r="A467" s="422" t="s">
        <v>19</v>
      </c>
      <c r="B467" s="299" t="s">
        <v>385</v>
      </c>
      <c r="C467" s="299">
        <v>122</v>
      </c>
      <c r="D467" s="300" t="s">
        <v>448</v>
      </c>
      <c r="E467" s="299" t="s">
        <v>102</v>
      </c>
      <c r="F467" s="314">
        <v>9.9000000000000008E-3</v>
      </c>
      <c r="G467" s="315">
        <v>44.26</v>
      </c>
      <c r="H467" s="411">
        <f t="shared" ref="H467:H472" si="115">IF(E467="H",G467,TRUNC(G467*(1-$K$5),2))</f>
        <v>44.23</v>
      </c>
      <c r="I467" s="412">
        <f t="shared" ref="I467:I472" si="116">TRUNC(H467*F467,2)</f>
        <v>0.43</v>
      </c>
    </row>
    <row r="468" spans="1:10" s="87" customFormat="1" ht="24">
      <c r="A468" s="422" t="s">
        <v>19</v>
      </c>
      <c r="B468" s="299" t="s">
        <v>385</v>
      </c>
      <c r="C468" s="299">
        <v>3517</v>
      </c>
      <c r="D468" s="300" t="s">
        <v>807</v>
      </c>
      <c r="E468" s="299" t="s">
        <v>102</v>
      </c>
      <c r="F468" s="314">
        <v>1</v>
      </c>
      <c r="G468" s="315">
        <v>1.2</v>
      </c>
      <c r="H468" s="411">
        <f t="shared" si="115"/>
        <v>1.19</v>
      </c>
      <c r="I468" s="412">
        <f t="shared" si="116"/>
        <v>1.19</v>
      </c>
    </row>
    <row r="469" spans="1:10" s="87" customFormat="1" ht="24">
      <c r="A469" s="422" t="s">
        <v>19</v>
      </c>
      <c r="B469" s="299" t="s">
        <v>385</v>
      </c>
      <c r="C469" s="299">
        <v>20083</v>
      </c>
      <c r="D469" s="300" t="s">
        <v>449</v>
      </c>
      <c r="E469" s="299" t="s">
        <v>102</v>
      </c>
      <c r="F469" s="314">
        <v>1.4999999999999999E-2</v>
      </c>
      <c r="G469" s="315">
        <v>38.44</v>
      </c>
      <c r="H469" s="411">
        <f t="shared" si="115"/>
        <v>38.42</v>
      </c>
      <c r="I469" s="412">
        <f t="shared" si="116"/>
        <v>0.56999999999999995</v>
      </c>
    </row>
    <row r="470" spans="1:10" s="87" customFormat="1">
      <c r="A470" s="422" t="s">
        <v>19</v>
      </c>
      <c r="B470" s="299" t="s">
        <v>385</v>
      </c>
      <c r="C470" s="299">
        <v>38383</v>
      </c>
      <c r="D470" s="300" t="s">
        <v>450</v>
      </c>
      <c r="E470" s="299" t="s">
        <v>102</v>
      </c>
      <c r="F470" s="314">
        <v>2.1000000000000001E-2</v>
      </c>
      <c r="G470" s="315">
        <v>1.43</v>
      </c>
      <c r="H470" s="411">
        <f t="shared" si="115"/>
        <v>1.42</v>
      </c>
      <c r="I470" s="412">
        <f t="shared" si="116"/>
        <v>0.02</v>
      </c>
    </row>
    <row r="471" spans="1:10" s="87" customFormat="1" ht="36">
      <c r="A471" s="422" t="s">
        <v>19</v>
      </c>
      <c r="B471" s="299" t="s">
        <v>382</v>
      </c>
      <c r="C471" s="299">
        <v>88248</v>
      </c>
      <c r="D471" s="300" t="s">
        <v>451</v>
      </c>
      <c r="E471" s="299" t="s">
        <v>161</v>
      </c>
      <c r="F471" s="314">
        <v>0.1</v>
      </c>
      <c r="G471" s="315">
        <v>13.56</v>
      </c>
      <c r="H471" s="411">
        <f t="shared" si="115"/>
        <v>13.56</v>
      </c>
      <c r="I471" s="412">
        <f t="shared" si="116"/>
        <v>1.35</v>
      </c>
    </row>
    <row r="472" spans="1:10" s="87" customFormat="1" ht="24">
      <c r="A472" s="422" t="s">
        <v>19</v>
      </c>
      <c r="B472" s="299" t="s">
        <v>382</v>
      </c>
      <c r="C472" s="299">
        <v>88267</v>
      </c>
      <c r="D472" s="300" t="s">
        <v>452</v>
      </c>
      <c r="E472" s="299" t="s">
        <v>161</v>
      </c>
      <c r="F472" s="314">
        <v>0.1</v>
      </c>
      <c r="G472" s="315">
        <v>17.22</v>
      </c>
      <c r="H472" s="411">
        <f t="shared" si="115"/>
        <v>17.22</v>
      </c>
      <c r="I472" s="412">
        <f t="shared" si="116"/>
        <v>1.72</v>
      </c>
    </row>
    <row r="473" spans="1:10" s="87" customFormat="1">
      <c r="A473" s="506" t="s">
        <v>387</v>
      </c>
      <c r="B473" s="506"/>
      <c r="C473" s="506"/>
      <c r="D473" s="506"/>
      <c r="E473" s="506"/>
      <c r="F473" s="506"/>
      <c r="G473" s="506"/>
      <c r="H473" s="507"/>
      <c r="I473" s="365">
        <f>SUM(I467:I472)</f>
        <v>5.28</v>
      </c>
    </row>
    <row r="474" spans="1:10" s="87" customFormat="1">
      <c r="A474" s="508"/>
      <c r="B474" s="508"/>
      <c r="C474" s="508"/>
      <c r="D474" s="508"/>
      <c r="E474" s="508"/>
      <c r="F474" s="508"/>
      <c r="G474" s="508"/>
      <c r="H474" s="508"/>
      <c r="I474" s="508"/>
    </row>
    <row r="475" spans="1:10" s="87" customFormat="1" ht="33.75" customHeight="1">
      <c r="A475" s="409">
        <v>89726</v>
      </c>
      <c r="B475" s="505" t="s">
        <v>618</v>
      </c>
      <c r="C475" s="505"/>
      <c r="D475" s="505"/>
      <c r="E475" s="505"/>
      <c r="F475" s="505"/>
      <c r="G475" s="505"/>
      <c r="H475" s="505"/>
      <c r="I475" s="410" t="str">
        <f>VLOOKUP(A475,'[1]PLANILHA ORÇAMENTÁRIA'!$B$8:$D$8000,3,FALSE)</f>
        <v>UND.</v>
      </c>
      <c r="J475" s="307">
        <f>I483</f>
        <v>6.05</v>
      </c>
    </row>
    <row r="476" spans="1:10" s="87" customFormat="1" ht="24">
      <c r="A476" s="308" t="s">
        <v>377</v>
      </c>
      <c r="B476" s="309" t="s">
        <v>378</v>
      </c>
      <c r="C476" s="310" t="s">
        <v>25</v>
      </c>
      <c r="D476" s="310" t="s">
        <v>2</v>
      </c>
      <c r="E476" s="310" t="s">
        <v>375</v>
      </c>
      <c r="F476" s="311" t="s">
        <v>379</v>
      </c>
      <c r="G476" s="312" t="s">
        <v>316</v>
      </c>
      <c r="H476" s="312" t="s">
        <v>380</v>
      </c>
      <c r="I476" s="313" t="s">
        <v>381</v>
      </c>
    </row>
    <row r="477" spans="1:10" s="87" customFormat="1" ht="24">
      <c r="A477" s="422" t="s">
        <v>19</v>
      </c>
      <c r="B477" s="299" t="s">
        <v>385</v>
      </c>
      <c r="C477" s="299">
        <v>122</v>
      </c>
      <c r="D477" s="300" t="s">
        <v>448</v>
      </c>
      <c r="E477" s="299" t="s">
        <v>102</v>
      </c>
      <c r="F477" s="314">
        <v>9.9000000000000008E-3</v>
      </c>
      <c r="G477" s="315">
        <v>44.26</v>
      </c>
      <c r="H477" s="411">
        <f t="shared" ref="H477:H482" si="117">IF(E477="H",G477,TRUNC(G477*(1-$K$5),2))</f>
        <v>44.23</v>
      </c>
      <c r="I477" s="412">
        <f t="shared" ref="I477:I482" si="118">TRUNC(H477*F477,2)</f>
        <v>0.43</v>
      </c>
    </row>
    <row r="478" spans="1:10" s="87" customFormat="1" ht="24">
      <c r="A478" s="422" t="s">
        <v>19</v>
      </c>
      <c r="B478" s="299" t="s">
        <v>385</v>
      </c>
      <c r="C478" s="299">
        <v>3516</v>
      </c>
      <c r="D478" s="300" t="s">
        <v>808</v>
      </c>
      <c r="E478" s="299" t="s">
        <v>102</v>
      </c>
      <c r="F478" s="314">
        <v>1</v>
      </c>
      <c r="G478" s="315">
        <v>1.97</v>
      </c>
      <c r="H478" s="411">
        <f t="shared" si="117"/>
        <v>1.96</v>
      </c>
      <c r="I478" s="412">
        <f t="shared" si="118"/>
        <v>1.96</v>
      </c>
    </row>
    <row r="479" spans="1:10" s="87" customFormat="1" ht="24">
      <c r="A479" s="422" t="s">
        <v>19</v>
      </c>
      <c r="B479" s="299" t="s">
        <v>385</v>
      </c>
      <c r="C479" s="299">
        <v>20083</v>
      </c>
      <c r="D479" s="300" t="s">
        <v>449</v>
      </c>
      <c r="E479" s="299" t="s">
        <v>102</v>
      </c>
      <c r="F479" s="314">
        <v>1.4999999999999999E-2</v>
      </c>
      <c r="G479" s="315">
        <v>38.44</v>
      </c>
      <c r="H479" s="411">
        <f t="shared" si="117"/>
        <v>38.42</v>
      </c>
      <c r="I479" s="412">
        <f t="shared" si="118"/>
        <v>0.56999999999999995</v>
      </c>
    </row>
    <row r="480" spans="1:10" s="87" customFormat="1">
      <c r="A480" s="422" t="s">
        <v>19</v>
      </c>
      <c r="B480" s="299" t="s">
        <v>385</v>
      </c>
      <c r="C480" s="299">
        <v>38383</v>
      </c>
      <c r="D480" s="300" t="s">
        <v>450</v>
      </c>
      <c r="E480" s="299" t="s">
        <v>102</v>
      </c>
      <c r="F480" s="314">
        <v>2.1000000000000001E-2</v>
      </c>
      <c r="G480" s="315">
        <v>1.43</v>
      </c>
      <c r="H480" s="411">
        <f t="shared" si="117"/>
        <v>1.42</v>
      </c>
      <c r="I480" s="412">
        <f t="shared" si="118"/>
        <v>0.02</v>
      </c>
    </row>
    <row r="481" spans="1:10" s="87" customFormat="1" ht="36">
      <c r="A481" s="422" t="s">
        <v>19</v>
      </c>
      <c r="B481" s="299" t="s">
        <v>382</v>
      </c>
      <c r="C481" s="299">
        <v>88248</v>
      </c>
      <c r="D481" s="300" t="s">
        <v>451</v>
      </c>
      <c r="E481" s="299" t="s">
        <v>161</v>
      </c>
      <c r="F481" s="314">
        <v>0.1</v>
      </c>
      <c r="G481" s="315">
        <v>13.56</v>
      </c>
      <c r="H481" s="411">
        <f t="shared" si="117"/>
        <v>13.56</v>
      </c>
      <c r="I481" s="412">
        <f t="shared" si="118"/>
        <v>1.35</v>
      </c>
    </row>
    <row r="482" spans="1:10" s="87" customFormat="1" ht="24">
      <c r="A482" s="422" t="s">
        <v>19</v>
      </c>
      <c r="B482" s="299" t="s">
        <v>382</v>
      </c>
      <c r="C482" s="299">
        <v>88267</v>
      </c>
      <c r="D482" s="300" t="s">
        <v>452</v>
      </c>
      <c r="E482" s="299" t="s">
        <v>161</v>
      </c>
      <c r="F482" s="314">
        <v>0.1</v>
      </c>
      <c r="G482" s="315">
        <v>17.22</v>
      </c>
      <c r="H482" s="411">
        <f t="shared" si="117"/>
        <v>17.22</v>
      </c>
      <c r="I482" s="412">
        <f t="shared" si="118"/>
        <v>1.72</v>
      </c>
    </row>
    <row r="483" spans="1:10" s="87" customFormat="1">
      <c r="A483" s="506" t="s">
        <v>387</v>
      </c>
      <c r="B483" s="506"/>
      <c r="C483" s="506"/>
      <c r="D483" s="506"/>
      <c r="E483" s="506"/>
      <c r="F483" s="506"/>
      <c r="G483" s="506"/>
      <c r="H483" s="507"/>
      <c r="I483" s="365">
        <f>SUM(I477:I482)</f>
        <v>6.05</v>
      </c>
    </row>
    <row r="484" spans="1:10" s="87" customFormat="1">
      <c r="A484" s="508"/>
      <c r="B484" s="508"/>
      <c r="C484" s="508"/>
      <c r="D484" s="508"/>
      <c r="E484" s="508"/>
      <c r="F484" s="508"/>
      <c r="G484" s="508"/>
      <c r="H484" s="508"/>
      <c r="I484" s="508"/>
    </row>
    <row r="485" spans="1:10" s="87" customFormat="1" ht="33.75" customHeight="1">
      <c r="A485" s="409">
        <v>89796</v>
      </c>
      <c r="B485" s="505" t="s">
        <v>620</v>
      </c>
      <c r="C485" s="505"/>
      <c r="D485" s="505"/>
      <c r="E485" s="505"/>
      <c r="F485" s="505"/>
      <c r="G485" s="505"/>
      <c r="H485" s="505"/>
      <c r="I485" s="410" t="str">
        <f>VLOOKUP(A485,'[1]PLANILHA ORÇAMENTÁRIA'!$B$8:$D$8000,3,FALSE)</f>
        <v>UND.</v>
      </c>
      <c r="J485" s="307">
        <f>I492</f>
        <v>28.259999999999998</v>
      </c>
    </row>
    <row r="486" spans="1:10" s="87" customFormat="1" ht="24">
      <c r="A486" s="308" t="s">
        <v>377</v>
      </c>
      <c r="B486" s="309" t="s">
        <v>378</v>
      </c>
      <c r="C486" s="310" t="s">
        <v>25</v>
      </c>
      <c r="D486" s="310" t="s">
        <v>2</v>
      </c>
      <c r="E486" s="310" t="s">
        <v>375</v>
      </c>
      <c r="F486" s="311" t="s">
        <v>379</v>
      </c>
      <c r="G486" s="312" t="s">
        <v>316</v>
      </c>
      <c r="H486" s="312" t="s">
        <v>380</v>
      </c>
      <c r="I486" s="313" t="s">
        <v>381</v>
      </c>
    </row>
    <row r="487" spans="1:10" s="87" customFormat="1" ht="24">
      <c r="A487" s="422" t="s">
        <v>19</v>
      </c>
      <c r="B487" s="299" t="s">
        <v>385</v>
      </c>
      <c r="C487" s="299">
        <v>301</v>
      </c>
      <c r="D487" s="300" t="s">
        <v>801</v>
      </c>
      <c r="E487" s="299" t="s">
        <v>102</v>
      </c>
      <c r="F487" s="314">
        <v>2</v>
      </c>
      <c r="G487" s="315">
        <v>2.48</v>
      </c>
      <c r="H487" s="411">
        <f t="shared" ref="H487:H491" si="119">IF(E487="H",G487,TRUNC(G487*(1-$K$5),2))</f>
        <v>2.4700000000000002</v>
      </c>
      <c r="I487" s="412">
        <f t="shared" ref="I487:I491" si="120">TRUNC(H487*F487,2)</f>
        <v>4.9400000000000004</v>
      </c>
    </row>
    <row r="488" spans="1:10" s="87" customFormat="1" ht="24">
      <c r="A488" s="422" t="s">
        <v>19</v>
      </c>
      <c r="B488" s="299" t="s">
        <v>385</v>
      </c>
      <c r="C488" s="299">
        <v>7091</v>
      </c>
      <c r="D488" s="300" t="s">
        <v>809</v>
      </c>
      <c r="E488" s="299" t="s">
        <v>102</v>
      </c>
      <c r="F488" s="314">
        <v>1</v>
      </c>
      <c r="G488" s="315">
        <v>11.7</v>
      </c>
      <c r="H488" s="411">
        <f t="shared" si="119"/>
        <v>11.69</v>
      </c>
      <c r="I488" s="412">
        <f t="shared" si="120"/>
        <v>11.69</v>
      </c>
    </row>
    <row r="489" spans="1:10" s="87" customFormat="1" ht="48">
      <c r="A489" s="422" t="s">
        <v>19</v>
      </c>
      <c r="B489" s="299" t="s">
        <v>385</v>
      </c>
      <c r="C489" s="299">
        <v>20078</v>
      </c>
      <c r="D489" s="300" t="s">
        <v>803</v>
      </c>
      <c r="E489" s="299" t="s">
        <v>102</v>
      </c>
      <c r="F489" s="314">
        <v>9.1999999999999998E-2</v>
      </c>
      <c r="G489" s="315">
        <v>16.2</v>
      </c>
      <c r="H489" s="411">
        <f t="shared" si="119"/>
        <v>16.190000000000001</v>
      </c>
      <c r="I489" s="412">
        <f t="shared" si="120"/>
        <v>1.48</v>
      </c>
    </row>
    <row r="490" spans="1:10" s="87" customFormat="1" ht="36">
      <c r="A490" s="422" t="s">
        <v>19</v>
      </c>
      <c r="B490" s="299" t="s">
        <v>382</v>
      </c>
      <c r="C490" s="299">
        <v>88248</v>
      </c>
      <c r="D490" s="300" t="s">
        <v>451</v>
      </c>
      <c r="E490" s="299" t="s">
        <v>161</v>
      </c>
      <c r="F490" s="314">
        <v>0.33</v>
      </c>
      <c r="G490" s="315">
        <v>13.56</v>
      </c>
      <c r="H490" s="411">
        <f t="shared" si="119"/>
        <v>13.56</v>
      </c>
      <c r="I490" s="412">
        <f t="shared" si="120"/>
        <v>4.47</v>
      </c>
    </row>
    <row r="491" spans="1:10" s="87" customFormat="1" ht="24">
      <c r="A491" s="422" t="s">
        <v>19</v>
      </c>
      <c r="B491" s="299" t="s">
        <v>382</v>
      </c>
      <c r="C491" s="299">
        <v>88267</v>
      </c>
      <c r="D491" s="300" t="s">
        <v>452</v>
      </c>
      <c r="E491" s="299" t="s">
        <v>161</v>
      </c>
      <c r="F491" s="314">
        <v>0.33</v>
      </c>
      <c r="G491" s="315">
        <v>17.22</v>
      </c>
      <c r="H491" s="411">
        <f t="shared" si="119"/>
        <v>17.22</v>
      </c>
      <c r="I491" s="412">
        <f t="shared" si="120"/>
        <v>5.68</v>
      </c>
    </row>
    <row r="492" spans="1:10" s="87" customFormat="1">
      <c r="A492" s="506" t="s">
        <v>387</v>
      </c>
      <c r="B492" s="506"/>
      <c r="C492" s="506"/>
      <c r="D492" s="506"/>
      <c r="E492" s="506"/>
      <c r="F492" s="506"/>
      <c r="G492" s="506"/>
      <c r="H492" s="507"/>
      <c r="I492" s="365">
        <f>SUM(I487:I491)</f>
        <v>28.259999999999998</v>
      </c>
    </row>
    <row r="493" spans="1:10" s="87" customFormat="1">
      <c r="A493" s="508"/>
      <c r="B493" s="508"/>
      <c r="C493" s="508"/>
      <c r="D493" s="508"/>
      <c r="E493" s="508"/>
      <c r="F493" s="508"/>
      <c r="G493" s="508"/>
      <c r="H493" s="508"/>
      <c r="I493" s="508"/>
    </row>
    <row r="494" spans="1:10" s="87" customFormat="1">
      <c r="A494" s="409">
        <v>93358</v>
      </c>
      <c r="B494" s="505" t="s">
        <v>480</v>
      </c>
      <c r="C494" s="505"/>
      <c r="D494" s="505"/>
      <c r="E494" s="505"/>
      <c r="F494" s="505"/>
      <c r="G494" s="505"/>
      <c r="H494" s="505"/>
      <c r="I494" s="410" t="str">
        <f>VLOOKUP(A494,'[1]PLANILHA ORÇAMENTÁRIA'!$B$8:$D$8000,3,FALSE)</f>
        <v>M3</v>
      </c>
      <c r="J494" s="307">
        <f>I497</f>
        <v>54.59</v>
      </c>
    </row>
    <row r="495" spans="1:10" s="87" customFormat="1" ht="24">
      <c r="A495" s="308" t="s">
        <v>377</v>
      </c>
      <c r="B495" s="309" t="s">
        <v>378</v>
      </c>
      <c r="C495" s="310" t="s">
        <v>25</v>
      </c>
      <c r="D495" s="310" t="s">
        <v>2</v>
      </c>
      <c r="E495" s="310" t="s">
        <v>375</v>
      </c>
      <c r="F495" s="311" t="s">
        <v>379</v>
      </c>
      <c r="G495" s="312" t="s">
        <v>316</v>
      </c>
      <c r="H495" s="312" t="s">
        <v>380</v>
      </c>
      <c r="I495" s="313" t="s">
        <v>381</v>
      </c>
    </row>
    <row r="496" spans="1:10" s="87" customFormat="1" ht="24">
      <c r="A496" s="422" t="s">
        <v>19</v>
      </c>
      <c r="B496" s="299" t="s">
        <v>382</v>
      </c>
      <c r="C496" s="299">
        <v>88316</v>
      </c>
      <c r="D496" s="300" t="s">
        <v>384</v>
      </c>
      <c r="E496" s="299" t="s">
        <v>161</v>
      </c>
      <c r="F496" s="314">
        <v>3.956</v>
      </c>
      <c r="G496" s="315">
        <v>13.8</v>
      </c>
      <c r="H496" s="411">
        <f t="shared" ref="H496" si="121">IF(E496="H",G496,TRUNC(G496*(1-$K$5),2))</f>
        <v>13.8</v>
      </c>
      <c r="I496" s="412">
        <f t="shared" ref="I496" si="122">TRUNC(H496*F496,2)</f>
        <v>54.59</v>
      </c>
    </row>
    <row r="497" spans="1:10" s="87" customFormat="1">
      <c r="A497" s="506" t="s">
        <v>387</v>
      </c>
      <c r="B497" s="506"/>
      <c r="C497" s="506"/>
      <c r="D497" s="506"/>
      <c r="E497" s="506"/>
      <c r="F497" s="506"/>
      <c r="G497" s="506"/>
      <c r="H497" s="507"/>
      <c r="I497" s="365">
        <f>SUM(I496:I496)</f>
        <v>54.59</v>
      </c>
    </row>
    <row r="498" spans="1:10" s="87" customFormat="1">
      <c r="A498" s="508"/>
      <c r="B498" s="508"/>
      <c r="C498" s="508"/>
      <c r="D498" s="508"/>
      <c r="E498" s="508"/>
      <c r="F498" s="508"/>
      <c r="G498" s="508"/>
      <c r="H498" s="508"/>
      <c r="I498" s="508"/>
    </row>
    <row r="499" spans="1:10" s="87" customFormat="1" ht="43.5" customHeight="1">
      <c r="A499" s="409">
        <v>87506</v>
      </c>
      <c r="B499" s="505" t="s">
        <v>484</v>
      </c>
      <c r="C499" s="505"/>
      <c r="D499" s="505"/>
      <c r="E499" s="505"/>
      <c r="F499" s="505"/>
      <c r="G499" s="505"/>
      <c r="H499" s="505"/>
      <c r="I499" s="410" t="str">
        <f>VLOOKUP(A499,'[1]PLANILHA ORÇAMENTÁRIA'!$B$8:$D$8000,3,FALSE)</f>
        <v>M2</v>
      </c>
      <c r="J499" s="307">
        <f>I507</f>
        <v>49.8</v>
      </c>
    </row>
    <row r="500" spans="1:10" s="87" customFormat="1" ht="24">
      <c r="A500" s="308" t="s">
        <v>377</v>
      </c>
      <c r="B500" s="309" t="s">
        <v>378</v>
      </c>
      <c r="C500" s="310" t="s">
        <v>25</v>
      </c>
      <c r="D500" s="310" t="s">
        <v>2</v>
      </c>
      <c r="E500" s="310" t="s">
        <v>375</v>
      </c>
      <c r="F500" s="311" t="s">
        <v>379</v>
      </c>
      <c r="G500" s="312" t="s">
        <v>316</v>
      </c>
      <c r="H500" s="312" t="s">
        <v>380</v>
      </c>
      <c r="I500" s="313" t="s">
        <v>381</v>
      </c>
    </row>
    <row r="501" spans="1:10" s="87" customFormat="1" ht="48">
      <c r="A501" s="422" t="s">
        <v>19</v>
      </c>
      <c r="B501" s="299" t="s">
        <v>385</v>
      </c>
      <c r="C501" s="299">
        <v>34558</v>
      </c>
      <c r="D501" s="300" t="s">
        <v>751</v>
      </c>
      <c r="E501" s="299" t="s">
        <v>389</v>
      </c>
      <c r="F501" s="314">
        <v>0.42</v>
      </c>
      <c r="G501" s="315">
        <v>1.46</v>
      </c>
      <c r="H501" s="411">
        <f t="shared" ref="H501:H506" si="123">IF(E501="H",G501,TRUNC(G501*(1-$K$5),2))</f>
        <v>1.45</v>
      </c>
      <c r="I501" s="412">
        <f t="shared" ref="I501:I506" si="124">TRUNC(H501*F501,2)</f>
        <v>0.6</v>
      </c>
    </row>
    <row r="502" spans="1:10" s="87" customFormat="1" ht="24">
      <c r="A502" s="422" t="s">
        <v>19</v>
      </c>
      <c r="B502" s="299" t="s">
        <v>385</v>
      </c>
      <c r="C502" s="299">
        <v>37395</v>
      </c>
      <c r="D502" s="300" t="s">
        <v>443</v>
      </c>
      <c r="E502" s="299" t="s">
        <v>444</v>
      </c>
      <c r="F502" s="314">
        <v>0.01</v>
      </c>
      <c r="G502" s="315">
        <v>38.74</v>
      </c>
      <c r="H502" s="411">
        <f t="shared" si="123"/>
        <v>38.72</v>
      </c>
      <c r="I502" s="412">
        <f t="shared" si="124"/>
        <v>0.38</v>
      </c>
    </row>
    <row r="503" spans="1:10" s="87" customFormat="1" ht="36">
      <c r="A503" s="422" t="s">
        <v>19</v>
      </c>
      <c r="B503" s="299" t="s">
        <v>385</v>
      </c>
      <c r="C503" s="299">
        <v>38783</v>
      </c>
      <c r="D503" s="300" t="s">
        <v>752</v>
      </c>
      <c r="E503" s="299" t="s">
        <v>102</v>
      </c>
      <c r="F503" s="314">
        <v>27.93</v>
      </c>
      <c r="G503" s="315">
        <v>0.59</v>
      </c>
      <c r="H503" s="411">
        <f t="shared" si="123"/>
        <v>0.57999999999999996</v>
      </c>
      <c r="I503" s="412">
        <f t="shared" si="124"/>
        <v>16.190000000000001</v>
      </c>
    </row>
    <row r="504" spans="1:10" s="87" customFormat="1" ht="48">
      <c r="A504" s="422" t="s">
        <v>19</v>
      </c>
      <c r="B504" s="299" t="s">
        <v>382</v>
      </c>
      <c r="C504" s="299">
        <v>87369</v>
      </c>
      <c r="D504" s="300" t="s">
        <v>445</v>
      </c>
      <c r="E504" s="299" t="s">
        <v>392</v>
      </c>
      <c r="F504" s="314">
        <v>1.2500000000000001E-2</v>
      </c>
      <c r="G504" s="315">
        <v>466.78</v>
      </c>
      <c r="H504" s="411">
        <f t="shared" si="123"/>
        <v>466.54</v>
      </c>
      <c r="I504" s="412">
        <f t="shared" si="124"/>
        <v>5.83</v>
      </c>
    </row>
    <row r="505" spans="1:10" s="87" customFormat="1" ht="24">
      <c r="A505" s="422" t="s">
        <v>19</v>
      </c>
      <c r="B505" s="299" t="s">
        <v>382</v>
      </c>
      <c r="C505" s="299">
        <v>88309</v>
      </c>
      <c r="D505" s="300" t="s">
        <v>394</v>
      </c>
      <c r="E505" s="299" t="s">
        <v>161</v>
      </c>
      <c r="F505" s="314">
        <v>1.1100000000000001</v>
      </c>
      <c r="G505" s="315">
        <v>17.260000000000002</v>
      </c>
      <c r="H505" s="411">
        <f t="shared" si="123"/>
        <v>17.260000000000002</v>
      </c>
      <c r="I505" s="412">
        <f t="shared" si="124"/>
        <v>19.149999999999999</v>
      </c>
    </row>
    <row r="506" spans="1:10" s="87" customFormat="1" ht="24">
      <c r="A506" s="422" t="s">
        <v>19</v>
      </c>
      <c r="B506" s="299" t="s">
        <v>382</v>
      </c>
      <c r="C506" s="299">
        <v>88316</v>
      </c>
      <c r="D506" s="300" t="s">
        <v>384</v>
      </c>
      <c r="E506" s="299" t="s">
        <v>161</v>
      </c>
      <c r="F506" s="314">
        <v>0.55500000000000005</v>
      </c>
      <c r="G506" s="315">
        <v>13.8</v>
      </c>
      <c r="H506" s="411">
        <f t="shared" si="123"/>
        <v>13.8</v>
      </c>
      <c r="I506" s="412">
        <f t="shared" si="124"/>
        <v>7.65</v>
      </c>
    </row>
    <row r="507" spans="1:10" s="87" customFormat="1">
      <c r="A507" s="506" t="s">
        <v>387</v>
      </c>
      <c r="B507" s="506"/>
      <c r="C507" s="506"/>
      <c r="D507" s="506"/>
      <c r="E507" s="506"/>
      <c r="F507" s="506"/>
      <c r="G507" s="506"/>
      <c r="H507" s="507"/>
      <c r="I507" s="365">
        <f>SUM(I501:I506)</f>
        <v>49.8</v>
      </c>
    </row>
    <row r="508" spans="1:10" s="87" customFormat="1">
      <c r="A508" s="508"/>
      <c r="B508" s="508"/>
      <c r="C508" s="508"/>
      <c r="D508" s="508"/>
      <c r="E508" s="508"/>
      <c r="F508" s="508"/>
      <c r="G508" s="508"/>
      <c r="H508" s="508"/>
      <c r="I508" s="508"/>
    </row>
    <row r="509" spans="1:10" s="87" customFormat="1" ht="48" customHeight="1">
      <c r="A509" s="409">
        <v>87547</v>
      </c>
      <c r="B509" s="505" t="s">
        <v>630</v>
      </c>
      <c r="C509" s="505"/>
      <c r="D509" s="505"/>
      <c r="E509" s="505"/>
      <c r="F509" s="505"/>
      <c r="G509" s="505"/>
      <c r="H509" s="505"/>
      <c r="I509" s="410" t="str">
        <f>VLOOKUP(A509,'[1]PLANILHA ORÇAMENTÁRIA'!$B$8:$D$8000,3,FALSE)</f>
        <v>m²</v>
      </c>
      <c r="J509" s="307">
        <f>I514</f>
        <v>16.07</v>
      </c>
    </row>
    <row r="510" spans="1:10" s="87" customFormat="1" ht="24">
      <c r="A510" s="308" t="s">
        <v>377</v>
      </c>
      <c r="B510" s="309" t="s">
        <v>378</v>
      </c>
      <c r="C510" s="310" t="s">
        <v>25</v>
      </c>
      <c r="D510" s="310" t="s">
        <v>2</v>
      </c>
      <c r="E510" s="310" t="s">
        <v>375</v>
      </c>
      <c r="F510" s="311" t="s">
        <v>379</v>
      </c>
      <c r="G510" s="312" t="s">
        <v>316</v>
      </c>
      <c r="H510" s="312" t="s">
        <v>380</v>
      </c>
      <c r="I510" s="313" t="s">
        <v>381</v>
      </c>
    </row>
    <row r="511" spans="1:10" s="87" customFormat="1" ht="60">
      <c r="A511" s="422" t="s">
        <v>19</v>
      </c>
      <c r="B511" s="299" t="s">
        <v>382</v>
      </c>
      <c r="C511" s="299">
        <v>87292</v>
      </c>
      <c r="D511" s="300" t="s">
        <v>455</v>
      </c>
      <c r="E511" s="299" t="s">
        <v>392</v>
      </c>
      <c r="F511" s="314">
        <v>2.1299999999999999E-2</v>
      </c>
      <c r="G511" s="315">
        <v>388.52</v>
      </c>
      <c r="H511" s="411">
        <f t="shared" ref="H511:H513" si="125">IF(E511="H",G511,TRUNC(G511*(1-$K$5),2))</f>
        <v>388.32</v>
      </c>
      <c r="I511" s="412">
        <f t="shared" ref="I511:I513" si="126">TRUNC(H511*F511,2)</f>
        <v>8.27</v>
      </c>
    </row>
    <row r="512" spans="1:10" s="87" customFormat="1" ht="24">
      <c r="A512" s="422" t="s">
        <v>19</v>
      </c>
      <c r="B512" s="299" t="s">
        <v>382</v>
      </c>
      <c r="C512" s="299">
        <v>88309</v>
      </c>
      <c r="D512" s="300" t="s">
        <v>394</v>
      </c>
      <c r="E512" s="299" t="s">
        <v>161</v>
      </c>
      <c r="F512" s="314">
        <v>0.35</v>
      </c>
      <c r="G512" s="315">
        <v>17.260000000000002</v>
      </c>
      <c r="H512" s="411">
        <f t="shared" si="125"/>
        <v>17.260000000000002</v>
      </c>
      <c r="I512" s="412">
        <f t="shared" si="126"/>
        <v>6.04</v>
      </c>
    </row>
    <row r="513" spans="1:10" s="87" customFormat="1" ht="24">
      <c r="A513" s="422" t="s">
        <v>19</v>
      </c>
      <c r="B513" s="299" t="s">
        <v>382</v>
      </c>
      <c r="C513" s="299">
        <v>88316</v>
      </c>
      <c r="D513" s="300" t="s">
        <v>384</v>
      </c>
      <c r="E513" s="299" t="s">
        <v>161</v>
      </c>
      <c r="F513" s="314">
        <v>0.128</v>
      </c>
      <c r="G513" s="315">
        <v>13.8</v>
      </c>
      <c r="H513" s="411">
        <f t="shared" si="125"/>
        <v>13.8</v>
      </c>
      <c r="I513" s="412">
        <f t="shared" si="126"/>
        <v>1.76</v>
      </c>
    </row>
    <row r="514" spans="1:10" s="87" customFormat="1">
      <c r="A514" s="506" t="s">
        <v>387</v>
      </c>
      <c r="B514" s="506"/>
      <c r="C514" s="506"/>
      <c r="D514" s="506"/>
      <c r="E514" s="506"/>
      <c r="F514" s="506"/>
      <c r="G514" s="506"/>
      <c r="H514" s="507"/>
      <c r="I514" s="365">
        <f>SUM(I511:I513)</f>
        <v>16.07</v>
      </c>
    </row>
    <row r="515" spans="1:10" s="87" customFormat="1">
      <c r="A515" s="508"/>
      <c r="B515" s="508"/>
      <c r="C515" s="508"/>
      <c r="D515" s="508"/>
      <c r="E515" s="508"/>
      <c r="F515" s="508"/>
      <c r="G515" s="508"/>
      <c r="H515" s="508"/>
      <c r="I515" s="508"/>
    </row>
    <row r="516" spans="1:10" s="87" customFormat="1" ht="27.75" customHeight="1">
      <c r="A516" s="409">
        <v>94974</v>
      </c>
      <c r="B516" s="505" t="s">
        <v>634</v>
      </c>
      <c r="C516" s="505"/>
      <c r="D516" s="505"/>
      <c r="E516" s="505"/>
      <c r="F516" s="505"/>
      <c r="G516" s="505"/>
      <c r="H516" s="505"/>
      <c r="I516" s="410" t="str">
        <f>VLOOKUP(A516,'[1]PLANILHA ORÇAMENTÁRIA'!$B$8:$D$8000,3,FALSE)</f>
        <v>m³</v>
      </c>
      <c r="J516" s="307">
        <f>I522</f>
        <v>349.34999999999997</v>
      </c>
    </row>
    <row r="517" spans="1:10" s="87" customFormat="1" ht="24">
      <c r="A517" s="308" t="s">
        <v>377</v>
      </c>
      <c r="B517" s="309" t="s">
        <v>378</v>
      </c>
      <c r="C517" s="310" t="s">
        <v>25</v>
      </c>
      <c r="D517" s="310" t="s">
        <v>2</v>
      </c>
      <c r="E517" s="310" t="s">
        <v>375</v>
      </c>
      <c r="F517" s="311" t="s">
        <v>379</v>
      </c>
      <c r="G517" s="312" t="s">
        <v>316</v>
      </c>
      <c r="H517" s="312" t="s">
        <v>380</v>
      </c>
      <c r="I517" s="313" t="s">
        <v>381</v>
      </c>
    </row>
    <row r="518" spans="1:10" s="87" customFormat="1" ht="24">
      <c r="A518" s="422" t="s">
        <v>19</v>
      </c>
      <c r="B518" s="299" t="s">
        <v>385</v>
      </c>
      <c r="C518" s="299">
        <v>370</v>
      </c>
      <c r="D518" s="300" t="s">
        <v>753</v>
      </c>
      <c r="E518" s="299" t="s">
        <v>392</v>
      </c>
      <c r="F518" s="314">
        <v>0.88600000000000001</v>
      </c>
      <c r="G518" s="315">
        <v>65.12</v>
      </c>
      <c r="H518" s="411">
        <f t="shared" ref="H518:H521" si="127">IF(E518="H",G518,TRUNC(G518*(1-$K$5),2))</f>
        <v>65.08</v>
      </c>
      <c r="I518" s="412">
        <f t="shared" ref="I518:I521" si="128">TRUNC(H518*F518,2)</f>
        <v>57.66</v>
      </c>
    </row>
    <row r="519" spans="1:10" s="87" customFormat="1">
      <c r="A519" s="422" t="s">
        <v>19</v>
      </c>
      <c r="B519" s="299" t="s">
        <v>385</v>
      </c>
      <c r="C519" s="299">
        <v>1379</v>
      </c>
      <c r="D519" s="300" t="s">
        <v>754</v>
      </c>
      <c r="E519" s="299" t="s">
        <v>386</v>
      </c>
      <c r="F519" s="314">
        <v>218.84</v>
      </c>
      <c r="G519" s="315">
        <v>0.57999999999999996</v>
      </c>
      <c r="H519" s="411">
        <f t="shared" si="127"/>
        <v>0.56999999999999995</v>
      </c>
      <c r="I519" s="412">
        <f t="shared" si="128"/>
        <v>124.73</v>
      </c>
    </row>
    <row r="520" spans="1:10" s="87" customFormat="1" ht="24">
      <c r="A520" s="422" t="s">
        <v>19</v>
      </c>
      <c r="B520" s="299" t="s">
        <v>385</v>
      </c>
      <c r="C520" s="299">
        <v>4721</v>
      </c>
      <c r="D520" s="300" t="s">
        <v>766</v>
      </c>
      <c r="E520" s="299" t="s">
        <v>392</v>
      </c>
      <c r="F520" s="314">
        <v>0.59699999999999998</v>
      </c>
      <c r="G520" s="315">
        <v>44.4</v>
      </c>
      <c r="H520" s="411">
        <f t="shared" si="127"/>
        <v>44.37</v>
      </c>
      <c r="I520" s="412">
        <f t="shared" si="128"/>
        <v>26.48</v>
      </c>
    </row>
    <row r="521" spans="1:10" s="87" customFormat="1" ht="24">
      <c r="A521" s="422" t="s">
        <v>19</v>
      </c>
      <c r="B521" s="299" t="s">
        <v>382</v>
      </c>
      <c r="C521" s="299">
        <v>88316</v>
      </c>
      <c r="D521" s="300" t="s">
        <v>384</v>
      </c>
      <c r="E521" s="299" t="s">
        <v>161</v>
      </c>
      <c r="F521" s="314">
        <v>10.18</v>
      </c>
      <c r="G521" s="315">
        <v>13.8</v>
      </c>
      <c r="H521" s="411">
        <f t="shared" si="127"/>
        <v>13.8</v>
      </c>
      <c r="I521" s="412">
        <f t="shared" si="128"/>
        <v>140.47999999999999</v>
      </c>
    </row>
    <row r="522" spans="1:10" s="87" customFormat="1">
      <c r="A522" s="506" t="s">
        <v>387</v>
      </c>
      <c r="B522" s="506"/>
      <c r="C522" s="506"/>
      <c r="D522" s="506"/>
      <c r="E522" s="506"/>
      <c r="F522" s="506"/>
      <c r="G522" s="506"/>
      <c r="H522" s="507"/>
      <c r="I522" s="365">
        <f>SUM(I518:I521)</f>
        <v>349.34999999999997</v>
      </c>
    </row>
    <row r="523" spans="1:10" s="87" customFormat="1">
      <c r="A523" s="508"/>
      <c r="B523" s="508"/>
      <c r="C523" s="508"/>
      <c r="D523" s="508"/>
      <c r="E523" s="508"/>
      <c r="F523" s="508"/>
      <c r="G523" s="508"/>
      <c r="H523" s="508"/>
      <c r="I523" s="508"/>
    </row>
    <row r="524" spans="1:10" s="87" customFormat="1">
      <c r="A524" s="409">
        <v>92267</v>
      </c>
      <c r="B524" s="505" t="s">
        <v>508</v>
      </c>
      <c r="C524" s="505"/>
      <c r="D524" s="505"/>
      <c r="E524" s="505"/>
      <c r="F524" s="505"/>
      <c r="G524" s="505"/>
      <c r="H524" s="505"/>
      <c r="I524" s="410" t="str">
        <f>VLOOKUP(A524,'[1]PLANILHA ORÇAMENTÁRIA'!$B$8:$D$8000,3,FALSE)</f>
        <v>M2</v>
      </c>
      <c r="J524" s="307">
        <f>I531</f>
        <v>29.15</v>
      </c>
    </row>
    <row r="525" spans="1:10" s="87" customFormat="1" ht="24">
      <c r="A525" s="308" t="s">
        <v>377</v>
      </c>
      <c r="B525" s="309" t="s">
        <v>378</v>
      </c>
      <c r="C525" s="310" t="s">
        <v>25</v>
      </c>
      <c r="D525" s="310" t="s">
        <v>2</v>
      </c>
      <c r="E525" s="310" t="s">
        <v>375</v>
      </c>
      <c r="F525" s="311" t="s">
        <v>379</v>
      </c>
      <c r="G525" s="312" t="s">
        <v>316</v>
      </c>
      <c r="H525" s="312" t="s">
        <v>380</v>
      </c>
      <c r="I525" s="313" t="s">
        <v>381</v>
      </c>
    </row>
    <row r="526" spans="1:10" s="87" customFormat="1" ht="36">
      <c r="A526" s="422" t="s">
        <v>19</v>
      </c>
      <c r="B526" s="299" t="s">
        <v>385</v>
      </c>
      <c r="C526" s="299">
        <v>1358</v>
      </c>
      <c r="D526" s="300" t="s">
        <v>810</v>
      </c>
      <c r="E526" s="299" t="s">
        <v>376</v>
      </c>
      <c r="F526" s="314">
        <v>1.05</v>
      </c>
      <c r="G526" s="315">
        <v>27.16</v>
      </c>
      <c r="H526" s="411">
        <f t="shared" ref="H526:H530" si="129">IF(E526="H",G526,TRUNC(G526*(1-$K$5),2))</f>
        <v>27.14</v>
      </c>
      <c r="I526" s="412">
        <f t="shared" ref="I526:I530" si="130">TRUNC(H526*F526,2)</f>
        <v>28.49</v>
      </c>
    </row>
    <row r="527" spans="1:10" s="87" customFormat="1" ht="24">
      <c r="A527" s="422" t="s">
        <v>19</v>
      </c>
      <c r="B527" s="299" t="s">
        <v>382</v>
      </c>
      <c r="C527" s="299">
        <v>88239</v>
      </c>
      <c r="D527" s="300" t="s">
        <v>432</v>
      </c>
      <c r="E527" s="299" t="s">
        <v>161</v>
      </c>
      <c r="F527" s="314">
        <v>6.0000000000000001E-3</v>
      </c>
      <c r="G527" s="315">
        <v>14.53</v>
      </c>
      <c r="H527" s="411">
        <f t="shared" si="129"/>
        <v>14.53</v>
      </c>
      <c r="I527" s="412">
        <f t="shared" si="130"/>
        <v>0.08</v>
      </c>
    </row>
    <row r="528" spans="1:10" s="87" customFormat="1" ht="24">
      <c r="A528" s="422" t="s">
        <v>19</v>
      </c>
      <c r="B528" s="299" t="s">
        <v>382</v>
      </c>
      <c r="C528" s="299">
        <v>88262</v>
      </c>
      <c r="D528" s="300" t="s">
        <v>383</v>
      </c>
      <c r="E528" s="299" t="s">
        <v>161</v>
      </c>
      <c r="F528" s="314">
        <v>2.8000000000000001E-2</v>
      </c>
      <c r="G528" s="315">
        <v>17.16</v>
      </c>
      <c r="H528" s="411">
        <f t="shared" si="129"/>
        <v>17.16</v>
      </c>
      <c r="I528" s="412">
        <f t="shared" si="130"/>
        <v>0.48</v>
      </c>
    </row>
    <row r="529" spans="1:10" s="87" customFormat="1" ht="48">
      <c r="A529" s="422" t="s">
        <v>19</v>
      </c>
      <c r="B529" s="299" t="s">
        <v>382</v>
      </c>
      <c r="C529" s="299">
        <v>91692</v>
      </c>
      <c r="D529" s="300" t="s">
        <v>433</v>
      </c>
      <c r="E529" s="299" t="s">
        <v>395</v>
      </c>
      <c r="F529" s="314">
        <v>5.0000000000000001E-3</v>
      </c>
      <c r="G529" s="315">
        <v>19.649999999999999</v>
      </c>
      <c r="H529" s="411">
        <f t="shared" si="129"/>
        <v>19.64</v>
      </c>
      <c r="I529" s="412">
        <f t="shared" si="130"/>
        <v>0.09</v>
      </c>
    </row>
    <row r="530" spans="1:10" s="87" customFormat="1" ht="48">
      <c r="A530" s="422" t="s">
        <v>19</v>
      </c>
      <c r="B530" s="299" t="s">
        <v>382</v>
      </c>
      <c r="C530" s="299">
        <v>91693</v>
      </c>
      <c r="D530" s="300" t="s">
        <v>434</v>
      </c>
      <c r="E530" s="299" t="s">
        <v>396</v>
      </c>
      <c r="F530" s="314">
        <v>1E-3</v>
      </c>
      <c r="G530" s="315">
        <v>17.920000000000002</v>
      </c>
      <c r="H530" s="411">
        <f t="shared" si="129"/>
        <v>17.91</v>
      </c>
      <c r="I530" s="412">
        <f t="shared" si="130"/>
        <v>0.01</v>
      </c>
    </row>
    <row r="531" spans="1:10" s="87" customFormat="1">
      <c r="A531" s="506" t="s">
        <v>387</v>
      </c>
      <c r="B531" s="506"/>
      <c r="C531" s="506"/>
      <c r="D531" s="506"/>
      <c r="E531" s="506"/>
      <c r="F531" s="506"/>
      <c r="G531" s="506"/>
      <c r="H531" s="507"/>
      <c r="I531" s="365">
        <f>SUM(I526:I530)</f>
        <v>29.15</v>
      </c>
    </row>
    <row r="532" spans="1:10" s="87" customFormat="1">
      <c r="A532" s="508"/>
      <c r="B532" s="508"/>
      <c r="C532" s="508"/>
      <c r="D532" s="508"/>
      <c r="E532" s="508"/>
      <c r="F532" s="508"/>
      <c r="G532" s="508"/>
      <c r="H532" s="508"/>
      <c r="I532" s="508"/>
    </row>
    <row r="533" spans="1:10" s="87" customFormat="1" ht="24">
      <c r="A533" s="409" t="s">
        <v>642</v>
      </c>
      <c r="B533" s="505" t="s">
        <v>643</v>
      </c>
      <c r="C533" s="505"/>
      <c r="D533" s="505"/>
      <c r="E533" s="505"/>
      <c r="F533" s="505"/>
      <c r="G533" s="505"/>
      <c r="H533" s="505"/>
      <c r="I533" s="410" t="str">
        <f>VLOOKUP(A533,'[1]PLANILHA ORÇAMENTÁRIA'!$B$8:$D$8000,3,FALSE)</f>
        <v>UND.</v>
      </c>
      <c r="J533" s="307">
        <f>I538</f>
        <v>6.07</v>
      </c>
    </row>
    <row r="534" spans="1:10" s="87" customFormat="1" ht="24">
      <c r="A534" s="308" t="s">
        <v>377</v>
      </c>
      <c r="B534" s="309" t="s">
        <v>378</v>
      </c>
      <c r="C534" s="310" t="s">
        <v>25</v>
      </c>
      <c r="D534" s="310" t="s">
        <v>2</v>
      </c>
      <c r="E534" s="310" t="s">
        <v>375</v>
      </c>
      <c r="F534" s="311" t="s">
        <v>379</v>
      </c>
      <c r="G534" s="312" t="s">
        <v>316</v>
      </c>
      <c r="H534" s="312" t="s">
        <v>380</v>
      </c>
      <c r="I534" s="313" t="s">
        <v>381</v>
      </c>
    </row>
    <row r="535" spans="1:10" s="87" customFormat="1" ht="24">
      <c r="A535" s="422" t="s">
        <v>19</v>
      </c>
      <c r="B535" s="299" t="s">
        <v>385</v>
      </c>
      <c r="C535" s="413">
        <v>9867</v>
      </c>
      <c r="D535" s="414" t="s">
        <v>811</v>
      </c>
      <c r="E535" s="415" t="s">
        <v>389</v>
      </c>
      <c r="F535" s="418">
        <v>0.17</v>
      </c>
      <c r="G535" s="417">
        <v>1.8</v>
      </c>
      <c r="H535" s="411">
        <f t="shared" ref="H535:H537" si="131">IF(E535="H",G535,TRUNC(G535*(1-$K$5),2))</f>
        <v>1.79</v>
      </c>
      <c r="I535" s="412">
        <f t="shared" ref="I535:I537" si="132">TRUNC(H535*F535,2)</f>
        <v>0.3</v>
      </c>
    </row>
    <row r="536" spans="1:10" s="87" customFormat="1">
      <c r="A536" s="422" t="s">
        <v>19</v>
      </c>
      <c r="B536" s="299" t="s">
        <v>385</v>
      </c>
      <c r="C536" s="413">
        <v>38</v>
      </c>
      <c r="D536" s="414" t="s">
        <v>812</v>
      </c>
      <c r="E536" s="415" t="s">
        <v>386</v>
      </c>
      <c r="F536" s="418">
        <v>0.45</v>
      </c>
      <c r="G536" s="417">
        <v>5.17</v>
      </c>
      <c r="H536" s="411">
        <f t="shared" si="131"/>
        <v>5.16</v>
      </c>
      <c r="I536" s="412">
        <f t="shared" si="132"/>
        <v>2.3199999999999998</v>
      </c>
    </row>
    <row r="537" spans="1:10" s="87" customFormat="1" ht="24">
      <c r="A537" s="422" t="s">
        <v>19</v>
      </c>
      <c r="B537" s="299" t="s">
        <v>382</v>
      </c>
      <c r="C537" s="413">
        <v>88316</v>
      </c>
      <c r="D537" s="414" t="s">
        <v>384</v>
      </c>
      <c r="E537" s="415" t="s">
        <v>161</v>
      </c>
      <c r="F537" s="418">
        <v>0.25</v>
      </c>
      <c r="G537" s="417">
        <v>13.8</v>
      </c>
      <c r="H537" s="411">
        <f t="shared" si="131"/>
        <v>13.8</v>
      </c>
      <c r="I537" s="412">
        <f t="shared" si="132"/>
        <v>3.45</v>
      </c>
    </row>
    <row r="538" spans="1:10" s="87" customFormat="1">
      <c r="A538" s="506" t="s">
        <v>387</v>
      </c>
      <c r="B538" s="506"/>
      <c r="C538" s="506"/>
      <c r="D538" s="506"/>
      <c r="E538" s="506"/>
      <c r="F538" s="506"/>
      <c r="G538" s="506"/>
      <c r="H538" s="507"/>
      <c r="I538" s="365">
        <f>SUM(I535:I537)</f>
        <v>6.07</v>
      </c>
    </row>
    <row r="539" spans="1:10" s="87" customFormat="1">
      <c r="A539" s="508"/>
      <c r="B539" s="508"/>
      <c r="C539" s="508"/>
      <c r="D539" s="508"/>
      <c r="E539" s="508"/>
      <c r="F539" s="508"/>
      <c r="G539" s="508"/>
      <c r="H539" s="508"/>
      <c r="I539" s="508"/>
    </row>
    <row r="540" spans="1:10" s="87" customFormat="1" ht="31.5" customHeight="1">
      <c r="A540" s="409">
        <v>89482</v>
      </c>
      <c r="B540" s="505" t="s">
        <v>659</v>
      </c>
      <c r="C540" s="505"/>
      <c r="D540" s="505"/>
      <c r="E540" s="505"/>
      <c r="F540" s="505"/>
      <c r="G540" s="505"/>
      <c r="H540" s="505"/>
      <c r="I540" s="410" t="str">
        <f>VLOOKUP(A540,'[1]PLANILHA ORÇAMENTÁRIA'!$B$8:$D$8000,3,FALSE)</f>
        <v>UND.</v>
      </c>
      <c r="J540" s="307">
        <f>I550</f>
        <v>12.700000000000001</v>
      </c>
    </row>
    <row r="541" spans="1:10" s="87" customFormat="1" ht="24">
      <c r="A541" s="308" t="s">
        <v>377</v>
      </c>
      <c r="B541" s="309" t="s">
        <v>378</v>
      </c>
      <c r="C541" s="310" t="s">
        <v>25</v>
      </c>
      <c r="D541" s="310" t="s">
        <v>2</v>
      </c>
      <c r="E541" s="310" t="s">
        <v>375</v>
      </c>
      <c r="F541" s="311" t="s">
        <v>379</v>
      </c>
      <c r="G541" s="312" t="s">
        <v>316</v>
      </c>
      <c r="H541" s="312" t="s">
        <v>380</v>
      </c>
      <c r="I541" s="313" t="s">
        <v>381</v>
      </c>
    </row>
    <row r="542" spans="1:10" s="87" customFormat="1" ht="24">
      <c r="A542" s="422" t="s">
        <v>19</v>
      </c>
      <c r="B542" s="299" t="s">
        <v>385</v>
      </c>
      <c r="C542" s="299">
        <v>122</v>
      </c>
      <c r="D542" s="300" t="s">
        <v>448</v>
      </c>
      <c r="E542" s="299" t="s">
        <v>102</v>
      </c>
      <c r="F542" s="314">
        <v>1.4800000000000001E-2</v>
      </c>
      <c r="G542" s="315">
        <v>44.26</v>
      </c>
      <c r="H542" s="411">
        <f t="shared" ref="H542:H549" si="133">IF(E542="H",G542,TRUNC(G542*(1-$K$5),2))</f>
        <v>44.23</v>
      </c>
      <c r="I542" s="412">
        <f t="shared" ref="I542:I549" si="134">TRUNC(H542*F542,2)</f>
        <v>0.65</v>
      </c>
    </row>
    <row r="543" spans="1:10" s="87" customFormat="1" ht="48">
      <c r="A543" s="422" t="s">
        <v>463</v>
      </c>
      <c r="B543" s="299" t="s">
        <v>464</v>
      </c>
      <c r="C543" s="299" t="s">
        <v>465</v>
      </c>
      <c r="D543" s="300" t="str">
        <f>B540</f>
        <v>CAIXA SIFONADA, PVC, DN 100 X 100 X 50 MM, FORNECIDA E INSTALADA EM RA MAIS DE ENCAMINHAMENTO DE ÁGUA PLUVIAL. AF_12/2014_P</v>
      </c>
      <c r="E543" s="299" t="s">
        <v>102</v>
      </c>
      <c r="F543" s="314">
        <v>1</v>
      </c>
      <c r="G543" s="315">
        <v>5.44</v>
      </c>
      <c r="H543" s="411">
        <f t="shared" si="133"/>
        <v>5.43</v>
      </c>
      <c r="I543" s="412">
        <f t="shared" si="134"/>
        <v>5.43</v>
      </c>
    </row>
    <row r="544" spans="1:10" s="87" customFormat="1" ht="48">
      <c r="A544" s="422" t="s">
        <v>19</v>
      </c>
      <c r="B544" s="299" t="s">
        <v>385</v>
      </c>
      <c r="C544" s="299">
        <v>20078</v>
      </c>
      <c r="D544" s="300" t="s">
        <v>803</v>
      </c>
      <c r="E544" s="299" t="s">
        <v>102</v>
      </c>
      <c r="F544" s="314">
        <v>0.02</v>
      </c>
      <c r="G544" s="315">
        <v>16.2</v>
      </c>
      <c r="H544" s="411">
        <f t="shared" si="133"/>
        <v>16.190000000000001</v>
      </c>
      <c r="I544" s="412">
        <f t="shared" si="134"/>
        <v>0.32</v>
      </c>
    </row>
    <row r="545" spans="1:10" s="87" customFormat="1" ht="24">
      <c r="A545" s="422" t="s">
        <v>19</v>
      </c>
      <c r="B545" s="299" t="s">
        <v>385</v>
      </c>
      <c r="C545" s="299">
        <v>20083</v>
      </c>
      <c r="D545" s="300" t="s">
        <v>449</v>
      </c>
      <c r="E545" s="299" t="s">
        <v>102</v>
      </c>
      <c r="F545" s="314">
        <v>2.2499999999999999E-2</v>
      </c>
      <c r="G545" s="315">
        <v>38.44</v>
      </c>
      <c r="H545" s="411">
        <f t="shared" si="133"/>
        <v>38.42</v>
      </c>
      <c r="I545" s="412">
        <f t="shared" si="134"/>
        <v>0.86</v>
      </c>
    </row>
    <row r="546" spans="1:10" s="87" customFormat="1" ht="24">
      <c r="A546" s="422" t="s">
        <v>19</v>
      </c>
      <c r="B546" s="299" t="s">
        <v>385</v>
      </c>
      <c r="C546" s="299">
        <v>20085</v>
      </c>
      <c r="D546" s="300" t="s">
        <v>813</v>
      </c>
      <c r="E546" s="299" t="s">
        <v>102</v>
      </c>
      <c r="F546" s="314">
        <v>1</v>
      </c>
      <c r="G546" s="315">
        <v>1.25</v>
      </c>
      <c r="H546" s="411">
        <f t="shared" si="133"/>
        <v>1.24</v>
      </c>
      <c r="I546" s="412">
        <f t="shared" si="134"/>
        <v>1.24</v>
      </c>
    </row>
    <row r="547" spans="1:10" s="87" customFormat="1">
      <c r="A547" s="422" t="s">
        <v>19</v>
      </c>
      <c r="B547" s="299" t="s">
        <v>385</v>
      </c>
      <c r="C547" s="299">
        <v>38383</v>
      </c>
      <c r="D547" s="300" t="s">
        <v>450</v>
      </c>
      <c r="E547" s="299" t="s">
        <v>102</v>
      </c>
      <c r="F547" s="314">
        <v>3.6499999999999998E-2</v>
      </c>
      <c r="G547" s="315">
        <v>1.43</v>
      </c>
      <c r="H547" s="411">
        <f t="shared" si="133"/>
        <v>1.42</v>
      </c>
      <c r="I547" s="412">
        <f t="shared" si="134"/>
        <v>0.05</v>
      </c>
    </row>
    <row r="548" spans="1:10" s="87" customFormat="1" ht="36">
      <c r="A548" s="422" t="s">
        <v>19</v>
      </c>
      <c r="B548" s="299" t="s">
        <v>382</v>
      </c>
      <c r="C548" s="299">
        <v>88248</v>
      </c>
      <c r="D548" s="300" t="s">
        <v>451</v>
      </c>
      <c r="E548" s="299" t="s">
        <v>161</v>
      </c>
      <c r="F548" s="314">
        <v>0.13500000000000001</v>
      </c>
      <c r="G548" s="315">
        <v>13.56</v>
      </c>
      <c r="H548" s="411">
        <f t="shared" si="133"/>
        <v>13.56</v>
      </c>
      <c r="I548" s="412">
        <f t="shared" si="134"/>
        <v>1.83</v>
      </c>
    </row>
    <row r="549" spans="1:10" s="87" customFormat="1" ht="24">
      <c r="A549" s="422" t="s">
        <v>19</v>
      </c>
      <c r="B549" s="299" t="s">
        <v>382</v>
      </c>
      <c r="C549" s="299">
        <v>88267</v>
      </c>
      <c r="D549" s="300" t="s">
        <v>452</v>
      </c>
      <c r="E549" s="299" t="s">
        <v>161</v>
      </c>
      <c r="F549" s="314">
        <v>0.13500000000000001</v>
      </c>
      <c r="G549" s="315">
        <v>17.22</v>
      </c>
      <c r="H549" s="411">
        <f t="shared" si="133"/>
        <v>17.22</v>
      </c>
      <c r="I549" s="412">
        <f t="shared" si="134"/>
        <v>2.3199999999999998</v>
      </c>
    </row>
    <row r="550" spans="1:10" s="87" customFormat="1">
      <c r="A550" s="506" t="s">
        <v>387</v>
      </c>
      <c r="B550" s="506"/>
      <c r="C550" s="506"/>
      <c r="D550" s="506"/>
      <c r="E550" s="506"/>
      <c r="F550" s="506"/>
      <c r="G550" s="506"/>
      <c r="H550" s="507"/>
      <c r="I550" s="365">
        <f>SUM(I542:I549)</f>
        <v>12.700000000000001</v>
      </c>
    </row>
    <row r="551" spans="1:10" s="87" customFormat="1">
      <c r="A551" s="508"/>
      <c r="B551" s="508"/>
      <c r="C551" s="508"/>
      <c r="D551" s="508"/>
      <c r="E551" s="508"/>
      <c r="F551" s="508"/>
      <c r="G551" s="508"/>
      <c r="H551" s="508"/>
      <c r="I551" s="508"/>
    </row>
    <row r="552" spans="1:10" s="87" customFormat="1" ht="24">
      <c r="A552" s="409" t="s">
        <v>682</v>
      </c>
      <c r="B552" s="505" t="s">
        <v>683</v>
      </c>
      <c r="C552" s="505"/>
      <c r="D552" s="505"/>
      <c r="E552" s="505"/>
      <c r="F552" s="505"/>
      <c r="G552" s="505"/>
      <c r="H552" s="505"/>
      <c r="I552" s="410" t="str">
        <f>VLOOKUP(A552,'[1]PLANILHA ORÇAMENTÁRIA'!$B$8:$D$8000,3,FALSE)</f>
        <v>M3</v>
      </c>
      <c r="J552" s="307">
        <f>I555</f>
        <v>44.37</v>
      </c>
    </row>
    <row r="553" spans="1:10" s="87" customFormat="1" ht="24">
      <c r="A553" s="308" t="s">
        <v>377</v>
      </c>
      <c r="B553" s="309" t="s">
        <v>378</v>
      </c>
      <c r="C553" s="310" t="s">
        <v>25</v>
      </c>
      <c r="D553" s="310" t="s">
        <v>2</v>
      </c>
      <c r="E553" s="310" t="s">
        <v>375</v>
      </c>
      <c r="F553" s="311" t="s">
        <v>379</v>
      </c>
      <c r="G553" s="312" t="s">
        <v>316</v>
      </c>
      <c r="H553" s="312" t="s">
        <v>380</v>
      </c>
      <c r="I553" s="313" t="s">
        <v>381</v>
      </c>
    </row>
    <row r="554" spans="1:10" s="87" customFormat="1" ht="24">
      <c r="A554" s="422" t="s">
        <v>19</v>
      </c>
      <c r="B554" s="299" t="s">
        <v>385</v>
      </c>
      <c r="C554" s="299">
        <v>4721</v>
      </c>
      <c r="D554" s="300" t="s">
        <v>766</v>
      </c>
      <c r="E554" s="299" t="s">
        <v>392</v>
      </c>
      <c r="F554" s="314">
        <v>1</v>
      </c>
      <c r="G554" s="315">
        <v>44.4</v>
      </c>
      <c r="H554" s="411">
        <f t="shared" ref="H554" si="135">IF(E554="H",G554,TRUNC(G554*(1-$K$5),2))</f>
        <v>44.37</v>
      </c>
      <c r="I554" s="412">
        <f t="shared" ref="I554" si="136">TRUNC(H554*F554,2)</f>
        <v>44.37</v>
      </c>
    </row>
    <row r="555" spans="1:10" s="87" customFormat="1">
      <c r="A555" s="506" t="s">
        <v>387</v>
      </c>
      <c r="B555" s="506"/>
      <c r="C555" s="506"/>
      <c r="D555" s="506"/>
      <c r="E555" s="506"/>
      <c r="F555" s="506"/>
      <c r="G555" s="506"/>
      <c r="H555" s="507"/>
      <c r="I555" s="365">
        <f>SUM(I554:I554)</f>
        <v>44.37</v>
      </c>
    </row>
    <row r="556" spans="1:10" s="87" customFormat="1">
      <c r="A556" s="508"/>
      <c r="B556" s="508"/>
      <c r="C556" s="508"/>
      <c r="D556" s="508"/>
      <c r="E556" s="508"/>
      <c r="F556" s="508"/>
      <c r="G556" s="508"/>
      <c r="H556" s="508"/>
      <c r="I556" s="508"/>
    </row>
    <row r="557" spans="1:10" s="87" customFormat="1" ht="33" customHeight="1">
      <c r="A557" s="409">
        <v>92029</v>
      </c>
      <c r="B557" s="505" t="s">
        <v>718</v>
      </c>
      <c r="C557" s="505"/>
      <c r="D557" s="505"/>
      <c r="E557" s="505"/>
      <c r="F557" s="505"/>
      <c r="G557" s="505"/>
      <c r="H557" s="505"/>
      <c r="I557" s="410" t="str">
        <f>VLOOKUP(A557,'[1]PLANILHA ORÇAMENTÁRIA'!$B$8:$D$8000,3,FALSE)</f>
        <v>UN</v>
      </c>
      <c r="J557" s="307">
        <f>I560</f>
        <v>34.08</v>
      </c>
    </row>
    <row r="558" spans="1:10" s="87" customFormat="1" ht="24">
      <c r="A558" s="308" t="s">
        <v>377</v>
      </c>
      <c r="B558" s="309" t="s">
        <v>378</v>
      </c>
      <c r="C558" s="310" t="s">
        <v>25</v>
      </c>
      <c r="D558" s="310" t="s">
        <v>2</v>
      </c>
      <c r="E558" s="310" t="s">
        <v>375</v>
      </c>
      <c r="F558" s="311" t="s">
        <v>379</v>
      </c>
      <c r="G558" s="312" t="s">
        <v>316</v>
      </c>
      <c r="H558" s="312" t="s">
        <v>380</v>
      </c>
      <c r="I558" s="313" t="s">
        <v>381</v>
      </c>
    </row>
    <row r="559" spans="1:10" s="87" customFormat="1" ht="48">
      <c r="A559" s="422" t="s">
        <v>19</v>
      </c>
      <c r="B559" s="299" t="s">
        <v>382</v>
      </c>
      <c r="C559" s="299">
        <v>92029</v>
      </c>
      <c r="D559" s="300" t="s">
        <v>718</v>
      </c>
      <c r="E559" s="299" t="s">
        <v>102</v>
      </c>
      <c r="F559" s="314">
        <v>1</v>
      </c>
      <c r="G559" s="315">
        <v>34.1</v>
      </c>
      <c r="H559" s="411">
        <f t="shared" ref="H559" si="137">IF(E559="H",G559,TRUNC(G559*(1-$K$5),2))</f>
        <v>34.08</v>
      </c>
      <c r="I559" s="412">
        <f t="shared" ref="I559" si="138">TRUNC(H559*F559,2)</f>
        <v>34.08</v>
      </c>
    </row>
    <row r="560" spans="1:10" s="87" customFormat="1">
      <c r="A560" s="506" t="s">
        <v>387</v>
      </c>
      <c r="B560" s="506"/>
      <c r="C560" s="506"/>
      <c r="D560" s="506"/>
      <c r="E560" s="506"/>
      <c r="F560" s="506"/>
      <c r="G560" s="506"/>
      <c r="H560" s="507"/>
      <c r="I560" s="365">
        <f>SUM(I559:I559)</f>
        <v>34.08</v>
      </c>
    </row>
    <row r="561" spans="1:10" s="87" customFormat="1">
      <c r="A561" s="508"/>
      <c r="B561" s="508"/>
      <c r="C561" s="508"/>
      <c r="D561" s="508"/>
      <c r="E561" s="508"/>
      <c r="F561" s="508"/>
      <c r="G561" s="508"/>
      <c r="H561" s="508"/>
      <c r="I561" s="508"/>
    </row>
    <row r="562" spans="1:10" s="87" customFormat="1">
      <c r="A562" s="409">
        <v>93040</v>
      </c>
      <c r="B562" s="505" t="s">
        <v>720</v>
      </c>
      <c r="C562" s="505"/>
      <c r="D562" s="505"/>
      <c r="E562" s="505"/>
      <c r="F562" s="505"/>
      <c r="G562" s="505"/>
      <c r="H562" s="505"/>
      <c r="I562" s="410" t="str">
        <f>VLOOKUP(A562,'[1]PLANILHA ORÇAMENTÁRIA'!$B$8:$D$8000,3,FALSE)</f>
        <v>UND.</v>
      </c>
      <c r="J562" s="307">
        <f>I566</f>
        <v>9.49</v>
      </c>
    </row>
    <row r="563" spans="1:10" s="87" customFormat="1" ht="24">
      <c r="A563" s="308" t="s">
        <v>377</v>
      </c>
      <c r="B563" s="309" t="s">
        <v>378</v>
      </c>
      <c r="C563" s="310" t="s">
        <v>25</v>
      </c>
      <c r="D563" s="310" t="s">
        <v>2</v>
      </c>
      <c r="E563" s="310" t="s">
        <v>375</v>
      </c>
      <c r="F563" s="311" t="s">
        <v>379</v>
      </c>
      <c r="G563" s="312" t="s">
        <v>316</v>
      </c>
      <c r="H563" s="312" t="s">
        <v>380</v>
      </c>
      <c r="I563" s="313" t="s">
        <v>381</v>
      </c>
    </row>
    <row r="564" spans="1:10" s="87" customFormat="1" ht="36">
      <c r="A564" s="422" t="s">
        <v>819</v>
      </c>
      <c r="B564" s="299" t="s">
        <v>820</v>
      </c>
      <c r="C564" s="299" t="s">
        <v>465</v>
      </c>
      <c r="D564" s="300" t="str">
        <f>B562</f>
        <v>LÂMPADA FLUORESCENTE COMPACTA 15 W 2U, BASE E27 - FORNECIMENTO E INSTALAÇÃO</v>
      </c>
      <c r="E564" s="299" t="s">
        <v>102</v>
      </c>
      <c r="F564" s="314">
        <v>1</v>
      </c>
      <c r="G564" s="315">
        <v>8.14</v>
      </c>
      <c r="H564" s="411">
        <f t="shared" ref="H564:H565" si="139">IF(E564="H",G564,TRUNC(G564*(1-$K$5),2))</f>
        <v>8.1300000000000008</v>
      </c>
      <c r="I564" s="412">
        <f t="shared" ref="I564:I565" si="140">TRUNC(H564*F564,2)</f>
        <v>8.1300000000000008</v>
      </c>
    </row>
    <row r="565" spans="1:10" s="87" customFormat="1" ht="24">
      <c r="A565" s="422" t="s">
        <v>19</v>
      </c>
      <c r="B565" s="299" t="s">
        <v>382</v>
      </c>
      <c r="C565" s="299">
        <v>88247</v>
      </c>
      <c r="D565" s="300" t="s">
        <v>814</v>
      </c>
      <c r="E565" s="299" t="s">
        <v>161</v>
      </c>
      <c r="F565" s="314">
        <v>0.1</v>
      </c>
      <c r="G565" s="315">
        <v>13.65</v>
      </c>
      <c r="H565" s="411">
        <f t="shared" si="139"/>
        <v>13.65</v>
      </c>
      <c r="I565" s="412">
        <f t="shared" si="140"/>
        <v>1.36</v>
      </c>
    </row>
    <row r="566" spans="1:10" s="87" customFormat="1">
      <c r="A566" s="506" t="s">
        <v>387</v>
      </c>
      <c r="B566" s="506"/>
      <c r="C566" s="506"/>
      <c r="D566" s="506"/>
      <c r="E566" s="506"/>
      <c r="F566" s="506"/>
      <c r="G566" s="506"/>
      <c r="H566" s="507"/>
      <c r="I566" s="365">
        <f>SUM(I564:I565)</f>
        <v>9.49</v>
      </c>
    </row>
    <row r="567" spans="1:10" s="87" customFormat="1">
      <c r="A567" s="508"/>
      <c r="B567" s="508"/>
      <c r="C567" s="508"/>
      <c r="D567" s="508"/>
      <c r="E567" s="508"/>
      <c r="F567" s="508"/>
      <c r="G567" s="508"/>
      <c r="H567" s="508"/>
      <c r="I567" s="508"/>
    </row>
    <row r="568" spans="1:10" s="87" customFormat="1" ht="30.75" customHeight="1">
      <c r="A568" s="409">
        <v>91931</v>
      </c>
      <c r="B568" s="505" t="s">
        <v>722</v>
      </c>
      <c r="C568" s="505"/>
      <c r="D568" s="505"/>
      <c r="E568" s="505"/>
      <c r="F568" s="505"/>
      <c r="G568" s="505"/>
      <c r="H568" s="505"/>
      <c r="I568" s="410" t="str">
        <f>VLOOKUP(A568,'[1]PLANILHA ORÇAMENTÁRIA'!$B$8:$D$8000,3,FALSE)</f>
        <v>M</v>
      </c>
      <c r="J568" s="307">
        <f>I574</f>
        <v>5.28</v>
      </c>
    </row>
    <row r="569" spans="1:10" s="87" customFormat="1" ht="24">
      <c r="A569" s="308" t="s">
        <v>377</v>
      </c>
      <c r="B569" s="309" t="s">
        <v>378</v>
      </c>
      <c r="C569" s="310" t="s">
        <v>25</v>
      </c>
      <c r="D569" s="310" t="s">
        <v>2</v>
      </c>
      <c r="E569" s="310" t="s">
        <v>375</v>
      </c>
      <c r="F569" s="311" t="s">
        <v>379</v>
      </c>
      <c r="G569" s="312" t="s">
        <v>316</v>
      </c>
      <c r="H569" s="312" t="s">
        <v>380</v>
      </c>
      <c r="I569" s="313" t="s">
        <v>381</v>
      </c>
    </row>
    <row r="570" spans="1:10" s="87" customFormat="1" ht="60">
      <c r="A570" s="422" t="s">
        <v>19</v>
      </c>
      <c r="B570" s="299" t="s">
        <v>385</v>
      </c>
      <c r="C570" s="299">
        <v>994</v>
      </c>
      <c r="D570" s="300" t="s">
        <v>815</v>
      </c>
      <c r="E570" s="299" t="s">
        <v>389</v>
      </c>
      <c r="F570" s="314">
        <v>1.19</v>
      </c>
      <c r="G570" s="315">
        <v>3.09</v>
      </c>
      <c r="H570" s="411">
        <f t="shared" ref="H570:H573" si="141">IF(E570="H",G570,TRUNC(G570*(1-$K$5),2))</f>
        <v>3.08</v>
      </c>
      <c r="I570" s="412">
        <f t="shared" ref="I570:I573" si="142">TRUNC(H570*F570,2)</f>
        <v>3.66</v>
      </c>
    </row>
    <row r="571" spans="1:10" s="87" customFormat="1" ht="24">
      <c r="A571" s="422" t="s">
        <v>19</v>
      </c>
      <c r="B571" s="299" t="s">
        <v>385</v>
      </c>
      <c r="C571" s="299">
        <v>21127</v>
      </c>
      <c r="D571" s="300" t="s">
        <v>816</v>
      </c>
      <c r="E571" s="299" t="s">
        <v>102</v>
      </c>
      <c r="F571" s="314">
        <v>8.9999999999999993E-3</v>
      </c>
      <c r="G571" s="315">
        <v>2.4900000000000002</v>
      </c>
      <c r="H571" s="411">
        <f t="shared" si="141"/>
        <v>2.48</v>
      </c>
      <c r="I571" s="412">
        <f t="shared" si="142"/>
        <v>0.02</v>
      </c>
    </row>
    <row r="572" spans="1:10" s="87" customFormat="1" ht="24">
      <c r="A572" s="422" t="s">
        <v>19</v>
      </c>
      <c r="B572" s="299" t="s">
        <v>382</v>
      </c>
      <c r="C572" s="299">
        <v>88247</v>
      </c>
      <c r="D572" s="300" t="s">
        <v>814</v>
      </c>
      <c r="E572" s="299" t="s">
        <v>161</v>
      </c>
      <c r="F572" s="314">
        <v>5.1999999999999998E-2</v>
      </c>
      <c r="G572" s="315">
        <v>13.65</v>
      </c>
      <c r="H572" s="411">
        <f t="shared" si="141"/>
        <v>13.65</v>
      </c>
      <c r="I572" s="412">
        <f t="shared" si="142"/>
        <v>0.7</v>
      </c>
    </row>
    <row r="573" spans="1:10" s="87" customFormat="1" ht="24">
      <c r="A573" s="422" t="s">
        <v>19</v>
      </c>
      <c r="B573" s="299" t="s">
        <v>382</v>
      </c>
      <c r="C573" s="299">
        <v>88264</v>
      </c>
      <c r="D573" s="300" t="s">
        <v>817</v>
      </c>
      <c r="E573" s="299" t="s">
        <v>161</v>
      </c>
      <c r="F573" s="314">
        <v>5.1999999999999998E-2</v>
      </c>
      <c r="G573" s="315">
        <v>17.420000000000002</v>
      </c>
      <c r="H573" s="411">
        <f t="shared" si="141"/>
        <v>17.420000000000002</v>
      </c>
      <c r="I573" s="412">
        <f t="shared" si="142"/>
        <v>0.9</v>
      </c>
    </row>
    <row r="574" spans="1:10" s="87" customFormat="1">
      <c r="A574" s="506" t="s">
        <v>387</v>
      </c>
      <c r="B574" s="506"/>
      <c r="C574" s="506"/>
      <c r="D574" s="506"/>
      <c r="E574" s="506"/>
      <c r="F574" s="506"/>
      <c r="G574" s="506"/>
      <c r="H574" s="507"/>
      <c r="I574" s="365">
        <f>SUM(I570:I573)</f>
        <v>5.28</v>
      </c>
    </row>
    <row r="575" spans="1:10" s="87" customFormat="1">
      <c r="A575" s="508"/>
      <c r="B575" s="508"/>
      <c r="C575" s="508"/>
      <c r="D575" s="508"/>
      <c r="E575" s="508"/>
      <c r="F575" s="508"/>
      <c r="G575" s="508"/>
      <c r="H575" s="508"/>
      <c r="I575" s="508"/>
    </row>
    <row r="576" spans="1:10" s="87" customFormat="1" ht="33" customHeight="1">
      <c r="A576" s="409">
        <v>91873</v>
      </c>
      <c r="B576" s="505" t="s">
        <v>724</v>
      </c>
      <c r="C576" s="505"/>
      <c r="D576" s="505"/>
      <c r="E576" s="505"/>
      <c r="F576" s="505"/>
      <c r="G576" s="505"/>
      <c r="H576" s="505"/>
      <c r="I576" s="410" t="str">
        <f>VLOOKUP(A576,'[1]PLANILHA ORÇAMENTÁRIA'!$B$8:$D$8000,3,FALSE)</f>
        <v>M</v>
      </c>
      <c r="J576" s="307">
        <f>I581</f>
        <v>11.969999999999999</v>
      </c>
    </row>
    <row r="577" spans="1:10" s="87" customFormat="1" ht="24">
      <c r="A577" s="308" t="s">
        <v>377</v>
      </c>
      <c r="B577" s="309" t="s">
        <v>378</v>
      </c>
      <c r="C577" s="310" t="s">
        <v>25</v>
      </c>
      <c r="D577" s="310" t="s">
        <v>2</v>
      </c>
      <c r="E577" s="310" t="s">
        <v>375</v>
      </c>
      <c r="F577" s="311" t="s">
        <v>379</v>
      </c>
      <c r="G577" s="312" t="s">
        <v>316</v>
      </c>
      <c r="H577" s="312" t="s">
        <v>380</v>
      </c>
      <c r="I577" s="313" t="s">
        <v>381</v>
      </c>
    </row>
    <row r="578" spans="1:10" s="87" customFormat="1" ht="24">
      <c r="A578" s="422" t="s">
        <v>19</v>
      </c>
      <c r="B578" s="299" t="s">
        <v>385</v>
      </c>
      <c r="C578" s="299">
        <v>2684</v>
      </c>
      <c r="D578" s="300" t="s">
        <v>818</v>
      </c>
      <c r="E578" s="299" t="s">
        <v>389</v>
      </c>
      <c r="F578" s="314">
        <v>1.0169999999999999</v>
      </c>
      <c r="G578" s="315">
        <v>5.05</v>
      </c>
      <c r="H578" s="411">
        <f t="shared" ref="H578:H580" si="143">IF(E578="H",G578,TRUNC(G578*(1-$K$5),2))</f>
        <v>5.04</v>
      </c>
      <c r="I578" s="412">
        <f t="shared" ref="I578:I580" si="144">TRUNC(H578*F578,2)</f>
        <v>5.12</v>
      </c>
    </row>
    <row r="579" spans="1:10" s="87" customFormat="1" ht="24">
      <c r="A579" s="422" t="s">
        <v>19</v>
      </c>
      <c r="B579" s="299" t="s">
        <v>382</v>
      </c>
      <c r="C579" s="299">
        <v>88247</v>
      </c>
      <c r="D579" s="300" t="s">
        <v>814</v>
      </c>
      <c r="E579" s="299" t="s">
        <v>161</v>
      </c>
      <c r="F579" s="314">
        <v>0.221</v>
      </c>
      <c r="G579" s="315">
        <v>13.65</v>
      </c>
      <c r="H579" s="411">
        <f t="shared" si="143"/>
        <v>13.65</v>
      </c>
      <c r="I579" s="412">
        <f t="shared" si="144"/>
        <v>3.01</v>
      </c>
    </row>
    <row r="580" spans="1:10" s="87" customFormat="1" ht="24">
      <c r="A580" s="422" t="s">
        <v>19</v>
      </c>
      <c r="B580" s="299" t="s">
        <v>382</v>
      </c>
      <c r="C580" s="299">
        <v>88264</v>
      </c>
      <c r="D580" s="300" t="s">
        <v>817</v>
      </c>
      <c r="E580" s="299" t="s">
        <v>161</v>
      </c>
      <c r="F580" s="314">
        <v>0.221</v>
      </c>
      <c r="G580" s="315">
        <v>17.420000000000002</v>
      </c>
      <c r="H580" s="411">
        <f t="shared" si="143"/>
        <v>17.420000000000002</v>
      </c>
      <c r="I580" s="412">
        <f t="shared" si="144"/>
        <v>3.84</v>
      </c>
    </row>
    <row r="581" spans="1:10" s="87" customFormat="1">
      <c r="A581" s="506" t="s">
        <v>387</v>
      </c>
      <c r="B581" s="506"/>
      <c r="C581" s="506"/>
      <c r="D581" s="506"/>
      <c r="E581" s="506"/>
      <c r="F581" s="506"/>
      <c r="G581" s="506"/>
      <c r="H581" s="507"/>
      <c r="I581" s="365">
        <f>SUM(I578:I580)</f>
        <v>11.969999999999999</v>
      </c>
    </row>
    <row r="582" spans="1:10" s="87" customFormat="1">
      <c r="A582" s="508"/>
      <c r="B582" s="508"/>
      <c r="C582" s="508"/>
      <c r="D582" s="508"/>
      <c r="E582" s="508"/>
      <c r="F582" s="508"/>
      <c r="G582" s="508"/>
      <c r="H582" s="508"/>
      <c r="I582" s="508"/>
    </row>
    <row r="583" spans="1:10" s="87" customFormat="1" ht="24">
      <c r="A583" s="409" t="s">
        <v>726</v>
      </c>
      <c r="B583" s="505" t="s">
        <v>727</v>
      </c>
      <c r="C583" s="505"/>
      <c r="D583" s="505"/>
      <c r="E583" s="505"/>
      <c r="F583" s="505"/>
      <c r="G583" s="505"/>
      <c r="H583" s="505"/>
      <c r="I583" s="410" t="str">
        <f>VLOOKUP(A583,'[1]PLANILHA ORÇAMENTÁRIA'!$B$8:$D$8000,3,FALSE)</f>
        <v xml:space="preserve">UN    </v>
      </c>
      <c r="J583" s="307">
        <f>I588</f>
        <v>5.8599999999999994</v>
      </c>
    </row>
    <row r="584" spans="1:10" s="87" customFormat="1" ht="24">
      <c r="A584" s="308" t="s">
        <v>377</v>
      </c>
      <c r="B584" s="309" t="s">
        <v>378</v>
      </c>
      <c r="C584" s="310" t="s">
        <v>25</v>
      </c>
      <c r="D584" s="310" t="s">
        <v>2</v>
      </c>
      <c r="E584" s="310" t="s">
        <v>375</v>
      </c>
      <c r="F584" s="311" t="s">
        <v>379</v>
      </c>
      <c r="G584" s="312" t="s">
        <v>316</v>
      </c>
      <c r="H584" s="312" t="s">
        <v>380</v>
      </c>
      <c r="I584" s="313" t="s">
        <v>381</v>
      </c>
    </row>
    <row r="585" spans="1:10" s="87" customFormat="1" ht="24">
      <c r="A585" s="422" t="s">
        <v>463</v>
      </c>
      <c r="B585" s="299" t="s">
        <v>464</v>
      </c>
      <c r="C585" s="299" t="s">
        <v>465</v>
      </c>
      <c r="D585" s="300" t="str">
        <f>B583</f>
        <v>SOQUETE DE PVC / TERMOPLASTICO BASE E27, COM CHAVE, PARA LAMPADAS</v>
      </c>
      <c r="E585" s="299" t="s">
        <v>375</v>
      </c>
      <c r="F585" s="314">
        <v>1</v>
      </c>
      <c r="G585" s="315">
        <v>5.0999999999999996</v>
      </c>
      <c r="H585" s="411">
        <f t="shared" ref="H585:H587" si="145">IF(E585="H",G585,TRUNC(G585*(1-$K$5),2))</f>
        <v>5.09</v>
      </c>
      <c r="I585" s="412">
        <f t="shared" ref="I585:I587" si="146">TRUNC(H585*F585,2)</f>
        <v>5.09</v>
      </c>
    </row>
    <row r="586" spans="1:10" s="87" customFormat="1" ht="24">
      <c r="A586" s="422" t="s">
        <v>19</v>
      </c>
      <c r="B586" s="299" t="s">
        <v>382</v>
      </c>
      <c r="C586" s="299">
        <v>88247</v>
      </c>
      <c r="D586" s="300" t="s">
        <v>814</v>
      </c>
      <c r="E586" s="299" t="s">
        <v>161</v>
      </c>
      <c r="F586" s="314">
        <v>2.5000000000000001E-2</v>
      </c>
      <c r="G586" s="315">
        <v>13.65</v>
      </c>
      <c r="H586" s="411">
        <f t="shared" si="145"/>
        <v>13.65</v>
      </c>
      <c r="I586" s="412">
        <f t="shared" si="146"/>
        <v>0.34</v>
      </c>
    </row>
    <row r="587" spans="1:10" s="87" customFormat="1" ht="24">
      <c r="A587" s="422" t="s">
        <v>19</v>
      </c>
      <c r="B587" s="299" t="s">
        <v>382</v>
      </c>
      <c r="C587" s="299">
        <v>88264</v>
      </c>
      <c r="D587" s="300" t="s">
        <v>817</v>
      </c>
      <c r="E587" s="299" t="s">
        <v>161</v>
      </c>
      <c r="F587" s="314">
        <v>2.5000000000000001E-2</v>
      </c>
      <c r="G587" s="315">
        <v>17.420000000000002</v>
      </c>
      <c r="H587" s="411">
        <f t="shared" si="145"/>
        <v>17.420000000000002</v>
      </c>
      <c r="I587" s="412">
        <f t="shared" si="146"/>
        <v>0.43</v>
      </c>
    </row>
    <row r="588" spans="1:10" s="87" customFormat="1">
      <c r="A588" s="506" t="s">
        <v>387</v>
      </c>
      <c r="B588" s="506"/>
      <c r="C588" s="506"/>
      <c r="D588" s="506"/>
      <c r="E588" s="506"/>
      <c r="F588" s="506"/>
      <c r="G588" s="506"/>
      <c r="H588" s="507"/>
      <c r="I588" s="365">
        <f>SUM(I585:I587)</f>
        <v>5.8599999999999994</v>
      </c>
    </row>
    <row r="589" spans="1:10" s="87" customFormat="1">
      <c r="A589" s="508"/>
      <c r="B589" s="508"/>
      <c r="C589" s="508"/>
      <c r="D589" s="508"/>
      <c r="E589" s="508"/>
      <c r="F589" s="508"/>
      <c r="G589" s="508"/>
      <c r="H589" s="508"/>
      <c r="I589" s="508"/>
    </row>
    <row r="590" spans="1:10" s="87" customFormat="1">
      <c r="A590" s="409">
        <v>9537</v>
      </c>
      <c r="B590" s="505" t="s">
        <v>732</v>
      </c>
      <c r="C590" s="505"/>
      <c r="D590" s="505"/>
      <c r="E590" s="505"/>
      <c r="F590" s="505"/>
      <c r="G590" s="505"/>
      <c r="H590" s="505"/>
      <c r="I590" s="410" t="str">
        <f>VLOOKUP(A590,'[1]PLANILHA ORÇAMENTÁRIA'!$B$8:$D$8000,3,FALSE)</f>
        <v>M2</v>
      </c>
      <c r="J590" s="307">
        <f>I594</f>
        <v>1.5599999999999998</v>
      </c>
    </row>
    <row r="591" spans="1:10" s="87" customFormat="1" ht="25.5" customHeight="1">
      <c r="A591" s="308" t="s">
        <v>377</v>
      </c>
      <c r="B591" s="309" t="s">
        <v>378</v>
      </c>
      <c r="C591" s="310" t="s">
        <v>25</v>
      </c>
      <c r="D591" s="310" t="s">
        <v>2</v>
      </c>
      <c r="E591" s="310" t="s">
        <v>375</v>
      </c>
      <c r="F591" s="311" t="s">
        <v>379</v>
      </c>
      <c r="G591" s="312" t="s">
        <v>316</v>
      </c>
      <c r="H591" s="312" t="s">
        <v>380</v>
      </c>
      <c r="I591" s="313" t="s">
        <v>381</v>
      </c>
    </row>
    <row r="592" spans="1:10" s="87" customFormat="1" ht="24">
      <c r="A592" s="422" t="s">
        <v>19</v>
      </c>
      <c r="B592" s="299" t="s">
        <v>385</v>
      </c>
      <c r="C592" s="299">
        <v>3</v>
      </c>
      <c r="D592" s="300" t="s">
        <v>462</v>
      </c>
      <c r="E592" s="299" t="s">
        <v>393</v>
      </c>
      <c r="F592" s="314">
        <v>0.05</v>
      </c>
      <c r="G592" s="315">
        <v>3.14</v>
      </c>
      <c r="H592" s="411">
        <f t="shared" ref="H592:H593" si="147">IF(E592="H",G592,TRUNC(G592*(1-$K$5),2))</f>
        <v>3.13</v>
      </c>
      <c r="I592" s="412">
        <f t="shared" ref="I592:I593" si="148">TRUNC(H592*F592,2)</f>
        <v>0.15</v>
      </c>
    </row>
    <row r="593" spans="1:10" s="87" customFormat="1" ht="24">
      <c r="A593" s="422" t="s">
        <v>19</v>
      </c>
      <c r="B593" s="299" t="s">
        <v>382</v>
      </c>
      <c r="C593" s="299">
        <v>88316</v>
      </c>
      <c r="D593" s="300" t="s">
        <v>384</v>
      </c>
      <c r="E593" s="299" t="s">
        <v>161</v>
      </c>
      <c r="F593" s="314">
        <v>0.10249999999999999</v>
      </c>
      <c r="G593" s="315">
        <v>13.8</v>
      </c>
      <c r="H593" s="411">
        <f t="shared" si="147"/>
        <v>13.8</v>
      </c>
      <c r="I593" s="412">
        <f t="shared" si="148"/>
        <v>1.41</v>
      </c>
    </row>
    <row r="594" spans="1:10" s="87" customFormat="1">
      <c r="A594" s="506" t="s">
        <v>387</v>
      </c>
      <c r="B594" s="506"/>
      <c r="C594" s="506"/>
      <c r="D594" s="506"/>
      <c r="E594" s="506"/>
      <c r="F594" s="506"/>
      <c r="G594" s="506"/>
      <c r="H594" s="507"/>
      <c r="I594" s="365">
        <f>SUM(I592:I593)</f>
        <v>1.5599999999999998</v>
      </c>
    </row>
    <row r="595" spans="1:10" s="87" customFormat="1">
      <c r="A595" s="508"/>
      <c r="B595" s="508"/>
      <c r="C595" s="508"/>
      <c r="D595" s="508"/>
      <c r="E595" s="508"/>
      <c r="F595" s="508"/>
      <c r="G595" s="508"/>
      <c r="H595" s="508"/>
      <c r="I595" s="508"/>
    </row>
    <row r="596" spans="1:10" s="87" customFormat="1">
      <c r="A596" s="409" t="s">
        <v>427</v>
      </c>
      <c r="B596" s="505" t="s">
        <v>741</v>
      </c>
      <c r="C596" s="505"/>
      <c r="D596" s="505"/>
      <c r="E596" s="505"/>
      <c r="F596" s="505"/>
      <c r="G596" s="505"/>
      <c r="H596" s="505"/>
      <c r="I596" s="410" t="str">
        <f>VLOOKUP(A596,'[1]PLANILHA ORÇAMENTÁRIA'!$B$8:$D$8000,3,FALSE)</f>
        <v>M2</v>
      </c>
      <c r="J596" s="307">
        <f>I605</f>
        <v>423.07000000000005</v>
      </c>
    </row>
    <row r="597" spans="1:10" s="87" customFormat="1" ht="24">
      <c r="A597" s="308" t="s">
        <v>377</v>
      </c>
      <c r="B597" s="309" t="s">
        <v>378</v>
      </c>
      <c r="C597" s="310" t="s">
        <v>25</v>
      </c>
      <c r="D597" s="310" t="s">
        <v>2</v>
      </c>
      <c r="E597" s="310" t="s">
        <v>375</v>
      </c>
      <c r="F597" s="311" t="s">
        <v>379</v>
      </c>
      <c r="G597" s="312" t="s">
        <v>316</v>
      </c>
      <c r="H597" s="312" t="s">
        <v>380</v>
      </c>
      <c r="I597" s="313" t="s">
        <v>381</v>
      </c>
    </row>
    <row r="598" spans="1:10" s="87" customFormat="1" ht="36">
      <c r="A598" s="422" t="s">
        <v>19</v>
      </c>
      <c r="B598" s="299" t="s">
        <v>385</v>
      </c>
      <c r="C598" s="299">
        <v>4417</v>
      </c>
      <c r="D598" s="300" t="s">
        <v>388</v>
      </c>
      <c r="E598" s="299" t="s">
        <v>389</v>
      </c>
      <c r="F598" s="314">
        <v>1</v>
      </c>
      <c r="G598" s="315">
        <v>4.34</v>
      </c>
      <c r="H598" s="411">
        <f t="shared" ref="H598:H604" si="149">IF(E598="H",G598,TRUNC(G598*(1-$K$5),2))</f>
        <v>4.33</v>
      </c>
      <c r="I598" s="412">
        <f t="shared" ref="I598:I604" si="150">TRUNC(H598*F598,2)</f>
        <v>4.33</v>
      </c>
    </row>
    <row r="599" spans="1:10" s="87" customFormat="1" ht="36">
      <c r="A599" s="422" t="s">
        <v>19</v>
      </c>
      <c r="B599" s="299" t="s">
        <v>385</v>
      </c>
      <c r="C599" s="299">
        <v>4491</v>
      </c>
      <c r="D599" s="300" t="s">
        <v>430</v>
      </c>
      <c r="E599" s="299" t="s">
        <v>389</v>
      </c>
      <c r="F599" s="314">
        <v>4</v>
      </c>
      <c r="G599" s="315">
        <v>2.88</v>
      </c>
      <c r="H599" s="411">
        <f t="shared" si="149"/>
        <v>2.87</v>
      </c>
      <c r="I599" s="412">
        <f t="shared" si="150"/>
        <v>11.48</v>
      </c>
    </row>
    <row r="600" spans="1:10" s="87" customFormat="1" ht="24">
      <c r="A600" s="422" t="s">
        <v>463</v>
      </c>
      <c r="B600" s="299" t="s">
        <v>464</v>
      </c>
      <c r="C600" s="299" t="s">
        <v>465</v>
      </c>
      <c r="D600" s="300" t="str">
        <f>B596</f>
        <v xml:space="preserve">PLACA DE OBRA EM CHAPA DE ACO GALVANIZADO </v>
      </c>
      <c r="E600" s="299" t="s">
        <v>376</v>
      </c>
      <c r="F600" s="314">
        <v>1</v>
      </c>
      <c r="G600" s="315">
        <v>372.9</v>
      </c>
      <c r="H600" s="411">
        <f t="shared" si="149"/>
        <v>372.71</v>
      </c>
      <c r="I600" s="412">
        <f t="shared" si="150"/>
        <v>372.71</v>
      </c>
    </row>
    <row r="601" spans="1:10" s="87" customFormat="1" ht="24">
      <c r="A601" s="422" t="s">
        <v>19</v>
      </c>
      <c r="B601" s="299" t="s">
        <v>385</v>
      </c>
      <c r="C601" s="299">
        <v>5075</v>
      </c>
      <c r="D601" s="300" t="s">
        <v>390</v>
      </c>
      <c r="E601" s="299" t="s">
        <v>386</v>
      </c>
      <c r="F601" s="314">
        <v>0.11</v>
      </c>
      <c r="G601" s="315">
        <v>9</v>
      </c>
      <c r="H601" s="411">
        <f t="shared" si="149"/>
        <v>8.99</v>
      </c>
      <c r="I601" s="412">
        <f t="shared" si="150"/>
        <v>0.98</v>
      </c>
    </row>
    <row r="602" spans="1:10" s="87" customFormat="1" ht="24">
      <c r="A602" s="422" t="s">
        <v>19</v>
      </c>
      <c r="B602" s="299" t="s">
        <v>382</v>
      </c>
      <c r="C602" s="299">
        <v>88262</v>
      </c>
      <c r="D602" s="300" t="s">
        <v>383</v>
      </c>
      <c r="E602" s="299" t="s">
        <v>161</v>
      </c>
      <c r="F602" s="314">
        <v>1</v>
      </c>
      <c r="G602" s="315">
        <v>17.16</v>
      </c>
      <c r="H602" s="411">
        <f t="shared" si="149"/>
        <v>17.16</v>
      </c>
      <c r="I602" s="412">
        <f t="shared" si="150"/>
        <v>17.16</v>
      </c>
    </row>
    <row r="603" spans="1:10" s="87" customFormat="1" ht="24">
      <c r="A603" s="422" t="s">
        <v>19</v>
      </c>
      <c r="B603" s="299" t="s">
        <v>382</v>
      </c>
      <c r="C603" s="299">
        <v>88316</v>
      </c>
      <c r="D603" s="300" t="s">
        <v>384</v>
      </c>
      <c r="E603" s="299" t="s">
        <v>161</v>
      </c>
      <c r="F603" s="314">
        <v>1</v>
      </c>
      <c r="G603" s="315">
        <v>13.8</v>
      </c>
      <c r="H603" s="411">
        <f t="shared" si="149"/>
        <v>13.8</v>
      </c>
      <c r="I603" s="412">
        <f t="shared" si="150"/>
        <v>13.8</v>
      </c>
    </row>
    <row r="604" spans="1:10" s="87" customFormat="1" ht="48">
      <c r="A604" s="422" t="s">
        <v>19</v>
      </c>
      <c r="B604" s="299" t="s">
        <v>382</v>
      </c>
      <c r="C604" s="299">
        <v>94962</v>
      </c>
      <c r="D604" s="300" t="s">
        <v>391</v>
      </c>
      <c r="E604" s="299" t="s">
        <v>392</v>
      </c>
      <c r="F604" s="314">
        <v>0.01</v>
      </c>
      <c r="G604" s="315">
        <v>262.04000000000002</v>
      </c>
      <c r="H604" s="411">
        <f t="shared" si="149"/>
        <v>261.89999999999998</v>
      </c>
      <c r="I604" s="412">
        <f t="shared" si="150"/>
        <v>2.61</v>
      </c>
    </row>
    <row r="605" spans="1:10" s="87" customFormat="1">
      <c r="A605" s="506" t="s">
        <v>387</v>
      </c>
      <c r="B605" s="506"/>
      <c r="C605" s="506"/>
      <c r="D605" s="506"/>
      <c r="E605" s="506"/>
      <c r="F605" s="506"/>
      <c r="G605" s="506"/>
      <c r="H605" s="507"/>
      <c r="I605" s="365">
        <f>SUM(I598:I604)</f>
        <v>423.07000000000005</v>
      </c>
    </row>
    <row r="606" spans="1:10" s="87" customFormat="1">
      <c r="A606" s="508"/>
      <c r="B606" s="508"/>
      <c r="C606" s="508"/>
      <c r="D606" s="508"/>
      <c r="E606" s="508"/>
      <c r="F606" s="508"/>
      <c r="G606" s="508"/>
      <c r="H606" s="508"/>
      <c r="I606" s="508"/>
    </row>
  </sheetData>
  <mergeCells count="237">
    <mergeCell ref="B562:H562"/>
    <mergeCell ref="A566:H566"/>
    <mergeCell ref="A567:I567"/>
    <mergeCell ref="B568:H568"/>
    <mergeCell ref="A574:H574"/>
    <mergeCell ref="A575:I575"/>
    <mergeCell ref="B576:H576"/>
    <mergeCell ref="A581:H581"/>
    <mergeCell ref="A606:I606"/>
    <mergeCell ref="A582:I582"/>
    <mergeCell ref="B583:H583"/>
    <mergeCell ref="A588:H588"/>
    <mergeCell ref="A589:I589"/>
    <mergeCell ref="B590:H590"/>
    <mergeCell ref="A594:H594"/>
    <mergeCell ref="A595:I595"/>
    <mergeCell ref="B596:H596"/>
    <mergeCell ref="A605:H605"/>
    <mergeCell ref="B540:H540"/>
    <mergeCell ref="A550:H550"/>
    <mergeCell ref="A551:I551"/>
    <mergeCell ref="B552:H552"/>
    <mergeCell ref="A555:H555"/>
    <mergeCell ref="A556:I556"/>
    <mergeCell ref="B557:H557"/>
    <mergeCell ref="A560:H560"/>
    <mergeCell ref="A561:I561"/>
    <mergeCell ref="B516:H516"/>
    <mergeCell ref="A522:H522"/>
    <mergeCell ref="A523:I523"/>
    <mergeCell ref="B524:H524"/>
    <mergeCell ref="A531:H531"/>
    <mergeCell ref="A532:I532"/>
    <mergeCell ref="B533:H533"/>
    <mergeCell ref="A538:H538"/>
    <mergeCell ref="A539:I539"/>
    <mergeCell ref="B494:H494"/>
    <mergeCell ref="A497:H497"/>
    <mergeCell ref="A498:I498"/>
    <mergeCell ref="B499:H499"/>
    <mergeCell ref="A507:H507"/>
    <mergeCell ref="A508:I508"/>
    <mergeCell ref="B509:H509"/>
    <mergeCell ref="A514:H514"/>
    <mergeCell ref="A515:I515"/>
    <mergeCell ref="B465:H465"/>
    <mergeCell ref="A473:H473"/>
    <mergeCell ref="A474:I474"/>
    <mergeCell ref="B475:H475"/>
    <mergeCell ref="A483:H483"/>
    <mergeCell ref="A484:I484"/>
    <mergeCell ref="B485:H485"/>
    <mergeCell ref="A492:H492"/>
    <mergeCell ref="A493:I493"/>
    <mergeCell ref="B438:H438"/>
    <mergeCell ref="A445:H445"/>
    <mergeCell ref="A446:I446"/>
    <mergeCell ref="B447:H447"/>
    <mergeCell ref="A454:H454"/>
    <mergeCell ref="A455:I455"/>
    <mergeCell ref="B456:H456"/>
    <mergeCell ref="A463:H463"/>
    <mergeCell ref="A464:I464"/>
    <mergeCell ref="B410:H410"/>
    <mergeCell ref="A418:H418"/>
    <mergeCell ref="A419:I419"/>
    <mergeCell ref="B420:H420"/>
    <mergeCell ref="A428:H428"/>
    <mergeCell ref="A429:I429"/>
    <mergeCell ref="B430:H430"/>
    <mergeCell ref="A436:H436"/>
    <mergeCell ref="A437:I437"/>
    <mergeCell ref="A390:H390"/>
    <mergeCell ref="A391:I391"/>
    <mergeCell ref="A395:H395"/>
    <mergeCell ref="A396:I396"/>
    <mergeCell ref="B397:H397"/>
    <mergeCell ref="A403:H403"/>
    <mergeCell ref="A404:I404"/>
    <mergeCell ref="B405:H405"/>
    <mergeCell ref="A409:I409"/>
    <mergeCell ref="A373:H373"/>
    <mergeCell ref="A374:I374"/>
    <mergeCell ref="B375:H375"/>
    <mergeCell ref="A379:H379"/>
    <mergeCell ref="A380:I380"/>
    <mergeCell ref="B381:H381"/>
    <mergeCell ref="A385:H385"/>
    <mergeCell ref="A386:I386"/>
    <mergeCell ref="B387:H387"/>
    <mergeCell ref="A358:H358"/>
    <mergeCell ref="A359:I359"/>
    <mergeCell ref="B360:H360"/>
    <mergeCell ref="A363:H363"/>
    <mergeCell ref="A364:I364"/>
    <mergeCell ref="B365:H365"/>
    <mergeCell ref="A368:H368"/>
    <mergeCell ref="A369:I369"/>
    <mergeCell ref="B370:H370"/>
    <mergeCell ref="A325:I325"/>
    <mergeCell ref="B326:H326"/>
    <mergeCell ref="A329:H329"/>
    <mergeCell ref="A330:I330"/>
    <mergeCell ref="B331:H331"/>
    <mergeCell ref="A338:H338"/>
    <mergeCell ref="A339:I339"/>
    <mergeCell ref="B340:H340"/>
    <mergeCell ref="A354:I354"/>
    <mergeCell ref="B350:H350"/>
    <mergeCell ref="A353:H353"/>
    <mergeCell ref="A305:I305"/>
    <mergeCell ref="B306:H306"/>
    <mergeCell ref="A309:H309"/>
    <mergeCell ref="A310:I310"/>
    <mergeCell ref="B311:H311"/>
    <mergeCell ref="A319:H319"/>
    <mergeCell ref="A320:I320"/>
    <mergeCell ref="B321:H321"/>
    <mergeCell ref="A324:H324"/>
    <mergeCell ref="A274:H274"/>
    <mergeCell ref="A275:I275"/>
    <mergeCell ref="B276:H276"/>
    <mergeCell ref="A284:H284"/>
    <mergeCell ref="A285:I285"/>
    <mergeCell ref="A270:I270"/>
    <mergeCell ref="B271:H271"/>
    <mergeCell ref="A269:H269"/>
    <mergeCell ref="A304:H304"/>
    <mergeCell ref="K1:K4"/>
    <mergeCell ref="L1:O1"/>
    <mergeCell ref="L2:L3"/>
    <mergeCell ref="M2:M3"/>
    <mergeCell ref="N2:O2"/>
    <mergeCell ref="B3:I3"/>
    <mergeCell ref="A42:I42"/>
    <mergeCell ref="A41:H41"/>
    <mergeCell ref="B33:H33"/>
    <mergeCell ref="A1:I2"/>
    <mergeCell ref="B43:H43"/>
    <mergeCell ref="L5:O5"/>
    <mergeCell ref="B6:H6"/>
    <mergeCell ref="B7:H7"/>
    <mergeCell ref="A15:H15"/>
    <mergeCell ref="A16:I16"/>
    <mergeCell ref="B17:H17"/>
    <mergeCell ref="A20:H20"/>
    <mergeCell ref="A21:I21"/>
    <mergeCell ref="B22:H22"/>
    <mergeCell ref="A31:H31"/>
    <mergeCell ref="A32:I32"/>
    <mergeCell ref="A50:H50"/>
    <mergeCell ref="A51:I51"/>
    <mergeCell ref="B52:H52"/>
    <mergeCell ref="A57:H57"/>
    <mergeCell ref="A86:H86"/>
    <mergeCell ref="A87:I87"/>
    <mergeCell ref="A95:I95"/>
    <mergeCell ref="B88:H88"/>
    <mergeCell ref="B96:H96"/>
    <mergeCell ref="A94:H94"/>
    <mergeCell ref="A82:I82"/>
    <mergeCell ref="B83:H83"/>
    <mergeCell ref="A58:I58"/>
    <mergeCell ref="B59:H59"/>
    <mergeCell ref="A64:H64"/>
    <mergeCell ref="A65:I65"/>
    <mergeCell ref="B66:H66"/>
    <mergeCell ref="A72:H72"/>
    <mergeCell ref="A73:I73"/>
    <mergeCell ref="B74:H74"/>
    <mergeCell ref="A81:H81"/>
    <mergeCell ref="A104:H104"/>
    <mergeCell ref="A105:I105"/>
    <mergeCell ref="B106:H106"/>
    <mergeCell ref="A112:H112"/>
    <mergeCell ref="A113:I113"/>
    <mergeCell ref="B114:H114"/>
    <mergeCell ref="A121:H121"/>
    <mergeCell ref="A122:I122"/>
    <mergeCell ref="B123:H123"/>
    <mergeCell ref="A130:H130"/>
    <mergeCell ref="A131:I131"/>
    <mergeCell ref="B132:H132"/>
    <mergeCell ref="A138:H138"/>
    <mergeCell ref="A139:I139"/>
    <mergeCell ref="B140:H140"/>
    <mergeCell ref="A146:H146"/>
    <mergeCell ref="A147:I147"/>
    <mergeCell ref="B148:H148"/>
    <mergeCell ref="A205:I205"/>
    <mergeCell ref="A214:H214"/>
    <mergeCell ref="B231:H231"/>
    <mergeCell ref="A159:H159"/>
    <mergeCell ref="A184:H184"/>
    <mergeCell ref="B178:H178"/>
    <mergeCell ref="B186:H186"/>
    <mergeCell ref="A177:I177"/>
    <mergeCell ref="A176:H176"/>
    <mergeCell ref="A160:I160"/>
    <mergeCell ref="B161:H161"/>
    <mergeCell ref="A169:H169"/>
    <mergeCell ref="A170:I170"/>
    <mergeCell ref="B171:H171"/>
    <mergeCell ref="A215:I215"/>
    <mergeCell ref="A221:H221"/>
    <mergeCell ref="A222:I222"/>
    <mergeCell ref="B223:H223"/>
    <mergeCell ref="B196:H196"/>
    <mergeCell ref="B206:H206"/>
    <mergeCell ref="A185:I185"/>
    <mergeCell ref="A194:H194"/>
    <mergeCell ref="A195:I195"/>
    <mergeCell ref="A204:H204"/>
    <mergeCell ref="B355:H355"/>
    <mergeCell ref="B216:H216"/>
    <mergeCell ref="A229:H229"/>
    <mergeCell ref="A230:I230"/>
    <mergeCell ref="B392:H392"/>
    <mergeCell ref="A408:H408"/>
    <mergeCell ref="B301:H301"/>
    <mergeCell ref="B286:H286"/>
    <mergeCell ref="A294:H294"/>
    <mergeCell ref="A295:I295"/>
    <mergeCell ref="B296:H296"/>
    <mergeCell ref="A299:H299"/>
    <mergeCell ref="A300:I300"/>
    <mergeCell ref="A348:H348"/>
    <mergeCell ref="A349:I349"/>
    <mergeCell ref="A239:H239"/>
    <mergeCell ref="A240:I240"/>
    <mergeCell ref="B241:H241"/>
    <mergeCell ref="A249:H249"/>
    <mergeCell ref="A250:I250"/>
    <mergeCell ref="B251:H251"/>
    <mergeCell ref="A259:H259"/>
    <mergeCell ref="A260:I260"/>
    <mergeCell ref="B261:H261"/>
  </mergeCells>
  <printOptions horizontalCentered="1"/>
  <pageMargins left="0.51181102362204722" right="0.51181102362204722" top="1.3779527559055118" bottom="0.78740157480314965" header="0.31496062992125984" footer="0.31496062992125984"/>
  <pageSetup paperSize="9" scale="76" orientation="portrait" r:id="rId1"/>
  <headerFooter>
    <oddHeader>&amp;C&amp;G</oddHeader>
    <oddFooter>&amp;C&amp;12&amp;G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85" zoomScaleNormal="100" zoomScaleSheetLayoutView="85" workbookViewId="0">
      <selection activeCell="E40" sqref="E40"/>
    </sheetView>
  </sheetViews>
  <sheetFormatPr defaultRowHeight="15"/>
  <cols>
    <col min="1" max="1" width="9.85546875" style="166" customWidth="1"/>
    <col min="2" max="2" width="49.7109375" style="166" customWidth="1"/>
    <col min="3" max="3" width="5.7109375" style="166" bestFit="1" customWidth="1"/>
    <col min="4" max="8" width="16.5703125" style="166" bestFit="1" customWidth="1"/>
    <col min="9" max="9" width="18.7109375" style="166" bestFit="1" customWidth="1"/>
    <col min="10" max="16384" width="9.140625" style="166"/>
  </cols>
  <sheetData>
    <row r="1" spans="1:9">
      <c r="A1" s="459" t="str">
        <f>'CADERNO DE COMPOSIÇÕES'!A3</f>
        <v>Obra:</v>
      </c>
      <c r="B1" s="525" t="str">
        <f>'CADERNO DE COMPOSIÇÕES'!B3:I3</f>
        <v>Construção de 36 Módulos de Melhorias Sanitárias Domiciliares (MSD)</v>
      </c>
      <c r="C1" s="525"/>
      <c r="D1" s="525"/>
      <c r="E1" s="525"/>
      <c r="F1" s="525"/>
      <c r="G1" s="525"/>
      <c r="H1" s="525"/>
      <c r="I1" s="526"/>
    </row>
    <row r="2" spans="1:9">
      <c r="A2" s="460" t="str">
        <f>'CADERNO DE COMPOSIÇÕES'!A5</f>
        <v>Ref:</v>
      </c>
      <c r="B2" s="372" t="str">
        <f>'CADERNO DE COMPOSIÇÕES'!B5</f>
        <v>Sinapi 09/2018 - Desonerado</v>
      </c>
      <c r="C2" s="372"/>
      <c r="D2" s="371"/>
      <c r="E2" s="371"/>
      <c r="F2" s="371"/>
      <c r="G2" s="371"/>
      <c r="H2" s="371"/>
      <c r="I2" s="373"/>
    </row>
    <row r="3" spans="1:9">
      <c r="A3" s="532" t="s">
        <v>67</v>
      </c>
      <c r="B3" s="532"/>
      <c r="C3" s="532"/>
      <c r="D3" s="532"/>
      <c r="E3" s="532"/>
      <c r="F3" s="532"/>
      <c r="G3" s="532"/>
      <c r="H3" s="532"/>
      <c r="I3" s="532"/>
    </row>
    <row r="4" spans="1:9">
      <c r="A4" s="376" t="s">
        <v>1</v>
      </c>
      <c r="B4" s="527" t="s">
        <v>68</v>
      </c>
      <c r="C4" s="527"/>
      <c r="D4" s="527"/>
      <c r="E4" s="527" t="s">
        <v>69</v>
      </c>
      <c r="F4" s="527"/>
      <c r="G4" s="527"/>
      <c r="H4" s="527"/>
      <c r="I4" s="527"/>
    </row>
    <row r="5" spans="1:9">
      <c r="A5" s="346"/>
      <c r="B5" s="461"/>
      <c r="C5" s="461"/>
      <c r="D5" s="346"/>
      <c r="E5" s="347">
        <v>1</v>
      </c>
      <c r="F5" s="347">
        <v>2</v>
      </c>
      <c r="G5" s="376">
        <v>3</v>
      </c>
      <c r="H5" s="376">
        <v>4</v>
      </c>
      <c r="I5" s="347" t="s">
        <v>18</v>
      </c>
    </row>
    <row r="6" spans="1:9">
      <c r="A6" s="527">
        <v>1</v>
      </c>
      <c r="B6" s="531" t="str">
        <f>'PLANILHA ORÇAMENTÁRIA'!B2:H2</f>
        <v>Construção de 36 Módulos de Melhorias Sanitárias Domiciliares (MSD)</v>
      </c>
      <c r="C6" s="462" t="s">
        <v>823</v>
      </c>
      <c r="D6" s="348">
        <f>D8/$D$15</f>
        <v>2.7594222880423562E-2</v>
      </c>
      <c r="E6" s="463">
        <v>10</v>
      </c>
      <c r="F6" s="463">
        <v>10</v>
      </c>
      <c r="G6" s="463">
        <v>10</v>
      </c>
      <c r="H6" s="463">
        <v>6</v>
      </c>
      <c r="I6" s="463">
        <f>SUM(E6:H6)</f>
        <v>36</v>
      </c>
    </row>
    <row r="7" spans="1:9" ht="7.5" customHeight="1">
      <c r="A7" s="527"/>
      <c r="B7" s="529"/>
      <c r="C7" s="523">
        <v>36</v>
      </c>
      <c r="D7" s="349"/>
      <c r="E7" s="350"/>
      <c r="F7" s="350"/>
      <c r="G7" s="350"/>
      <c r="H7" s="350"/>
      <c r="I7" s="350"/>
    </row>
    <row r="8" spans="1:9">
      <c r="A8" s="527"/>
      <c r="B8" s="530"/>
      <c r="C8" s="524"/>
      <c r="D8" s="351">
        <f>'PLANILHA ORÇAMENTÁRIA'!G175</f>
        <v>13769.6</v>
      </c>
      <c r="E8" s="352">
        <f>$D$8*E6</f>
        <v>137696</v>
      </c>
      <c r="F8" s="352">
        <f>$D$8*F6</f>
        <v>137696</v>
      </c>
      <c r="G8" s="352">
        <f>$D$8*G6</f>
        <v>137696</v>
      </c>
      <c r="H8" s="352">
        <f>$D$8*H6</f>
        <v>82617.600000000006</v>
      </c>
      <c r="I8" s="353">
        <f>SUM(E8:H8)</f>
        <v>495705.59999999998</v>
      </c>
    </row>
    <row r="9" spans="1:9">
      <c r="A9" s="527">
        <v>2</v>
      </c>
      <c r="B9" s="528" t="str">
        <f>'PLANILHA ORÇAMENTÁRIA'!C178</f>
        <v xml:space="preserve">PLACA DE OBRA EM CHAPA DE ACO GALVANIZADO </v>
      </c>
      <c r="C9" s="462" t="s">
        <v>823</v>
      </c>
      <c r="D9" s="348">
        <f>D11/$D$15</f>
        <v>6.6079763047516742E-3</v>
      </c>
      <c r="E9" s="463">
        <v>1</v>
      </c>
      <c r="F9" s="463">
        <v>0</v>
      </c>
      <c r="G9" s="463">
        <v>0</v>
      </c>
      <c r="H9" s="463">
        <v>0</v>
      </c>
      <c r="I9" s="463">
        <f>SUM(E9:G9)</f>
        <v>1</v>
      </c>
    </row>
    <row r="10" spans="1:9" ht="7.5" customHeight="1">
      <c r="A10" s="527"/>
      <c r="B10" s="529"/>
      <c r="C10" s="523">
        <v>1</v>
      </c>
      <c r="D10" s="349"/>
      <c r="E10" s="350"/>
      <c r="F10" s="350"/>
      <c r="G10" s="350"/>
      <c r="H10" s="350"/>
      <c r="I10" s="350"/>
    </row>
    <row r="11" spans="1:9">
      <c r="A11" s="527"/>
      <c r="B11" s="530"/>
      <c r="C11" s="524"/>
      <c r="D11" s="351">
        <f>'PLANILHA ORÇAMENTÁRIA'!G181</f>
        <v>3297.4</v>
      </c>
      <c r="E11" s="352">
        <f>D11*E9</f>
        <v>3297.4</v>
      </c>
      <c r="F11" s="352">
        <f>D11*F9</f>
        <v>0</v>
      </c>
      <c r="G11" s="352">
        <f t="shared" ref="G11:H11" si="0">D11*G9</f>
        <v>0</v>
      </c>
      <c r="H11" s="352">
        <f t="shared" si="0"/>
        <v>0</v>
      </c>
      <c r="I11" s="353">
        <f>SUM(E11:G11)</f>
        <v>3297.4</v>
      </c>
    </row>
    <row r="12" spans="1:9">
      <c r="A12" s="354" t="s">
        <v>78</v>
      </c>
      <c r="B12" s="354"/>
      <c r="C12" s="354"/>
      <c r="D12" s="359">
        <f>D11+D8</f>
        <v>17067</v>
      </c>
      <c r="E12" s="356">
        <f>E14/$D$15</f>
        <v>0.28255020510898726</v>
      </c>
      <c r="F12" s="356">
        <f>F14/$D$15</f>
        <v>0.27594222880423563</v>
      </c>
      <c r="G12" s="356">
        <f>G14/$D$15</f>
        <v>0.27594222880423563</v>
      </c>
      <c r="H12" s="356">
        <f>H14/$D$15</f>
        <v>0.16556533728254139</v>
      </c>
      <c r="I12" s="357"/>
    </row>
    <row r="13" spans="1:9">
      <c r="A13" s="354" t="s">
        <v>79</v>
      </c>
      <c r="B13" s="354"/>
      <c r="C13" s="354"/>
      <c r="D13" s="359">
        <f>D11+D8</f>
        <v>17067</v>
      </c>
      <c r="E13" s="355">
        <f>SUM(E12)</f>
        <v>0.28255020510898726</v>
      </c>
      <c r="F13" s="355">
        <f t="shared" ref="F13:H13" si="1">E13+F12</f>
        <v>0.5584924339132229</v>
      </c>
      <c r="G13" s="355">
        <f t="shared" si="1"/>
        <v>0.83443466271745859</v>
      </c>
      <c r="H13" s="355">
        <f t="shared" si="1"/>
        <v>1</v>
      </c>
      <c r="I13" s="358"/>
    </row>
    <row r="14" spans="1:9">
      <c r="A14" s="354" t="s">
        <v>80</v>
      </c>
      <c r="B14" s="354"/>
      <c r="C14" s="354"/>
      <c r="D14" s="359">
        <f>'PLANILHA ORÇAMENTÁRIA'!G182</f>
        <v>499003.00000000006</v>
      </c>
      <c r="E14" s="359">
        <f>E11+E8</f>
        <v>140993.4</v>
      </c>
      <c r="F14" s="359">
        <f t="shared" ref="F14:H14" si="2">F11+F8</f>
        <v>137696</v>
      </c>
      <c r="G14" s="359">
        <f t="shared" si="2"/>
        <v>137696</v>
      </c>
      <c r="H14" s="359">
        <f t="shared" si="2"/>
        <v>82617.600000000006</v>
      </c>
      <c r="I14" s="359">
        <f>I11+I8</f>
        <v>499003</v>
      </c>
    </row>
    <row r="15" spans="1:9">
      <c r="A15" s="354" t="s">
        <v>81</v>
      </c>
      <c r="B15" s="354"/>
      <c r="C15" s="354"/>
      <c r="D15" s="360">
        <f>D14</f>
        <v>499003.00000000006</v>
      </c>
      <c r="E15" s="359">
        <f>E14</f>
        <v>140993.4</v>
      </c>
      <c r="F15" s="359">
        <f t="shared" ref="F15:H15" si="3">F14+E15</f>
        <v>278689.40000000002</v>
      </c>
      <c r="G15" s="359">
        <f t="shared" si="3"/>
        <v>416385.4</v>
      </c>
      <c r="H15" s="359">
        <f t="shared" si="3"/>
        <v>499003</v>
      </c>
      <c r="I15" s="361"/>
    </row>
    <row r="16" spans="1:9">
      <c r="I16" s="362"/>
    </row>
    <row r="17" spans="9:9">
      <c r="I17" s="363"/>
    </row>
  </sheetData>
  <mergeCells count="10">
    <mergeCell ref="C7:C8"/>
    <mergeCell ref="C10:C11"/>
    <mergeCell ref="B1:I1"/>
    <mergeCell ref="A9:A11"/>
    <mergeCell ref="B9:B11"/>
    <mergeCell ref="A6:A8"/>
    <mergeCell ref="B6:B8"/>
    <mergeCell ref="A3:I3"/>
    <mergeCell ref="B4:D4"/>
    <mergeCell ref="E4:I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70" orientation="landscape" r:id="rId1"/>
  <headerFooter>
    <oddHeader>&amp;C&amp;G</oddHeader>
    <oddFooter>&amp;C&amp;12&amp;G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topLeftCell="A7" zoomScaleNormal="100" zoomScaleSheetLayoutView="100" workbookViewId="0">
      <selection activeCell="H31" sqref="H31"/>
    </sheetView>
  </sheetViews>
  <sheetFormatPr defaultRowHeight="15"/>
  <cols>
    <col min="1" max="1" width="36.140625" customWidth="1"/>
    <col min="2" max="2" width="26.5703125" customWidth="1"/>
    <col min="3" max="3" width="15.28515625" customWidth="1"/>
  </cols>
  <sheetData>
    <row r="1" spans="1:5" ht="15.75" thickBot="1">
      <c r="A1" s="535" t="s">
        <v>409</v>
      </c>
      <c r="B1" s="536"/>
      <c r="C1" s="537"/>
    </row>
    <row r="2" spans="1:5">
      <c r="A2" s="538" t="s">
        <v>410</v>
      </c>
      <c r="B2" s="539"/>
      <c r="C2" s="316" t="s">
        <v>411</v>
      </c>
    </row>
    <row r="3" spans="1:5">
      <c r="A3" s="317" t="s">
        <v>412</v>
      </c>
      <c r="B3" s="318"/>
      <c r="C3" s="319">
        <v>3.4299999999999997E-2</v>
      </c>
    </row>
    <row r="4" spans="1:5">
      <c r="A4" s="317" t="s">
        <v>413</v>
      </c>
      <c r="B4" s="318"/>
      <c r="C4" s="319">
        <v>9.7000000000000003E-3</v>
      </c>
    </row>
    <row r="5" spans="1:5">
      <c r="A5" s="317" t="s">
        <v>414</v>
      </c>
      <c r="B5" s="318"/>
      <c r="C5" s="319">
        <v>0.01</v>
      </c>
    </row>
    <row r="6" spans="1:5">
      <c r="A6" s="317" t="s">
        <v>415</v>
      </c>
      <c r="B6" s="540"/>
      <c r="C6" s="319">
        <v>4.0000000000000001E-3</v>
      </c>
    </row>
    <row r="7" spans="1:5">
      <c r="A7" s="320" t="s">
        <v>416</v>
      </c>
      <c r="B7" s="541"/>
      <c r="C7" s="321">
        <v>4.0000000000000001E-3</v>
      </c>
    </row>
    <row r="8" spans="1:5" ht="15.75" thickBot="1">
      <c r="A8" s="322"/>
      <c r="B8" s="323" t="s">
        <v>417</v>
      </c>
      <c r="C8" s="324">
        <f>SUM(C3:C7)</f>
        <v>6.2E-2</v>
      </c>
    </row>
    <row r="9" spans="1:5" ht="15.75" thickTop="1">
      <c r="A9" s="317"/>
      <c r="B9" s="325"/>
      <c r="C9" s="326"/>
    </row>
    <row r="10" spans="1:5">
      <c r="A10" s="533" t="s">
        <v>418</v>
      </c>
      <c r="B10" s="534"/>
      <c r="C10" s="327" t="s">
        <v>411</v>
      </c>
    </row>
    <row r="11" spans="1:5">
      <c r="A11" s="328" t="s">
        <v>419</v>
      </c>
      <c r="B11" s="329"/>
      <c r="C11" s="330">
        <v>6.1800000000000001E-2</v>
      </c>
    </row>
    <row r="12" spans="1:5" ht="15.75" thickBot="1">
      <c r="A12" s="322"/>
      <c r="B12" s="323" t="s">
        <v>417</v>
      </c>
      <c r="C12" s="324">
        <f>SUM(C11)</f>
        <v>6.1800000000000001E-2</v>
      </c>
      <c r="E12">
        <v>19.52</v>
      </c>
    </row>
    <row r="13" spans="1:5" ht="15.75" thickTop="1">
      <c r="A13" s="317"/>
      <c r="B13" s="331"/>
      <c r="C13" s="332"/>
    </row>
    <row r="14" spans="1:5">
      <c r="A14" s="533" t="s">
        <v>420</v>
      </c>
      <c r="B14" s="534"/>
      <c r="C14" s="327" t="s">
        <v>411</v>
      </c>
    </row>
    <row r="15" spans="1:5">
      <c r="A15" s="333" t="s">
        <v>421</v>
      </c>
      <c r="B15" s="331"/>
      <c r="C15" s="319">
        <v>6.4999999999999997E-3</v>
      </c>
    </row>
    <row r="16" spans="1:5">
      <c r="A16" s="333" t="s">
        <v>422</v>
      </c>
      <c r="B16" s="331"/>
      <c r="C16" s="319">
        <v>0.03</v>
      </c>
    </row>
    <row r="17" spans="1:3">
      <c r="A17" s="334" t="s">
        <v>423</v>
      </c>
      <c r="B17" s="335"/>
      <c r="C17" s="336">
        <v>0.05</v>
      </c>
    </row>
    <row r="18" spans="1:3">
      <c r="A18" s="317" t="s">
        <v>424</v>
      </c>
      <c r="B18" s="331"/>
      <c r="C18" s="319">
        <v>4.4999999999999998E-2</v>
      </c>
    </row>
    <row r="19" spans="1:3" ht="15.75" thickBot="1">
      <c r="A19" s="337"/>
      <c r="B19" s="338" t="s">
        <v>417</v>
      </c>
      <c r="C19" s="339">
        <f>SUM(C15:C18)</f>
        <v>0.13150000000000001</v>
      </c>
    </row>
    <row r="20" spans="1:3" ht="15.75" thickTop="1">
      <c r="A20" s="317"/>
      <c r="B20" s="331"/>
      <c r="C20" s="332"/>
    </row>
    <row r="21" spans="1:3" ht="15.75">
      <c r="A21" s="340" t="s">
        <v>17</v>
      </c>
      <c r="B21" s="341"/>
      <c r="C21" s="342">
        <f>ROUND((((1+C3+C6+C5+C7)*(1+C4)*(1+C11)/((1-C19)))-1),4)</f>
        <v>0.29899999999999999</v>
      </c>
    </row>
    <row r="22" spans="1:3">
      <c r="A22" s="343"/>
      <c r="B22" s="331"/>
      <c r="C22" s="344"/>
    </row>
    <row r="23" spans="1:3">
      <c r="A23" s="345"/>
      <c r="B23" s="345"/>
      <c r="C23" s="345"/>
    </row>
    <row r="24" spans="1:3">
      <c r="A24" s="345"/>
      <c r="B24" s="345"/>
      <c r="C24" s="345"/>
    </row>
  </sheetData>
  <mergeCells count="5">
    <mergeCell ref="A14:B14"/>
    <mergeCell ref="A1:C1"/>
    <mergeCell ref="A2:B2"/>
    <mergeCell ref="B6:B7"/>
    <mergeCell ref="A10:B10"/>
  </mergeCells>
  <printOptions horizontalCentered="1"/>
  <pageMargins left="0.51181102362204722" right="0.51181102362204722" top="1.3779527559055118" bottom="0.78740157480314965" header="0.31496062992125984" footer="0.31496062992125984"/>
  <pageSetup paperSize="9" orientation="portrait" r:id="rId1"/>
  <headerFooter>
    <oddHeader>&amp;C&amp;G</oddHeader>
    <oddFooter>&amp;C&amp;12&amp;G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>
      <selection activeCell="D20" sqref="D20"/>
    </sheetView>
  </sheetViews>
  <sheetFormatPr defaultRowHeight="15"/>
  <cols>
    <col min="1" max="1" width="8.28515625" bestFit="1" customWidth="1"/>
    <col min="2" max="2" width="9.5703125" customWidth="1"/>
    <col min="3" max="3" width="24.140625" style="474" customWidth="1"/>
    <col min="4" max="4" width="9" bestFit="1" customWidth="1"/>
    <col min="5" max="5" width="12.7109375" bestFit="1" customWidth="1"/>
    <col min="6" max="6" width="9" bestFit="1" customWidth="1"/>
    <col min="8" max="8" width="9" customWidth="1"/>
  </cols>
  <sheetData>
    <row r="1" spans="1:8" ht="15.75" thickBot="1">
      <c r="A1" s="542" t="s">
        <v>824</v>
      </c>
      <c r="B1" s="543"/>
      <c r="C1" s="543"/>
      <c r="D1" s="543"/>
      <c r="E1" s="543"/>
      <c r="F1" s="543"/>
      <c r="G1" s="543"/>
      <c r="H1" s="544"/>
    </row>
    <row r="2" spans="1:8">
      <c r="A2" s="545" t="s">
        <v>25</v>
      </c>
      <c r="B2" s="545" t="s">
        <v>2</v>
      </c>
      <c r="C2" s="545"/>
      <c r="D2" s="547" t="s">
        <v>428</v>
      </c>
      <c r="E2" s="548"/>
      <c r="F2" s="549" t="s">
        <v>825</v>
      </c>
      <c r="G2" s="549"/>
      <c r="H2" s="549"/>
    </row>
    <row r="3" spans="1:8" ht="25.5">
      <c r="A3" s="546"/>
      <c r="B3" s="546"/>
      <c r="C3" s="546"/>
      <c r="D3" s="464" t="s">
        <v>397</v>
      </c>
      <c r="E3" s="464" t="s">
        <v>398</v>
      </c>
      <c r="F3" s="464" t="s">
        <v>397</v>
      </c>
      <c r="G3" s="550" t="s">
        <v>398</v>
      </c>
      <c r="H3" s="550"/>
    </row>
    <row r="4" spans="1:8">
      <c r="A4" s="551" t="s">
        <v>26</v>
      </c>
      <c r="B4" s="551"/>
      <c r="C4" s="551"/>
      <c r="D4" s="551"/>
      <c r="E4" s="551"/>
      <c r="F4" s="551"/>
      <c r="G4" s="551"/>
      <c r="H4" s="551"/>
    </row>
    <row r="5" spans="1:8">
      <c r="A5" s="465" t="s">
        <v>399</v>
      </c>
      <c r="B5" s="552" t="s">
        <v>27</v>
      </c>
      <c r="C5" s="552"/>
      <c r="D5" s="466">
        <v>0</v>
      </c>
      <c r="E5" s="466">
        <v>0</v>
      </c>
      <c r="F5" s="466">
        <v>0.2</v>
      </c>
      <c r="G5" s="553">
        <v>0.2</v>
      </c>
      <c r="H5" s="553"/>
    </row>
    <row r="6" spans="1:8">
      <c r="A6" s="465" t="s">
        <v>28</v>
      </c>
      <c r="B6" s="552" t="s">
        <v>826</v>
      </c>
      <c r="C6" s="552"/>
      <c r="D6" s="466">
        <v>1.4999999999999999E-2</v>
      </c>
      <c r="E6" s="466">
        <v>1.4999999999999999E-2</v>
      </c>
      <c r="F6" s="466">
        <v>1.4999999999999999E-2</v>
      </c>
      <c r="G6" s="553">
        <v>1.4999999999999999E-2</v>
      </c>
      <c r="H6" s="553"/>
    </row>
    <row r="7" spans="1:8">
      <c r="A7" s="465" t="s">
        <v>29</v>
      </c>
      <c r="B7" s="552" t="s">
        <v>30</v>
      </c>
      <c r="C7" s="552"/>
      <c r="D7" s="466">
        <v>0.01</v>
      </c>
      <c r="E7" s="466">
        <v>0.01</v>
      </c>
      <c r="F7" s="466">
        <v>0.01</v>
      </c>
      <c r="G7" s="553">
        <v>0.01</v>
      </c>
      <c r="H7" s="553"/>
    </row>
    <row r="8" spans="1:8">
      <c r="A8" s="465" t="s">
        <v>31</v>
      </c>
      <c r="B8" s="552" t="s">
        <v>827</v>
      </c>
      <c r="C8" s="552"/>
      <c r="D8" s="466">
        <v>2E-3</v>
      </c>
      <c r="E8" s="466">
        <v>2E-3</v>
      </c>
      <c r="F8" s="466">
        <v>2E-3</v>
      </c>
      <c r="G8" s="553">
        <v>2E-3</v>
      </c>
      <c r="H8" s="553"/>
    </row>
    <row r="9" spans="1:8">
      <c r="A9" s="465" t="s">
        <v>32</v>
      </c>
      <c r="B9" s="552" t="s">
        <v>828</v>
      </c>
      <c r="C9" s="552"/>
      <c r="D9" s="466">
        <v>6.0000000000000001E-3</v>
      </c>
      <c r="E9" s="466">
        <v>6.0000000000000001E-3</v>
      </c>
      <c r="F9" s="466">
        <v>6.0000000000000001E-3</v>
      </c>
      <c r="G9" s="553">
        <v>6.0000000000000001E-3</v>
      </c>
      <c r="H9" s="553"/>
    </row>
    <row r="10" spans="1:8">
      <c r="A10" s="465" t="s">
        <v>400</v>
      </c>
      <c r="B10" s="552" t="s">
        <v>829</v>
      </c>
      <c r="C10" s="552"/>
      <c r="D10" s="466">
        <v>2.5000000000000001E-2</v>
      </c>
      <c r="E10" s="466">
        <v>2.5000000000000001E-2</v>
      </c>
      <c r="F10" s="466">
        <v>2.5000000000000001E-2</v>
      </c>
      <c r="G10" s="553">
        <v>2.5000000000000001E-2</v>
      </c>
      <c r="H10" s="553"/>
    </row>
    <row r="11" spans="1:8">
      <c r="A11" s="465" t="s">
        <v>33</v>
      </c>
      <c r="B11" s="552" t="s">
        <v>34</v>
      </c>
      <c r="C11" s="552"/>
      <c r="D11" s="466">
        <v>0.03</v>
      </c>
      <c r="E11" s="466">
        <v>0.03</v>
      </c>
      <c r="F11" s="467">
        <v>0.03</v>
      </c>
      <c r="G11" s="553">
        <v>0.03</v>
      </c>
      <c r="H11" s="553"/>
    </row>
    <row r="12" spans="1:8">
      <c r="A12" s="465" t="s">
        <v>35</v>
      </c>
      <c r="B12" s="552" t="s">
        <v>830</v>
      </c>
      <c r="C12" s="552"/>
      <c r="D12" s="466">
        <v>0.08</v>
      </c>
      <c r="E12" s="466">
        <v>0.08</v>
      </c>
      <c r="F12" s="466">
        <v>0.08</v>
      </c>
      <c r="G12" s="553">
        <v>0.08</v>
      </c>
      <c r="H12" s="553"/>
    </row>
    <row r="13" spans="1:8">
      <c r="A13" s="465" t="s">
        <v>36</v>
      </c>
      <c r="B13" s="552" t="s">
        <v>831</v>
      </c>
      <c r="C13" s="552"/>
      <c r="D13" s="466">
        <v>0</v>
      </c>
      <c r="E13" s="466">
        <v>0</v>
      </c>
      <c r="F13" s="466">
        <v>0</v>
      </c>
      <c r="G13" s="553">
        <v>0</v>
      </c>
      <c r="H13" s="553"/>
    </row>
    <row r="14" spans="1:8">
      <c r="A14" s="468" t="s">
        <v>37</v>
      </c>
      <c r="B14" s="554" t="s">
        <v>319</v>
      </c>
      <c r="C14" s="554"/>
      <c r="D14" s="469">
        <f>SUM(D5:D13)</f>
        <v>0.16799999999999998</v>
      </c>
      <c r="E14" s="469">
        <f>SUM(E5:E13)</f>
        <v>0.16799999999999998</v>
      </c>
      <c r="F14" s="469">
        <f>SUM(F5:F13)</f>
        <v>0.36800000000000005</v>
      </c>
      <c r="G14" s="555">
        <f>SUM(G5:G13)</f>
        <v>0.36800000000000005</v>
      </c>
      <c r="H14" s="555"/>
    </row>
    <row r="15" spans="1:8">
      <c r="A15" s="551" t="s">
        <v>38</v>
      </c>
      <c r="B15" s="551"/>
      <c r="C15" s="551"/>
      <c r="D15" s="551"/>
      <c r="E15" s="551"/>
      <c r="F15" s="551"/>
      <c r="G15" s="551"/>
      <c r="H15" s="551"/>
    </row>
    <row r="16" spans="1:8">
      <c r="A16" s="465" t="s">
        <v>39</v>
      </c>
      <c r="B16" s="552" t="s">
        <v>832</v>
      </c>
      <c r="C16" s="552"/>
      <c r="D16" s="466">
        <v>0.18140000000000001</v>
      </c>
      <c r="E16" s="467" t="s">
        <v>401</v>
      </c>
      <c r="F16" s="466">
        <v>0.18140000000000001</v>
      </c>
      <c r="G16" s="556" t="s">
        <v>401</v>
      </c>
      <c r="H16" s="557"/>
    </row>
    <row r="17" spans="1:8">
      <c r="A17" s="465" t="s">
        <v>40</v>
      </c>
      <c r="B17" s="552" t="s">
        <v>41</v>
      </c>
      <c r="C17" s="552"/>
      <c r="D17" s="466">
        <v>4.1599999999999998E-2</v>
      </c>
      <c r="E17" s="467" t="s">
        <v>401</v>
      </c>
      <c r="F17" s="466">
        <v>4.1599999999999998E-2</v>
      </c>
      <c r="G17" s="556" t="s">
        <v>401</v>
      </c>
      <c r="H17" s="557"/>
    </row>
    <row r="18" spans="1:8">
      <c r="A18" s="465" t="s">
        <v>42</v>
      </c>
      <c r="B18" s="552" t="s">
        <v>833</v>
      </c>
      <c r="C18" s="552"/>
      <c r="D18" s="466">
        <v>9.2999999999999992E-3</v>
      </c>
      <c r="E18" s="466">
        <v>7.0000000000000001E-3</v>
      </c>
      <c r="F18" s="466">
        <v>9.2999999999999992E-3</v>
      </c>
      <c r="G18" s="558">
        <v>7.0000000000000001E-3</v>
      </c>
      <c r="H18" s="559"/>
    </row>
    <row r="19" spans="1:8">
      <c r="A19" s="465" t="s">
        <v>43</v>
      </c>
      <c r="B19" s="552" t="s">
        <v>834</v>
      </c>
      <c r="C19" s="552"/>
      <c r="D19" s="466">
        <v>0.111</v>
      </c>
      <c r="E19" s="466">
        <v>8.3299999999999999E-2</v>
      </c>
      <c r="F19" s="466">
        <v>0.111</v>
      </c>
      <c r="G19" s="558">
        <v>8.3299999999999999E-2</v>
      </c>
      <c r="H19" s="559"/>
    </row>
    <row r="20" spans="1:8">
      <c r="A20" s="465" t="s">
        <v>44</v>
      </c>
      <c r="B20" s="552" t="s">
        <v>45</v>
      </c>
      <c r="C20" s="552"/>
      <c r="D20" s="466">
        <v>6.9999999999999999E-4</v>
      </c>
      <c r="E20" s="466">
        <v>5.0000000000000001E-4</v>
      </c>
      <c r="F20" s="466">
        <v>6.9999999999999999E-4</v>
      </c>
      <c r="G20" s="558">
        <v>5.0000000000000001E-4</v>
      </c>
      <c r="H20" s="559"/>
    </row>
    <row r="21" spans="1:8">
      <c r="A21" s="465" t="s">
        <v>46</v>
      </c>
      <c r="B21" s="552" t="s">
        <v>402</v>
      </c>
      <c r="C21" s="552"/>
      <c r="D21" s="466">
        <v>7.4000000000000003E-3</v>
      </c>
      <c r="E21" s="466">
        <v>5.5999999999999999E-3</v>
      </c>
      <c r="F21" s="466">
        <v>7.4000000000000003E-3</v>
      </c>
      <c r="G21" s="558">
        <v>5.5999999999999999E-3</v>
      </c>
      <c r="H21" s="559"/>
    </row>
    <row r="22" spans="1:8">
      <c r="A22" s="465" t="s">
        <v>47</v>
      </c>
      <c r="B22" s="552" t="s">
        <v>835</v>
      </c>
      <c r="C22" s="552"/>
      <c r="D22" s="466">
        <v>2.8299999999999999E-2</v>
      </c>
      <c r="E22" s="467" t="s">
        <v>401</v>
      </c>
      <c r="F22" s="466">
        <v>2.8299999999999999E-2</v>
      </c>
      <c r="G22" s="558" t="s">
        <v>401</v>
      </c>
      <c r="H22" s="559"/>
    </row>
    <row r="23" spans="1:8">
      <c r="A23" s="465" t="s">
        <v>48</v>
      </c>
      <c r="B23" s="552" t="s">
        <v>403</v>
      </c>
      <c r="C23" s="552"/>
      <c r="D23" s="466">
        <v>1.1000000000000001E-3</v>
      </c>
      <c r="E23" s="466">
        <v>8.0000000000000004E-4</v>
      </c>
      <c r="F23" s="466">
        <v>1.1000000000000001E-3</v>
      </c>
      <c r="G23" s="558">
        <v>8.0000000000000004E-4</v>
      </c>
      <c r="H23" s="559"/>
    </row>
    <row r="24" spans="1:8">
      <c r="A24" s="465" t="s">
        <v>49</v>
      </c>
      <c r="B24" s="552" t="s">
        <v>836</v>
      </c>
      <c r="C24" s="552"/>
      <c r="D24" s="466">
        <v>0.1086</v>
      </c>
      <c r="E24" s="466">
        <v>8.1500000000000003E-2</v>
      </c>
      <c r="F24" s="466">
        <v>0.1086</v>
      </c>
      <c r="G24" s="558">
        <v>8.1500000000000003E-2</v>
      </c>
      <c r="H24" s="559"/>
    </row>
    <row r="25" spans="1:8">
      <c r="A25" s="465" t="s">
        <v>50</v>
      </c>
      <c r="B25" s="552" t="s">
        <v>404</v>
      </c>
      <c r="C25" s="552"/>
      <c r="D25" s="466">
        <v>2.9999999999999997E-4</v>
      </c>
      <c r="E25" s="466">
        <v>2.0000000000000001E-4</v>
      </c>
      <c r="F25" s="466">
        <v>2.9999999999999997E-4</v>
      </c>
      <c r="G25" s="558">
        <v>2.0000000000000001E-4</v>
      </c>
      <c r="H25" s="559"/>
    </row>
    <row r="26" spans="1:8">
      <c r="A26" s="468" t="s">
        <v>51</v>
      </c>
      <c r="B26" s="554" t="s">
        <v>319</v>
      </c>
      <c r="C26" s="554"/>
      <c r="D26" s="470">
        <f>SUM(D16:D25)</f>
        <v>0.48969999999999997</v>
      </c>
      <c r="E26" s="470">
        <f>SUM(E16:E25)</f>
        <v>0.1789</v>
      </c>
      <c r="F26" s="470">
        <f>SUM(F16:F25)</f>
        <v>0.48969999999999997</v>
      </c>
      <c r="G26" s="560">
        <f>SUM(G16:G25)</f>
        <v>0.1789</v>
      </c>
      <c r="H26" s="560"/>
    </row>
    <row r="27" spans="1:8">
      <c r="A27" s="551" t="s">
        <v>52</v>
      </c>
      <c r="B27" s="551"/>
      <c r="C27" s="551"/>
      <c r="D27" s="551"/>
      <c r="E27" s="551"/>
      <c r="F27" s="551"/>
      <c r="G27" s="551"/>
      <c r="H27" s="551"/>
    </row>
    <row r="28" spans="1:8">
      <c r="A28" s="465" t="s">
        <v>53</v>
      </c>
      <c r="B28" s="550" t="s">
        <v>405</v>
      </c>
      <c r="C28" s="550"/>
      <c r="D28" s="466">
        <v>7.1400000000000005E-2</v>
      </c>
      <c r="E28" s="466">
        <v>5.3600000000000002E-2</v>
      </c>
      <c r="F28" s="466">
        <v>7.1400000000000005E-2</v>
      </c>
      <c r="G28" s="558">
        <v>5.3600000000000002E-2</v>
      </c>
      <c r="H28" s="559"/>
    </row>
    <row r="29" spans="1:8">
      <c r="A29" s="465" t="s">
        <v>54</v>
      </c>
      <c r="B29" s="550" t="s">
        <v>406</v>
      </c>
      <c r="C29" s="550"/>
      <c r="D29" s="466">
        <v>1.6999999999999999E-3</v>
      </c>
      <c r="E29" s="466">
        <v>1.2999999999999999E-3</v>
      </c>
      <c r="F29" s="466">
        <v>1.6999999999999999E-3</v>
      </c>
      <c r="G29" s="558">
        <v>1.2999999999999999E-3</v>
      </c>
      <c r="H29" s="559"/>
    </row>
    <row r="30" spans="1:8">
      <c r="A30" s="465" t="s">
        <v>55</v>
      </c>
      <c r="B30" s="550" t="s">
        <v>407</v>
      </c>
      <c r="C30" s="550"/>
      <c r="D30" s="466">
        <v>3.2000000000000001E-2</v>
      </c>
      <c r="E30" s="466">
        <v>2.41E-2</v>
      </c>
      <c r="F30" s="466">
        <v>3.2000000000000001E-2</v>
      </c>
      <c r="G30" s="558">
        <v>2.41E-2</v>
      </c>
      <c r="H30" s="559"/>
    </row>
    <row r="31" spans="1:8">
      <c r="A31" s="465" t="s">
        <v>56</v>
      </c>
      <c r="B31" s="550" t="s">
        <v>408</v>
      </c>
      <c r="C31" s="550"/>
      <c r="D31" s="466">
        <v>5.3100000000000001E-2</v>
      </c>
      <c r="E31" s="466">
        <v>3.9899999999999998E-2</v>
      </c>
      <c r="F31" s="466">
        <v>5.3100000000000001E-2</v>
      </c>
      <c r="G31" s="558">
        <v>3.9899999999999998E-2</v>
      </c>
      <c r="H31" s="559"/>
    </row>
    <row r="32" spans="1:8">
      <c r="A32" s="465" t="s">
        <v>57</v>
      </c>
      <c r="B32" s="550" t="s">
        <v>837</v>
      </c>
      <c r="C32" s="550"/>
      <c r="D32" s="466">
        <v>6.0000000000000001E-3</v>
      </c>
      <c r="E32" s="466">
        <v>4.4999999999999997E-3</v>
      </c>
      <c r="F32" s="466">
        <v>6.0000000000000001E-3</v>
      </c>
      <c r="G32" s="558">
        <v>4.4999999999999997E-3</v>
      </c>
      <c r="H32" s="559"/>
    </row>
    <row r="33" spans="1:8">
      <c r="A33" s="468" t="s">
        <v>58</v>
      </c>
      <c r="B33" s="561" t="s">
        <v>319</v>
      </c>
      <c r="C33" s="561"/>
      <c r="D33" s="470">
        <f>SUM(D28:D32)</f>
        <v>0.16420000000000001</v>
      </c>
      <c r="E33" s="470">
        <f>SUM(E28:E32)</f>
        <v>0.12340000000000001</v>
      </c>
      <c r="F33" s="470">
        <f>SUM(F28:F32)</f>
        <v>0.16420000000000001</v>
      </c>
      <c r="G33" s="560">
        <f>SUM(G28:G32)</f>
        <v>0.12340000000000001</v>
      </c>
      <c r="H33" s="560"/>
    </row>
    <row r="34" spans="1:8">
      <c r="A34" s="551" t="s">
        <v>59</v>
      </c>
      <c r="B34" s="551"/>
      <c r="C34" s="551"/>
      <c r="D34" s="551"/>
      <c r="E34" s="551"/>
      <c r="F34" s="551"/>
      <c r="G34" s="551"/>
      <c r="H34" s="551"/>
    </row>
    <row r="35" spans="1:8" ht="29.25" customHeight="1">
      <c r="A35" s="465" t="s">
        <v>60</v>
      </c>
      <c r="B35" s="550" t="s">
        <v>838</v>
      </c>
      <c r="C35" s="550"/>
      <c r="D35" s="466">
        <v>8.2299999999999998E-2</v>
      </c>
      <c r="E35" s="466">
        <v>3.0099999999999998E-2</v>
      </c>
      <c r="F35" s="466">
        <v>0.1802</v>
      </c>
      <c r="G35" s="558">
        <v>6.5799999999999997E-2</v>
      </c>
      <c r="H35" s="559"/>
    </row>
    <row r="36" spans="1:8" ht="39" customHeight="1">
      <c r="A36" s="471" t="s">
        <v>61</v>
      </c>
      <c r="B36" s="550" t="s">
        <v>839</v>
      </c>
      <c r="C36" s="550"/>
      <c r="D36" s="472">
        <v>6.0000000000000001E-3</v>
      </c>
      <c r="E36" s="472">
        <v>4.4999999999999997E-3</v>
      </c>
      <c r="F36" s="472">
        <v>6.3E-3</v>
      </c>
      <c r="G36" s="563">
        <v>4.7999999999999996E-3</v>
      </c>
      <c r="H36" s="564"/>
    </row>
    <row r="37" spans="1:8">
      <c r="A37" s="468" t="s">
        <v>62</v>
      </c>
      <c r="B37" s="561" t="s">
        <v>319</v>
      </c>
      <c r="C37" s="561"/>
      <c r="D37" s="470">
        <f>SUM(D35:D36)</f>
        <v>8.8300000000000003E-2</v>
      </c>
      <c r="E37" s="470">
        <f>SUM(E35:E36)</f>
        <v>3.4599999999999999E-2</v>
      </c>
      <c r="F37" s="470">
        <f>SUM(F35:F36)</f>
        <v>0.1865</v>
      </c>
      <c r="G37" s="560">
        <f>SUM(G35:G36)</f>
        <v>7.0599999999999996E-2</v>
      </c>
      <c r="H37" s="560"/>
    </row>
    <row r="38" spans="1:8">
      <c r="A38" s="551" t="s">
        <v>63</v>
      </c>
      <c r="B38" s="551"/>
      <c r="C38" s="551"/>
      <c r="D38" s="473">
        <v>0.92359999999999998</v>
      </c>
      <c r="E38" s="473">
        <f>E14+E26+E33+E37</f>
        <v>0.50490000000000002</v>
      </c>
      <c r="F38" s="473">
        <f>F14+F26+F33+F37</f>
        <v>1.2084000000000001</v>
      </c>
      <c r="G38" s="562">
        <f>G14+G26+G33+G37</f>
        <v>0.74090000000000011</v>
      </c>
      <c r="H38" s="562"/>
    </row>
  </sheetData>
  <mergeCells count="72">
    <mergeCell ref="B37:C37"/>
    <mergeCell ref="G37:H37"/>
    <mergeCell ref="A38:C38"/>
    <mergeCell ref="G38:H38"/>
    <mergeCell ref="A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A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A15:H15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A4:H4"/>
    <mergeCell ref="B5:C5"/>
    <mergeCell ref="G5:H5"/>
    <mergeCell ref="B6:C6"/>
    <mergeCell ref="G6:H6"/>
    <mergeCell ref="A1:H1"/>
    <mergeCell ref="A2:A3"/>
    <mergeCell ref="B2:C3"/>
    <mergeCell ref="D2:E2"/>
    <mergeCell ref="F2:H2"/>
    <mergeCell ref="G3:H3"/>
  </mergeCells>
  <printOptions horizontalCentered="1"/>
  <pageMargins left="0.51181102362204722" right="0.51181102362204722" top="1.3779527559055118" bottom="0.78740157480314965" header="0.31496062992125984" footer="0.31496062992125984"/>
  <pageSetup paperSize="9" orientation="portrait" r:id="rId1"/>
  <headerFooter>
    <oddHeader>&amp;C&amp;G</oddHeader>
    <oddFooter>&amp;C&amp;12&amp;G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0"/>
  <sheetViews>
    <sheetView topLeftCell="A109" zoomScaleNormal="100" zoomScaleSheetLayoutView="80" workbookViewId="0">
      <selection activeCell="A117" sqref="A117:G122"/>
    </sheetView>
  </sheetViews>
  <sheetFormatPr defaultRowHeight="15"/>
  <cols>
    <col min="1" max="1" width="12.140625" bestFit="1" customWidth="1"/>
    <col min="2" max="2" width="18.140625" customWidth="1"/>
    <col min="3" max="3" width="11.7109375" bestFit="1" customWidth="1"/>
    <col min="4" max="4" width="38.42578125" customWidth="1"/>
    <col min="5" max="5" width="9.140625" style="87"/>
    <col min="6" max="6" width="11" bestFit="1" customWidth="1"/>
    <col min="7" max="7" width="19.140625" customWidth="1"/>
    <col min="8" max="8" width="22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" customHeight="1">
      <c r="A5" s="7"/>
      <c r="B5" s="7" t="s">
        <v>137</v>
      </c>
      <c r="C5" s="7"/>
      <c r="D5" s="7"/>
      <c r="E5" s="2"/>
      <c r="F5" s="3"/>
      <c r="G5" s="56" t="s">
        <v>94</v>
      </c>
      <c r="H5" s="57" t="s">
        <v>254</v>
      </c>
    </row>
    <row r="6" spans="1:8">
      <c r="A6" s="7" t="s">
        <v>0</v>
      </c>
      <c r="B6" s="7" t="s">
        <v>281</v>
      </c>
      <c r="C6" s="7"/>
      <c r="D6" s="7"/>
      <c r="E6" s="6"/>
      <c r="F6" s="6"/>
      <c r="G6" s="56"/>
      <c r="H6" s="57" t="s">
        <v>255</v>
      </c>
    </row>
    <row r="7" spans="1:8">
      <c r="A7" s="3" t="s">
        <v>135</v>
      </c>
      <c r="B7" s="568" t="s">
        <v>136</v>
      </c>
      <c r="C7" s="568"/>
      <c r="D7" s="568"/>
      <c r="E7" s="8"/>
      <c r="F7" s="8"/>
      <c r="G7" s="56"/>
      <c r="H7" s="57"/>
    </row>
    <row r="8" spans="1:8">
      <c r="A8" s="4"/>
      <c r="B8" s="8"/>
      <c r="C8" s="8"/>
      <c r="D8" s="8"/>
      <c r="E8" s="8"/>
      <c r="F8" s="8"/>
      <c r="G8" s="7"/>
      <c r="H8" s="5"/>
    </row>
    <row r="9" spans="1:8">
      <c r="A9" s="49"/>
      <c r="B9" s="49"/>
      <c r="C9" s="50"/>
      <c r="D9" s="51"/>
      <c r="E9" s="53"/>
      <c r="F9" s="52"/>
      <c r="G9" s="54"/>
      <c r="H9" s="54"/>
    </row>
    <row r="10" spans="1:8">
      <c r="A10" s="566" t="s">
        <v>95</v>
      </c>
      <c r="B10" s="566" t="s">
        <v>96</v>
      </c>
      <c r="C10" s="567" t="s">
        <v>25</v>
      </c>
      <c r="D10" s="9" t="s">
        <v>97</v>
      </c>
      <c r="E10" s="11"/>
      <c r="F10" s="10"/>
      <c r="G10" s="11"/>
      <c r="H10" s="12"/>
    </row>
    <row r="11" spans="1:8">
      <c r="A11" s="566"/>
      <c r="B11" s="566"/>
      <c r="C11" s="567"/>
      <c r="D11" s="569" t="s">
        <v>98</v>
      </c>
      <c r="E11" s="570"/>
      <c r="F11" s="570"/>
      <c r="G11" s="13" t="s">
        <v>99</v>
      </c>
      <c r="H11" s="14" t="s">
        <v>15</v>
      </c>
    </row>
    <row r="12" spans="1:8" ht="51.75" customHeight="1">
      <c r="A12" s="183"/>
      <c r="B12" s="183"/>
      <c r="C12" s="184">
        <v>1</v>
      </c>
      <c r="D12" s="565" t="s">
        <v>118</v>
      </c>
      <c r="E12" s="565"/>
      <c r="F12" s="565"/>
      <c r="G12" s="185" t="s">
        <v>82</v>
      </c>
      <c r="H12" s="182">
        <v>42948</v>
      </c>
    </row>
    <row r="13" spans="1:8">
      <c r="A13" s="15"/>
      <c r="B13" s="15"/>
      <c r="C13" s="16"/>
      <c r="D13" s="58" t="s">
        <v>100</v>
      </c>
      <c r="E13" s="18" t="s">
        <v>102</v>
      </c>
      <c r="F13" s="17" t="s">
        <v>101</v>
      </c>
      <c r="G13" s="18" t="s">
        <v>103</v>
      </c>
      <c r="H13" s="18" t="s">
        <v>104</v>
      </c>
    </row>
    <row r="14" spans="1:8">
      <c r="A14" s="19"/>
      <c r="B14" s="19"/>
      <c r="C14" s="20"/>
      <c r="D14" s="19"/>
      <c r="E14" s="22"/>
      <c r="F14" s="21"/>
      <c r="G14" s="23"/>
      <c r="H14" s="28">
        <v>0</v>
      </c>
    </row>
    <row r="15" spans="1:8">
      <c r="A15" s="24"/>
      <c r="B15" s="24"/>
      <c r="C15" s="25"/>
      <c r="D15" s="24"/>
      <c r="E15" s="27"/>
      <c r="F15" s="26"/>
      <c r="G15" s="28"/>
      <c r="H15" s="28">
        <v>0</v>
      </c>
    </row>
    <row r="16" spans="1:8">
      <c r="A16" s="24"/>
      <c r="B16" s="24"/>
      <c r="C16" s="25"/>
      <c r="D16" s="24"/>
      <c r="E16" s="27"/>
      <c r="F16" s="26"/>
      <c r="G16" s="28"/>
      <c r="H16" s="28">
        <v>0</v>
      </c>
    </row>
    <row r="17" spans="1:8">
      <c r="A17" s="24"/>
      <c r="B17" s="24"/>
      <c r="C17" s="25"/>
      <c r="D17" s="24"/>
      <c r="E17" s="27"/>
      <c r="F17" s="26"/>
      <c r="G17" s="28"/>
      <c r="H17" s="28">
        <v>0</v>
      </c>
    </row>
    <row r="18" spans="1:8">
      <c r="A18" s="29"/>
      <c r="B18" s="29"/>
      <c r="C18" s="30"/>
      <c r="D18" s="29"/>
      <c r="E18" s="32"/>
      <c r="F18" s="31"/>
      <c r="G18" s="33"/>
      <c r="H18" s="28">
        <v>0</v>
      </c>
    </row>
    <row r="19" spans="1:8">
      <c r="A19" s="15"/>
      <c r="B19" s="15"/>
      <c r="C19" s="16"/>
      <c r="D19" s="15"/>
      <c r="E19" s="35"/>
      <c r="F19" s="34"/>
      <c r="G19" s="36" t="s">
        <v>105</v>
      </c>
      <c r="H19" s="37">
        <v>0</v>
      </c>
    </row>
    <row r="20" spans="1:8">
      <c r="A20" s="15"/>
      <c r="B20" s="15"/>
      <c r="C20" s="16"/>
      <c r="D20" s="58" t="s">
        <v>106</v>
      </c>
      <c r="E20" s="18" t="s">
        <v>102</v>
      </c>
      <c r="F20" s="17" t="s">
        <v>101</v>
      </c>
      <c r="G20" s="18" t="s">
        <v>103</v>
      </c>
      <c r="H20" s="18" t="s">
        <v>104</v>
      </c>
    </row>
    <row r="21" spans="1:8" ht="25.5">
      <c r="A21" s="38" t="s">
        <v>19</v>
      </c>
      <c r="B21" s="38" t="s">
        <v>107</v>
      </c>
      <c r="C21" s="38">
        <v>88309</v>
      </c>
      <c r="D21" s="39" t="s">
        <v>119</v>
      </c>
      <c r="E21" s="27" t="s">
        <v>88</v>
      </c>
      <c r="F21" s="26">
        <v>4.5</v>
      </c>
      <c r="G21" s="28">
        <v>17.05</v>
      </c>
      <c r="H21" s="28">
        <f>G21*F21</f>
        <v>76.725000000000009</v>
      </c>
    </row>
    <row r="22" spans="1:8" ht="25.5">
      <c r="A22" s="38" t="s">
        <v>19</v>
      </c>
      <c r="B22" s="38" t="s">
        <v>107</v>
      </c>
      <c r="C22" s="38">
        <v>88316</v>
      </c>
      <c r="D22" s="39" t="s">
        <v>117</v>
      </c>
      <c r="E22" s="27" t="s">
        <v>88</v>
      </c>
      <c r="F22" s="26">
        <v>4.5</v>
      </c>
      <c r="G22" s="28">
        <v>13.57</v>
      </c>
      <c r="H22" s="28">
        <f>G22*F22</f>
        <v>61.064999999999998</v>
      </c>
    </row>
    <row r="23" spans="1:8">
      <c r="A23" s="38"/>
      <c r="B23" s="38"/>
      <c r="C23" s="38"/>
      <c r="D23" s="39"/>
      <c r="E23" s="27"/>
      <c r="F23" s="26"/>
      <c r="G23" s="28"/>
      <c r="H23" s="28">
        <v>0</v>
      </c>
    </row>
    <row r="24" spans="1:8">
      <c r="A24" s="38"/>
      <c r="B24" s="24"/>
      <c r="C24" s="38"/>
      <c r="D24" s="39"/>
      <c r="E24" s="27"/>
      <c r="F24" s="26"/>
      <c r="G24" s="28"/>
      <c r="H24" s="28">
        <v>0</v>
      </c>
    </row>
    <row r="25" spans="1:8">
      <c r="A25" s="40"/>
      <c r="B25" s="29"/>
      <c r="C25" s="30"/>
      <c r="D25" s="29"/>
      <c r="E25" s="32"/>
      <c r="F25" s="31"/>
      <c r="G25" s="33"/>
      <c r="H25" s="28">
        <v>0</v>
      </c>
    </row>
    <row r="26" spans="1:8">
      <c r="A26" s="41"/>
      <c r="B26" s="15"/>
      <c r="C26" s="16"/>
      <c r="D26" s="15"/>
      <c r="E26" s="35"/>
      <c r="F26" s="34"/>
      <c r="G26" s="36" t="s">
        <v>108</v>
      </c>
      <c r="H26" s="37">
        <f>SUM(H21:H25)</f>
        <v>137.79000000000002</v>
      </c>
    </row>
    <row r="27" spans="1:8">
      <c r="A27" s="41"/>
      <c r="B27" s="15"/>
      <c r="C27" s="16"/>
      <c r="D27" s="58" t="s">
        <v>109</v>
      </c>
      <c r="E27" s="18" t="s">
        <v>102</v>
      </c>
      <c r="F27" s="17" t="s">
        <v>101</v>
      </c>
      <c r="G27" s="18" t="s">
        <v>110</v>
      </c>
      <c r="H27" s="18" t="s">
        <v>104</v>
      </c>
    </row>
    <row r="28" spans="1:8">
      <c r="A28" s="42" t="s">
        <v>19</v>
      </c>
      <c r="B28" s="42" t="s">
        <v>115</v>
      </c>
      <c r="C28" s="43">
        <v>25399</v>
      </c>
      <c r="D28" s="44" t="s">
        <v>118</v>
      </c>
      <c r="E28" s="22" t="s">
        <v>84</v>
      </c>
      <c r="F28" s="21">
        <v>1</v>
      </c>
      <c r="G28" s="23">
        <v>1514.51</v>
      </c>
      <c r="H28" s="28">
        <f>G28*F28</f>
        <v>1514.51</v>
      </c>
    </row>
    <row r="29" spans="1:8">
      <c r="A29" s="42"/>
      <c r="B29" s="42"/>
      <c r="C29" s="38"/>
      <c r="D29" s="39"/>
      <c r="E29" s="27"/>
      <c r="F29" s="26"/>
      <c r="G29" s="28"/>
      <c r="H29" s="28">
        <v>0</v>
      </c>
    </row>
    <row r="30" spans="1:8">
      <c r="A30" s="42"/>
      <c r="B30" s="42"/>
      <c r="C30" s="38"/>
      <c r="D30" s="39"/>
      <c r="E30" s="27"/>
      <c r="F30" s="26"/>
      <c r="G30" s="28"/>
      <c r="H30" s="28">
        <v>0</v>
      </c>
    </row>
    <row r="31" spans="1:8">
      <c r="A31" s="38"/>
      <c r="B31" s="38"/>
      <c r="C31" s="38"/>
      <c r="D31" s="39"/>
      <c r="E31" s="27"/>
      <c r="F31" s="26"/>
      <c r="G31" s="28"/>
      <c r="H31" s="28">
        <v>0</v>
      </c>
    </row>
    <row r="32" spans="1:8">
      <c r="A32" s="38"/>
      <c r="B32" s="38"/>
      <c r="C32" s="38"/>
      <c r="D32" s="39"/>
      <c r="E32" s="27"/>
      <c r="F32" s="26"/>
      <c r="G32" s="28"/>
      <c r="H32" s="28">
        <v>0</v>
      </c>
    </row>
    <row r="33" spans="1:8">
      <c r="A33" s="15"/>
      <c r="B33" s="15"/>
      <c r="C33" s="16"/>
      <c r="D33" s="15"/>
      <c r="E33" s="35"/>
      <c r="F33" s="34"/>
      <c r="G33" s="36" t="s">
        <v>111</v>
      </c>
      <c r="H33" s="37">
        <f>SUM(H28:H32)</f>
        <v>1514.51</v>
      </c>
    </row>
    <row r="34" spans="1:8">
      <c r="A34" s="15"/>
      <c r="B34" s="15"/>
      <c r="C34" s="16"/>
      <c r="D34" s="45" t="s">
        <v>112</v>
      </c>
      <c r="E34" s="35"/>
      <c r="F34" s="34"/>
      <c r="G34" s="37"/>
      <c r="H34" s="37">
        <f>H33+H26+H19</f>
        <v>1652.3</v>
      </c>
    </row>
    <row r="35" spans="1:8">
      <c r="A35" s="15"/>
      <c r="B35" s="15"/>
      <c r="C35" s="16"/>
      <c r="D35" s="46" t="s">
        <v>113</v>
      </c>
      <c r="E35" s="35"/>
      <c r="F35" s="47">
        <v>0</v>
      </c>
      <c r="G35" s="37"/>
      <c r="H35" s="37">
        <v>0</v>
      </c>
    </row>
    <row r="36" spans="1:8">
      <c r="A36" s="15"/>
      <c r="B36" s="15"/>
      <c r="C36" s="16"/>
      <c r="D36" s="46" t="s">
        <v>114</v>
      </c>
      <c r="E36" s="35"/>
      <c r="F36" s="48"/>
      <c r="G36" s="37"/>
      <c r="H36" s="37">
        <f>H34+H35</f>
        <v>1652.3</v>
      </c>
    </row>
    <row r="37" spans="1:8" s="87" customFormat="1">
      <c r="A37" s="93"/>
      <c r="B37" s="93"/>
      <c r="C37" s="94"/>
      <c r="D37" s="95"/>
      <c r="E37" s="53"/>
      <c r="F37" s="52"/>
      <c r="G37" s="54"/>
      <c r="H37" s="54"/>
    </row>
    <row r="38" spans="1:8" s="87" customFormat="1">
      <c r="A38" s="93"/>
      <c r="B38" s="93"/>
      <c r="C38" s="94"/>
      <c r="D38" s="95"/>
      <c r="E38" s="53"/>
      <c r="F38" s="52"/>
      <c r="G38" s="54"/>
      <c r="H38" s="54"/>
    </row>
    <row r="39" spans="1:8">
      <c r="A39" s="49"/>
      <c r="B39" s="49"/>
      <c r="C39" s="50"/>
      <c r="D39" s="51"/>
      <c r="E39" s="53"/>
      <c r="F39" s="52"/>
      <c r="G39" s="54"/>
      <c r="H39" s="54"/>
    </row>
    <row r="40" spans="1:8">
      <c r="A40" s="566" t="s">
        <v>95</v>
      </c>
      <c r="B40" s="566" t="s">
        <v>96</v>
      </c>
      <c r="C40" s="567" t="s">
        <v>25</v>
      </c>
      <c r="D40" s="9" t="s">
        <v>97</v>
      </c>
      <c r="E40" s="11"/>
      <c r="F40" s="10"/>
      <c r="G40" s="11"/>
      <c r="H40" s="12"/>
    </row>
    <row r="41" spans="1:8">
      <c r="A41" s="566"/>
      <c r="B41" s="566"/>
      <c r="C41" s="567"/>
      <c r="D41" s="569" t="s">
        <v>98</v>
      </c>
      <c r="E41" s="570"/>
      <c r="F41" s="570"/>
      <c r="G41" s="13" t="s">
        <v>99</v>
      </c>
      <c r="H41" s="14" t="s">
        <v>15</v>
      </c>
    </row>
    <row r="42" spans="1:8" ht="46.5" customHeight="1">
      <c r="A42" s="183"/>
      <c r="B42" s="183"/>
      <c r="C42" s="184">
        <v>2</v>
      </c>
      <c r="D42" s="565" t="s">
        <v>120</v>
      </c>
      <c r="E42" s="565"/>
      <c r="F42" s="565"/>
      <c r="G42" s="185" t="s">
        <v>82</v>
      </c>
      <c r="H42" s="182">
        <v>42948</v>
      </c>
    </row>
    <row r="43" spans="1:8">
      <c r="A43" s="15"/>
      <c r="B43" s="15"/>
      <c r="C43" s="16"/>
      <c r="D43" s="58" t="s">
        <v>100</v>
      </c>
      <c r="E43" s="18" t="s">
        <v>102</v>
      </c>
      <c r="F43" s="17" t="s">
        <v>101</v>
      </c>
      <c r="G43" s="18" t="s">
        <v>103</v>
      </c>
      <c r="H43" s="18" t="s">
        <v>104</v>
      </c>
    </row>
    <row r="44" spans="1:8">
      <c r="A44" s="19"/>
      <c r="B44" s="19"/>
      <c r="C44" s="20"/>
      <c r="D44" s="19"/>
      <c r="E44" s="22"/>
      <c r="F44" s="21"/>
      <c r="G44" s="23"/>
      <c r="H44" s="28">
        <v>0</v>
      </c>
    </row>
    <row r="45" spans="1:8">
      <c r="A45" s="24"/>
      <c r="B45" s="24"/>
      <c r="C45" s="25"/>
      <c r="D45" s="24"/>
      <c r="E45" s="27"/>
      <c r="F45" s="26"/>
      <c r="G45" s="28"/>
      <c r="H45" s="28">
        <v>0</v>
      </c>
    </row>
    <row r="46" spans="1:8">
      <c r="A46" s="24"/>
      <c r="B46" s="24"/>
      <c r="C46" s="25"/>
      <c r="D46" s="24"/>
      <c r="E46" s="27"/>
      <c r="F46" s="26"/>
      <c r="G46" s="28"/>
      <c r="H46" s="28">
        <v>0</v>
      </c>
    </row>
    <row r="47" spans="1:8">
      <c r="A47" s="24"/>
      <c r="B47" s="24"/>
      <c r="C47" s="25"/>
      <c r="D47" s="24"/>
      <c r="E47" s="27"/>
      <c r="F47" s="26"/>
      <c r="G47" s="28"/>
      <c r="H47" s="28">
        <v>0</v>
      </c>
    </row>
    <row r="48" spans="1:8">
      <c r="A48" s="29"/>
      <c r="B48" s="29"/>
      <c r="C48" s="30"/>
      <c r="D48" s="29"/>
      <c r="E48" s="32"/>
      <c r="F48" s="31"/>
      <c r="G48" s="33"/>
      <c r="H48" s="28">
        <v>0</v>
      </c>
    </row>
    <row r="49" spans="1:8">
      <c r="A49" s="15"/>
      <c r="B49" s="15"/>
      <c r="C49" s="16"/>
      <c r="D49" s="15"/>
      <c r="E49" s="35"/>
      <c r="F49" s="34"/>
      <c r="G49" s="36" t="s">
        <v>105</v>
      </c>
      <c r="H49" s="37">
        <v>0</v>
      </c>
    </row>
    <row r="50" spans="1:8">
      <c r="A50" s="15"/>
      <c r="B50" s="15"/>
      <c r="C50" s="16"/>
      <c r="D50" s="58" t="s">
        <v>106</v>
      </c>
      <c r="E50" s="18" t="s">
        <v>102</v>
      </c>
      <c r="F50" s="17" t="s">
        <v>101</v>
      </c>
      <c r="G50" s="18" t="s">
        <v>103</v>
      </c>
      <c r="H50" s="18" t="s">
        <v>104</v>
      </c>
    </row>
    <row r="51" spans="1:8" ht="25.5">
      <c r="A51" s="38" t="s">
        <v>19</v>
      </c>
      <c r="B51" s="38" t="s">
        <v>107</v>
      </c>
      <c r="C51" s="38">
        <v>88309</v>
      </c>
      <c r="D51" s="39" t="s">
        <v>119</v>
      </c>
      <c r="E51" s="27" t="s">
        <v>88</v>
      </c>
      <c r="F51" s="26">
        <v>2.5</v>
      </c>
      <c r="G51" s="28">
        <v>16.71</v>
      </c>
      <c r="H51" s="28">
        <f>G51*F51</f>
        <v>41.775000000000006</v>
      </c>
    </row>
    <row r="52" spans="1:8" ht="25.5">
      <c r="A52" s="38" t="s">
        <v>19</v>
      </c>
      <c r="B52" s="38" t="s">
        <v>107</v>
      </c>
      <c r="C52" s="38">
        <v>88316</v>
      </c>
      <c r="D52" s="39" t="s">
        <v>117</v>
      </c>
      <c r="E52" s="27" t="s">
        <v>88</v>
      </c>
      <c r="F52" s="26">
        <v>2.5</v>
      </c>
      <c r="G52" s="28">
        <v>13.35</v>
      </c>
      <c r="H52" s="28">
        <f>G52*F52</f>
        <v>33.375</v>
      </c>
    </row>
    <row r="53" spans="1:8">
      <c r="A53" s="38"/>
      <c r="B53" s="38"/>
      <c r="C53" s="38"/>
      <c r="D53" s="39"/>
      <c r="E53" s="27"/>
      <c r="F53" s="26"/>
      <c r="G53" s="28"/>
      <c r="H53" s="28">
        <f>G53*F53</f>
        <v>0</v>
      </c>
    </row>
    <row r="54" spans="1:8">
      <c r="A54" s="38"/>
      <c r="B54" s="24"/>
      <c r="C54" s="38"/>
      <c r="D54" s="39"/>
      <c r="E54" s="27"/>
      <c r="F54" s="26"/>
      <c r="G54" s="28"/>
      <c r="H54" s="28">
        <f>G54*F54</f>
        <v>0</v>
      </c>
    </row>
    <row r="55" spans="1:8">
      <c r="A55" s="40"/>
      <c r="B55" s="29"/>
      <c r="C55" s="30"/>
      <c r="D55" s="29"/>
      <c r="E55" s="32"/>
      <c r="F55" s="31"/>
      <c r="G55" s="33"/>
      <c r="H55" s="28">
        <f>G55*F55</f>
        <v>0</v>
      </c>
    </row>
    <row r="56" spans="1:8">
      <c r="A56" s="41"/>
      <c r="B56" s="15"/>
      <c r="C56" s="16"/>
      <c r="D56" s="15"/>
      <c r="E56" s="35"/>
      <c r="F56" s="34"/>
      <c r="G56" s="36" t="s">
        <v>108</v>
      </c>
      <c r="H56" s="37">
        <f>SUM(H51:H55)</f>
        <v>75.150000000000006</v>
      </c>
    </row>
    <row r="57" spans="1:8">
      <c r="A57" s="41"/>
      <c r="B57" s="15"/>
      <c r="C57" s="16"/>
      <c r="D57" s="58" t="s">
        <v>109</v>
      </c>
      <c r="E57" s="18" t="s">
        <v>102</v>
      </c>
      <c r="F57" s="17" t="s">
        <v>101</v>
      </c>
      <c r="G57" s="18" t="s">
        <v>110</v>
      </c>
      <c r="H57" s="18" t="s">
        <v>104</v>
      </c>
    </row>
    <row r="58" spans="1:8" ht="63.75">
      <c r="A58" s="90" t="s">
        <v>19</v>
      </c>
      <c r="B58" s="42" t="s">
        <v>115</v>
      </c>
      <c r="C58" s="43">
        <v>25398</v>
      </c>
      <c r="D58" s="44" t="s">
        <v>278</v>
      </c>
      <c r="E58" s="22" t="s">
        <v>84</v>
      </c>
      <c r="F58" s="21">
        <v>1</v>
      </c>
      <c r="G58" s="23">
        <v>2602.39</v>
      </c>
      <c r="H58" s="28">
        <f>G58*F58</f>
        <v>2602.39</v>
      </c>
    </row>
    <row r="59" spans="1:8">
      <c r="A59" s="42"/>
      <c r="B59" s="42"/>
      <c r="C59" s="38"/>
      <c r="D59" s="39"/>
      <c r="E59" s="27"/>
      <c r="F59" s="26"/>
      <c r="G59" s="28"/>
      <c r="H59" s="28">
        <v>0</v>
      </c>
    </row>
    <row r="60" spans="1:8">
      <c r="A60" s="42"/>
      <c r="B60" s="42"/>
      <c r="C60" s="38"/>
      <c r="D60" s="39"/>
      <c r="E60" s="27"/>
      <c r="F60" s="26"/>
      <c r="G60" s="28"/>
      <c r="H60" s="28">
        <v>0</v>
      </c>
    </row>
    <row r="61" spans="1:8">
      <c r="A61" s="38"/>
      <c r="B61" s="38"/>
      <c r="C61" s="38"/>
      <c r="D61" s="39"/>
      <c r="E61" s="27"/>
      <c r="F61" s="26"/>
      <c r="G61" s="28"/>
      <c r="H61" s="28">
        <v>0</v>
      </c>
    </row>
    <row r="62" spans="1:8">
      <c r="A62" s="38"/>
      <c r="B62" s="38"/>
      <c r="C62" s="38"/>
      <c r="D62" s="39"/>
      <c r="E62" s="27"/>
      <c r="F62" s="26"/>
      <c r="G62" s="28"/>
      <c r="H62" s="28">
        <v>0</v>
      </c>
    </row>
    <row r="63" spans="1:8">
      <c r="A63" s="15"/>
      <c r="B63" s="15"/>
      <c r="C63" s="16"/>
      <c r="D63" s="15"/>
      <c r="E63" s="35"/>
      <c r="F63" s="34"/>
      <c r="G63" s="36" t="s">
        <v>111</v>
      </c>
      <c r="H63" s="37">
        <f>SUM(H58:H62)</f>
        <v>2602.39</v>
      </c>
    </row>
    <row r="64" spans="1:8">
      <c r="A64" s="15"/>
      <c r="B64" s="15"/>
      <c r="C64" s="16"/>
      <c r="D64" s="45" t="s">
        <v>112</v>
      </c>
      <c r="E64" s="35"/>
      <c r="F64" s="34"/>
      <c r="G64" s="37"/>
      <c r="H64" s="37">
        <f>H63+H56</f>
        <v>2677.54</v>
      </c>
    </row>
    <row r="65" spans="1:8">
      <c r="A65" s="15"/>
      <c r="B65" s="15"/>
      <c r="C65" s="16"/>
      <c r="D65" s="46" t="s">
        <v>113</v>
      </c>
      <c r="E65" s="35"/>
      <c r="F65" s="47">
        <v>0</v>
      </c>
      <c r="G65" s="37"/>
      <c r="H65" s="37">
        <v>0</v>
      </c>
    </row>
    <row r="66" spans="1:8">
      <c r="A66" s="15"/>
      <c r="B66" s="15"/>
      <c r="C66" s="16"/>
      <c r="D66" s="46" t="s">
        <v>114</v>
      </c>
      <c r="E66" s="35"/>
      <c r="F66" s="48"/>
      <c r="G66" s="37"/>
      <c r="H66" s="37">
        <f>H65+H64</f>
        <v>2677.54</v>
      </c>
    </row>
    <row r="67" spans="1:8" s="87" customFormat="1">
      <c r="A67" s="93"/>
      <c r="B67" s="93"/>
      <c r="C67" s="94"/>
      <c r="D67" s="95"/>
      <c r="E67" s="53"/>
      <c r="F67" s="52"/>
      <c r="G67" s="54"/>
      <c r="H67" s="54"/>
    </row>
    <row r="68" spans="1:8">
      <c r="A68" s="49"/>
      <c r="B68" s="49"/>
      <c r="C68" s="50"/>
      <c r="D68" s="51"/>
      <c r="E68" s="53"/>
      <c r="F68" s="52"/>
      <c r="G68" s="54"/>
      <c r="H68" s="54"/>
    </row>
    <row r="69" spans="1:8">
      <c r="A69" s="49"/>
      <c r="B69" s="49"/>
      <c r="C69" s="50"/>
      <c r="D69" s="51"/>
      <c r="E69" s="53"/>
      <c r="F69" s="52"/>
      <c r="G69" s="54"/>
      <c r="H69" s="54"/>
    </row>
    <row r="70" spans="1:8">
      <c r="A70" s="566" t="s">
        <v>95</v>
      </c>
      <c r="B70" s="566" t="s">
        <v>96</v>
      </c>
      <c r="C70" s="567" t="s">
        <v>25</v>
      </c>
      <c r="D70" s="9" t="s">
        <v>97</v>
      </c>
      <c r="E70" s="11"/>
      <c r="F70" s="10"/>
      <c r="G70" s="11"/>
      <c r="H70" s="12"/>
    </row>
    <row r="71" spans="1:8">
      <c r="A71" s="566"/>
      <c r="B71" s="566"/>
      <c r="C71" s="567"/>
      <c r="D71" s="569" t="s">
        <v>98</v>
      </c>
      <c r="E71" s="570"/>
      <c r="F71" s="570"/>
      <c r="G71" s="13" t="s">
        <v>99</v>
      </c>
      <c r="H71" s="14" t="s">
        <v>5</v>
      </c>
    </row>
    <row r="72" spans="1:8" ht="45" customHeight="1">
      <c r="A72" s="183"/>
      <c r="B72" s="183"/>
      <c r="C72" s="184">
        <v>3</v>
      </c>
      <c r="D72" s="571" t="s">
        <v>9</v>
      </c>
      <c r="E72" s="571"/>
      <c r="F72" s="571"/>
      <c r="G72" s="185" t="s">
        <v>82</v>
      </c>
      <c r="H72" s="182">
        <v>42948</v>
      </c>
    </row>
    <row r="73" spans="1:8">
      <c r="A73" s="15"/>
      <c r="B73" s="15"/>
      <c r="C73" s="16"/>
      <c r="D73" s="58" t="s">
        <v>100</v>
      </c>
      <c r="E73" s="18" t="s">
        <v>102</v>
      </c>
      <c r="F73" s="17" t="s">
        <v>101</v>
      </c>
      <c r="G73" s="18" t="s">
        <v>103</v>
      </c>
      <c r="H73" s="18" t="s">
        <v>104</v>
      </c>
    </row>
    <row r="74" spans="1:8">
      <c r="A74" s="19"/>
      <c r="B74" s="19"/>
      <c r="C74" s="20"/>
      <c r="D74" s="19"/>
      <c r="E74" s="22"/>
      <c r="F74" s="21"/>
      <c r="G74" s="23"/>
      <c r="H74" s="28">
        <v>0</v>
      </c>
    </row>
    <row r="75" spans="1:8">
      <c r="A75" s="24"/>
      <c r="B75" s="24"/>
      <c r="C75" s="25"/>
      <c r="D75" s="24"/>
      <c r="E75" s="27"/>
      <c r="F75" s="26"/>
      <c r="G75" s="28"/>
      <c r="H75" s="28">
        <v>0</v>
      </c>
    </row>
    <row r="76" spans="1:8">
      <c r="A76" s="24"/>
      <c r="B76" s="24"/>
      <c r="C76" s="25"/>
      <c r="D76" s="24"/>
      <c r="E76" s="27"/>
      <c r="F76" s="26"/>
      <c r="G76" s="28"/>
      <c r="H76" s="28">
        <v>0</v>
      </c>
    </row>
    <row r="77" spans="1:8">
      <c r="A77" s="24"/>
      <c r="B77" s="24"/>
      <c r="C77" s="25"/>
      <c r="D77" s="24"/>
      <c r="E77" s="27"/>
      <c r="F77" s="26"/>
      <c r="G77" s="28"/>
      <c r="H77" s="28">
        <v>0</v>
      </c>
    </row>
    <row r="78" spans="1:8">
      <c r="A78" s="29"/>
      <c r="B78" s="29"/>
      <c r="C78" s="30"/>
      <c r="D78" s="29"/>
      <c r="E78" s="32"/>
      <c r="F78" s="31"/>
      <c r="G78" s="33"/>
      <c r="H78" s="28">
        <v>0</v>
      </c>
    </row>
    <row r="79" spans="1:8">
      <c r="A79" s="15"/>
      <c r="B79" s="15"/>
      <c r="C79" s="16"/>
      <c r="D79" s="15"/>
      <c r="E79" s="35"/>
      <c r="F79" s="34"/>
      <c r="G79" s="36" t="s">
        <v>105</v>
      </c>
      <c r="H79" s="37">
        <v>0</v>
      </c>
    </row>
    <row r="80" spans="1:8">
      <c r="A80" s="15"/>
      <c r="B80" s="15"/>
      <c r="C80" s="16"/>
      <c r="D80" s="58" t="s">
        <v>106</v>
      </c>
      <c r="E80" s="18" t="s">
        <v>102</v>
      </c>
      <c r="F80" s="17" t="s">
        <v>101</v>
      </c>
      <c r="G80" s="18" t="s">
        <v>103</v>
      </c>
      <c r="H80" s="18" t="s">
        <v>104</v>
      </c>
    </row>
    <row r="81" spans="1:8" ht="25.5">
      <c r="A81" s="38" t="s">
        <v>19</v>
      </c>
      <c r="B81" s="38" t="s">
        <v>107</v>
      </c>
      <c r="C81" s="38">
        <v>88441</v>
      </c>
      <c r="D81" s="39" t="s">
        <v>125</v>
      </c>
      <c r="E81" s="27" t="s">
        <v>88</v>
      </c>
      <c r="F81" s="26">
        <v>0.2</v>
      </c>
      <c r="G81" s="28">
        <v>13.87</v>
      </c>
      <c r="H81" s="28">
        <f>F81*G81</f>
        <v>2.774</v>
      </c>
    </row>
    <row r="82" spans="1:8" ht="25.5">
      <c r="A82" s="38" t="s">
        <v>19</v>
      </c>
      <c r="B82" s="38" t="s">
        <v>107</v>
      </c>
      <c r="C82" s="38">
        <v>88316</v>
      </c>
      <c r="D82" s="39" t="s">
        <v>117</v>
      </c>
      <c r="E82" s="27" t="s">
        <v>88</v>
      </c>
      <c r="F82" s="26">
        <v>0.2</v>
      </c>
      <c r="G82" s="28">
        <v>13.57</v>
      </c>
      <c r="H82" s="28">
        <f>F82*G82</f>
        <v>2.7140000000000004</v>
      </c>
    </row>
    <row r="83" spans="1:8">
      <c r="A83" s="38"/>
      <c r="B83" s="38"/>
      <c r="C83" s="38"/>
      <c r="D83" s="39"/>
      <c r="E83" s="27"/>
      <c r="F83" s="26"/>
      <c r="G83" s="28"/>
      <c r="H83" s="28">
        <f>F83*G83</f>
        <v>0</v>
      </c>
    </row>
    <row r="84" spans="1:8">
      <c r="A84" s="38"/>
      <c r="B84" s="24"/>
      <c r="C84" s="38"/>
      <c r="D84" s="39"/>
      <c r="E84" s="27"/>
      <c r="F84" s="26"/>
      <c r="G84" s="28"/>
      <c r="H84" s="28">
        <f>F84*G84</f>
        <v>0</v>
      </c>
    </row>
    <row r="85" spans="1:8">
      <c r="A85" s="40"/>
      <c r="B85" s="29"/>
      <c r="C85" s="30"/>
      <c r="D85" s="29"/>
      <c r="E85" s="32"/>
      <c r="F85" s="31"/>
      <c r="G85" s="33"/>
      <c r="H85" s="28">
        <f>F85*G85</f>
        <v>0</v>
      </c>
    </row>
    <row r="86" spans="1:8">
      <c r="A86" s="41"/>
      <c r="B86" s="15"/>
      <c r="C86" s="16"/>
      <c r="D86" s="15"/>
      <c r="E86" s="35"/>
      <c r="F86" s="34"/>
      <c r="G86" s="36" t="s">
        <v>108</v>
      </c>
      <c r="H86" s="37">
        <f>SUM(H81:H85)</f>
        <v>5.4880000000000004</v>
      </c>
    </row>
    <row r="87" spans="1:8">
      <c r="A87" s="41"/>
      <c r="B87" s="15"/>
      <c r="C87" s="16"/>
      <c r="D87" s="58" t="s">
        <v>109</v>
      </c>
      <c r="E87" s="18" t="s">
        <v>102</v>
      </c>
      <c r="F87" s="17" t="s">
        <v>101</v>
      </c>
      <c r="G87" s="18" t="s">
        <v>110</v>
      </c>
      <c r="H87" s="18" t="s">
        <v>104</v>
      </c>
    </row>
    <row r="88" spans="1:8">
      <c r="A88" s="42" t="s">
        <v>19</v>
      </c>
      <c r="B88" s="42" t="s">
        <v>115</v>
      </c>
      <c r="C88" s="43">
        <v>7253</v>
      </c>
      <c r="D88" s="44" t="s">
        <v>124</v>
      </c>
      <c r="E88" s="22" t="s">
        <v>6</v>
      </c>
      <c r="F88" s="21">
        <v>0.1</v>
      </c>
      <c r="G88" s="23">
        <v>90</v>
      </c>
      <c r="H88" s="28">
        <f>G88*F88</f>
        <v>9</v>
      </c>
    </row>
    <row r="89" spans="1:8">
      <c r="A89" s="42"/>
      <c r="B89" s="42"/>
      <c r="C89" s="38"/>
      <c r="D89" s="39"/>
      <c r="E89" s="27"/>
      <c r="F89" s="26"/>
      <c r="G89" s="28"/>
      <c r="H89" s="28">
        <v>0</v>
      </c>
    </row>
    <row r="90" spans="1:8">
      <c r="A90" s="42"/>
      <c r="B90" s="42"/>
      <c r="C90" s="38"/>
      <c r="D90" s="39"/>
      <c r="E90" s="27"/>
      <c r="F90" s="26"/>
      <c r="G90" s="28"/>
      <c r="H90" s="28">
        <v>0</v>
      </c>
    </row>
    <row r="91" spans="1:8">
      <c r="A91" s="38"/>
      <c r="B91" s="38"/>
      <c r="C91" s="38"/>
      <c r="D91" s="39"/>
      <c r="E91" s="27"/>
      <c r="F91" s="26"/>
      <c r="G91" s="28"/>
      <c r="H91" s="28">
        <v>0</v>
      </c>
    </row>
    <row r="92" spans="1:8">
      <c r="A92" s="38"/>
      <c r="B92" s="38"/>
      <c r="C92" s="38"/>
      <c r="D92" s="39"/>
      <c r="E92" s="27"/>
      <c r="F92" s="26"/>
      <c r="G92" s="28"/>
      <c r="H92" s="28">
        <v>0</v>
      </c>
    </row>
    <row r="93" spans="1:8">
      <c r="A93" s="15"/>
      <c r="B93" s="15"/>
      <c r="C93" s="16"/>
      <c r="D93" s="15"/>
      <c r="E93" s="35"/>
      <c r="F93" s="34"/>
      <c r="G93" s="36" t="s">
        <v>111</v>
      </c>
      <c r="H93" s="37">
        <f>SUM(H88:H92)</f>
        <v>9</v>
      </c>
    </row>
    <row r="94" spans="1:8">
      <c r="A94" s="15"/>
      <c r="B94" s="15"/>
      <c r="C94" s="16"/>
      <c r="D94" s="45" t="s">
        <v>112</v>
      </c>
      <c r="E94" s="35"/>
      <c r="F94" s="34"/>
      <c r="G94" s="37"/>
      <c r="H94" s="37">
        <f>SUM(H93,H86,H79)</f>
        <v>14.488</v>
      </c>
    </row>
    <row r="95" spans="1:8">
      <c r="A95" s="15"/>
      <c r="B95" s="15"/>
      <c r="C95" s="16"/>
      <c r="D95" s="46" t="s">
        <v>113</v>
      </c>
      <c r="E95" s="35"/>
      <c r="F95" s="47">
        <v>0</v>
      </c>
      <c r="G95" s="37"/>
      <c r="H95" s="37">
        <v>0</v>
      </c>
    </row>
    <row r="96" spans="1:8">
      <c r="A96" s="15"/>
      <c r="B96" s="15"/>
      <c r="C96" s="16"/>
      <c r="D96" s="46" t="s">
        <v>114</v>
      </c>
      <c r="E96" s="35"/>
      <c r="F96" s="48"/>
      <c r="G96" s="37"/>
      <c r="H96" s="37">
        <f>H95+H94</f>
        <v>14.488</v>
      </c>
    </row>
    <row r="97" spans="1:8" s="87" customFormat="1">
      <c r="A97" s="93"/>
      <c r="B97" s="93"/>
      <c r="C97" s="94"/>
      <c r="D97" s="95"/>
      <c r="E97" s="53"/>
      <c r="F97" s="52"/>
      <c r="G97" s="54"/>
      <c r="H97" s="54"/>
    </row>
    <row r="98" spans="1:8" s="87" customFormat="1">
      <c r="A98" s="93"/>
      <c r="B98" s="93"/>
      <c r="C98" s="94"/>
      <c r="D98" s="95"/>
      <c r="E98" s="53"/>
      <c r="F98" s="52"/>
      <c r="G98" s="54"/>
      <c r="H98" s="54"/>
    </row>
    <row r="99" spans="1:8">
      <c r="A99" s="49"/>
      <c r="B99" s="49"/>
      <c r="C99" s="50"/>
      <c r="D99" s="51"/>
      <c r="E99" s="53"/>
      <c r="F99" s="52"/>
      <c r="G99" s="54"/>
      <c r="H99" s="54"/>
    </row>
    <row r="100" spans="1:8">
      <c r="A100" s="49"/>
      <c r="B100" s="49"/>
      <c r="C100" s="50"/>
      <c r="D100" s="51"/>
      <c r="E100" s="53"/>
      <c r="F100" s="52"/>
      <c r="G100" s="54"/>
      <c r="H100" s="54"/>
    </row>
    <row r="101" spans="1:8">
      <c r="A101" s="566" t="s">
        <v>95</v>
      </c>
      <c r="B101" s="566" t="s">
        <v>96</v>
      </c>
      <c r="C101" s="567" t="s">
        <v>25</v>
      </c>
      <c r="D101" s="9" t="s">
        <v>97</v>
      </c>
      <c r="E101" s="11"/>
      <c r="F101" s="10"/>
      <c r="G101" s="11"/>
      <c r="H101" s="12"/>
    </row>
    <row r="102" spans="1:8">
      <c r="A102" s="566"/>
      <c r="B102" s="566"/>
      <c r="C102" s="567"/>
      <c r="D102" s="569" t="s">
        <v>98</v>
      </c>
      <c r="E102" s="570"/>
      <c r="F102" s="570"/>
      <c r="G102" s="13" t="s">
        <v>99</v>
      </c>
      <c r="H102" s="14" t="s">
        <v>7</v>
      </c>
    </row>
    <row r="103" spans="1:8" ht="45" customHeight="1">
      <c r="A103" s="183"/>
      <c r="B103" s="183"/>
      <c r="C103" s="184">
        <v>4</v>
      </c>
      <c r="D103" s="571" t="s">
        <v>196</v>
      </c>
      <c r="E103" s="571"/>
      <c r="F103" s="571"/>
      <c r="G103" s="185" t="s">
        <v>82</v>
      </c>
      <c r="H103" s="182">
        <v>42948</v>
      </c>
    </row>
    <row r="104" spans="1:8">
      <c r="A104" s="15"/>
      <c r="B104" s="15"/>
      <c r="C104" s="16"/>
      <c r="D104" s="66" t="s">
        <v>100</v>
      </c>
      <c r="E104" s="18" t="s">
        <v>102</v>
      </c>
      <c r="F104" s="17" t="s">
        <v>101</v>
      </c>
      <c r="G104" s="18" t="s">
        <v>103</v>
      </c>
      <c r="H104" s="18" t="s">
        <v>104</v>
      </c>
    </row>
    <row r="105" spans="1:8">
      <c r="A105" s="19"/>
      <c r="B105" s="19"/>
      <c r="C105" s="20"/>
      <c r="D105" s="19"/>
      <c r="E105" s="22"/>
      <c r="F105" s="21"/>
      <c r="G105" s="23"/>
      <c r="H105" s="28">
        <v>0</v>
      </c>
    </row>
    <row r="106" spans="1:8">
      <c r="A106" s="19"/>
      <c r="B106" s="19"/>
      <c r="C106" s="20"/>
      <c r="D106" s="19"/>
      <c r="E106" s="22"/>
      <c r="F106" s="21"/>
      <c r="G106" s="23"/>
      <c r="H106" s="28">
        <v>0</v>
      </c>
    </row>
    <row r="107" spans="1:8">
      <c r="A107" s="19"/>
      <c r="B107" s="19"/>
      <c r="C107" s="20"/>
      <c r="D107" s="19"/>
      <c r="E107" s="22"/>
      <c r="F107" s="21"/>
      <c r="G107" s="23"/>
      <c r="H107" s="28">
        <v>0</v>
      </c>
    </row>
    <row r="108" spans="1:8">
      <c r="A108" s="29"/>
      <c r="B108" s="29"/>
      <c r="C108" s="30"/>
      <c r="D108" s="29"/>
      <c r="E108" s="32"/>
      <c r="F108" s="31"/>
      <c r="G108" s="33"/>
      <c r="H108" s="28">
        <v>0</v>
      </c>
    </row>
    <row r="109" spans="1:8">
      <c r="A109" s="15"/>
      <c r="B109" s="15"/>
      <c r="C109" s="16"/>
      <c r="D109" s="15"/>
      <c r="E109" s="35"/>
      <c r="F109" s="34"/>
      <c r="G109" s="36" t="s">
        <v>105</v>
      </c>
      <c r="H109" s="37">
        <v>0</v>
      </c>
    </row>
    <row r="110" spans="1:8">
      <c r="A110" s="15"/>
      <c r="B110" s="15"/>
      <c r="C110" s="16"/>
      <c r="D110" s="66" t="s">
        <v>106</v>
      </c>
      <c r="E110" s="18" t="s">
        <v>102</v>
      </c>
      <c r="F110" s="17" t="s">
        <v>101</v>
      </c>
      <c r="G110" s="18" t="s">
        <v>103</v>
      </c>
      <c r="H110" s="18" t="s">
        <v>104</v>
      </c>
    </row>
    <row r="111" spans="1:8">
      <c r="A111" s="38"/>
      <c r="B111" s="38"/>
      <c r="C111" s="38"/>
      <c r="D111" s="39"/>
      <c r="E111" s="27"/>
      <c r="F111" s="26"/>
      <c r="G111" s="28"/>
      <c r="H111" s="28">
        <v>0</v>
      </c>
    </row>
    <row r="112" spans="1:8">
      <c r="A112" s="38"/>
      <c r="B112" s="38"/>
      <c r="C112" s="38"/>
      <c r="D112" s="39"/>
      <c r="E112" s="27"/>
      <c r="F112" s="26"/>
      <c r="G112" s="28"/>
      <c r="H112" s="28">
        <v>0</v>
      </c>
    </row>
    <row r="113" spans="1:10">
      <c r="A113" s="38"/>
      <c r="B113" s="38"/>
      <c r="C113" s="38"/>
      <c r="D113" s="39"/>
      <c r="E113" s="27"/>
      <c r="F113" s="26"/>
      <c r="G113" s="28"/>
      <c r="H113" s="28">
        <v>0</v>
      </c>
    </row>
    <row r="114" spans="1:10">
      <c r="A114" s="38"/>
      <c r="B114" s="38"/>
      <c r="C114" s="38"/>
      <c r="D114" s="39"/>
      <c r="E114" s="27"/>
      <c r="F114" s="26"/>
      <c r="G114" s="28"/>
      <c r="H114" s="28">
        <v>0</v>
      </c>
    </row>
    <row r="115" spans="1:10">
      <c r="A115" s="41"/>
      <c r="B115" s="15"/>
      <c r="C115" s="16"/>
      <c r="D115" s="15"/>
      <c r="E115" s="35"/>
      <c r="F115" s="34"/>
      <c r="G115" s="36" t="s">
        <v>108</v>
      </c>
      <c r="H115" s="37">
        <v>0</v>
      </c>
    </row>
    <row r="116" spans="1:10">
      <c r="A116" s="41"/>
      <c r="B116" s="15"/>
      <c r="C116" s="16"/>
      <c r="D116" s="66" t="s">
        <v>109</v>
      </c>
      <c r="E116" s="18" t="s">
        <v>102</v>
      </c>
      <c r="F116" s="17" t="s">
        <v>101</v>
      </c>
      <c r="G116" s="18" t="s">
        <v>110</v>
      </c>
      <c r="H116" s="18" t="s">
        <v>104</v>
      </c>
    </row>
    <row r="117" spans="1:10" ht="25.5">
      <c r="A117" s="42" t="s">
        <v>19</v>
      </c>
      <c r="B117" s="42" t="s">
        <v>107</v>
      </c>
      <c r="C117" s="43">
        <v>93358</v>
      </c>
      <c r="D117" s="44" t="s">
        <v>197</v>
      </c>
      <c r="E117" s="22" t="s">
        <v>6</v>
      </c>
      <c r="F117" s="21">
        <v>0.33</v>
      </c>
      <c r="G117" s="23">
        <v>53.68</v>
      </c>
      <c r="H117" s="28">
        <f t="shared" ref="H117:H122" si="0">G117*F117</f>
        <v>17.714400000000001</v>
      </c>
    </row>
    <row r="118" spans="1:10" ht="25.5">
      <c r="A118" s="42" t="s">
        <v>19</v>
      </c>
      <c r="B118" s="42" t="s">
        <v>107</v>
      </c>
      <c r="C118" s="43" t="s">
        <v>192</v>
      </c>
      <c r="D118" s="44" t="s">
        <v>195</v>
      </c>
      <c r="E118" s="22" t="s">
        <v>5</v>
      </c>
      <c r="F118" s="21">
        <v>1</v>
      </c>
      <c r="G118" s="23">
        <v>79.78</v>
      </c>
      <c r="H118" s="28">
        <f t="shared" si="0"/>
        <v>79.78</v>
      </c>
    </row>
    <row r="119" spans="1:10" ht="25.5">
      <c r="A119" s="42" t="s">
        <v>19</v>
      </c>
      <c r="B119" s="42" t="s">
        <v>107</v>
      </c>
      <c r="C119" s="43" t="s">
        <v>193</v>
      </c>
      <c r="D119" s="44" t="s">
        <v>194</v>
      </c>
      <c r="E119" s="22" t="s">
        <v>116</v>
      </c>
      <c r="F119" s="21">
        <v>7.7</v>
      </c>
      <c r="G119" s="23">
        <v>7.07</v>
      </c>
      <c r="H119" s="28">
        <f t="shared" si="0"/>
        <v>54.439</v>
      </c>
    </row>
    <row r="120" spans="1:10" s="87" customFormat="1" ht="38.25">
      <c r="A120" s="91" t="s">
        <v>19</v>
      </c>
      <c r="B120" s="91" t="s">
        <v>107</v>
      </c>
      <c r="C120" s="97">
        <v>92873</v>
      </c>
      <c r="D120" s="85" t="s">
        <v>291</v>
      </c>
      <c r="E120" s="298" t="s">
        <v>6</v>
      </c>
      <c r="F120" s="297">
        <v>0.11</v>
      </c>
      <c r="G120" s="21">
        <v>139.1</v>
      </c>
      <c r="H120" s="28">
        <f t="shared" si="0"/>
        <v>15.301</v>
      </c>
    </row>
    <row r="121" spans="1:10" ht="51">
      <c r="A121" s="91" t="s">
        <v>19</v>
      </c>
      <c r="B121" s="91" t="s">
        <v>107</v>
      </c>
      <c r="C121" s="97">
        <v>94964</v>
      </c>
      <c r="D121" s="85" t="s">
        <v>294</v>
      </c>
      <c r="E121" s="298" t="s">
        <v>6</v>
      </c>
      <c r="F121" s="297">
        <v>0.11</v>
      </c>
      <c r="G121" s="21">
        <v>366.48</v>
      </c>
      <c r="H121" s="28">
        <f t="shared" si="0"/>
        <v>40.312800000000003</v>
      </c>
      <c r="J121">
        <v>72183</v>
      </c>
    </row>
    <row r="122" spans="1:10" ht="25.5">
      <c r="A122" s="42" t="s">
        <v>19</v>
      </c>
      <c r="B122" s="42" t="s">
        <v>107</v>
      </c>
      <c r="C122" s="38">
        <v>93382</v>
      </c>
      <c r="D122" s="44" t="s">
        <v>198</v>
      </c>
      <c r="E122" s="22" t="s">
        <v>6</v>
      </c>
      <c r="F122" s="21">
        <v>0.15</v>
      </c>
      <c r="G122" s="23">
        <v>20.55</v>
      </c>
      <c r="H122" s="28">
        <f t="shared" si="0"/>
        <v>3.0825</v>
      </c>
    </row>
    <row r="123" spans="1:10">
      <c r="A123" s="15"/>
      <c r="B123" s="15"/>
      <c r="C123" s="16"/>
      <c r="D123" s="15"/>
      <c r="E123" s="35"/>
      <c r="F123" s="34"/>
      <c r="G123" s="36" t="s">
        <v>111</v>
      </c>
      <c r="H123" s="37">
        <f>SUM(H117:H122)</f>
        <v>210.62970000000001</v>
      </c>
    </row>
    <row r="124" spans="1:10">
      <c r="A124" s="15"/>
      <c r="B124" s="15"/>
      <c r="C124" s="16"/>
      <c r="D124" s="45" t="s">
        <v>112</v>
      </c>
      <c r="E124" s="35"/>
      <c r="F124" s="34"/>
      <c r="G124" s="37"/>
      <c r="H124" s="37">
        <f>H123+H115+H109</f>
        <v>210.62970000000001</v>
      </c>
    </row>
    <row r="125" spans="1:10">
      <c r="A125" s="15"/>
      <c r="B125" s="15"/>
      <c r="C125" s="16"/>
      <c r="D125" s="46" t="s">
        <v>113</v>
      </c>
      <c r="E125" s="35"/>
      <c r="F125" s="47">
        <v>0</v>
      </c>
      <c r="G125" s="37"/>
      <c r="H125" s="37">
        <f>H124*F125</f>
        <v>0</v>
      </c>
    </row>
    <row r="126" spans="1:10">
      <c r="A126" s="15"/>
      <c r="B126" s="15"/>
      <c r="C126" s="16"/>
      <c r="D126" s="46" t="s">
        <v>114</v>
      </c>
      <c r="E126" s="35"/>
      <c r="F126" s="48"/>
      <c r="G126" s="37"/>
      <c r="H126" s="37">
        <f>H125+H124</f>
        <v>210.62970000000001</v>
      </c>
    </row>
    <row r="127" spans="1:10">
      <c r="A127" s="49"/>
      <c r="B127" s="49"/>
      <c r="C127" s="50"/>
      <c r="D127" s="51"/>
      <c r="E127" s="53"/>
      <c r="F127" s="52"/>
      <c r="G127" s="54"/>
      <c r="H127" s="54"/>
    </row>
    <row r="128" spans="1:10" s="87" customFormat="1">
      <c r="A128" s="93"/>
      <c r="B128" s="93"/>
      <c r="C128" s="94"/>
      <c r="D128" s="95"/>
      <c r="E128" s="53"/>
      <c r="F128" s="52"/>
      <c r="G128" s="54"/>
      <c r="H128" s="54"/>
    </row>
    <row r="129" spans="1:8" s="87" customFormat="1">
      <c r="A129" s="93"/>
      <c r="B129" s="93"/>
      <c r="C129" s="94"/>
      <c r="D129" s="95"/>
      <c r="E129" s="53"/>
      <c r="F129" s="52"/>
      <c r="G129" s="54"/>
      <c r="H129" s="54"/>
    </row>
    <row r="130" spans="1:8" s="87" customFormat="1">
      <c r="A130" s="93"/>
      <c r="B130" s="93"/>
      <c r="C130" s="94"/>
      <c r="D130" s="95"/>
      <c r="E130" s="53"/>
      <c r="F130" s="52"/>
      <c r="G130" s="54"/>
      <c r="H130" s="54"/>
    </row>
    <row r="131" spans="1:8">
      <c r="A131" s="566" t="s">
        <v>95</v>
      </c>
      <c r="B131" s="566" t="s">
        <v>96</v>
      </c>
      <c r="C131" s="567" t="s">
        <v>25</v>
      </c>
      <c r="D131" s="9" t="s">
        <v>97</v>
      </c>
      <c r="E131" s="11"/>
      <c r="F131" s="10"/>
      <c r="G131" s="11"/>
      <c r="H131" s="12"/>
    </row>
    <row r="132" spans="1:8">
      <c r="A132" s="566"/>
      <c r="B132" s="566"/>
      <c r="C132" s="567"/>
      <c r="D132" s="569" t="s">
        <v>98</v>
      </c>
      <c r="E132" s="570"/>
      <c r="F132" s="570"/>
      <c r="G132" s="13" t="s">
        <v>99</v>
      </c>
      <c r="H132" s="14" t="s">
        <v>84</v>
      </c>
    </row>
    <row r="133" spans="1:8" ht="46.5" customHeight="1">
      <c r="A133" s="183"/>
      <c r="B133" s="183"/>
      <c r="C133" s="184">
        <v>5</v>
      </c>
      <c r="D133" s="571" t="s">
        <v>238</v>
      </c>
      <c r="E133" s="571"/>
      <c r="F133" s="571"/>
      <c r="G133" s="185" t="s">
        <v>82</v>
      </c>
      <c r="H133" s="182">
        <v>42948</v>
      </c>
    </row>
    <row r="134" spans="1:8">
      <c r="A134" s="15"/>
      <c r="B134" s="15"/>
      <c r="C134" s="16"/>
      <c r="D134" s="67" t="s">
        <v>100</v>
      </c>
      <c r="E134" s="18" t="s">
        <v>102</v>
      </c>
      <c r="F134" s="17" t="s">
        <v>101</v>
      </c>
      <c r="G134" s="18" t="s">
        <v>103</v>
      </c>
      <c r="H134" s="18" t="s">
        <v>104</v>
      </c>
    </row>
    <row r="135" spans="1:8">
      <c r="A135" s="19"/>
      <c r="B135" s="19"/>
      <c r="C135" s="20"/>
      <c r="D135" s="19"/>
      <c r="E135" s="22"/>
      <c r="F135" s="21"/>
      <c r="G135" s="23"/>
      <c r="H135" s="28">
        <v>0</v>
      </c>
    </row>
    <row r="136" spans="1:8">
      <c r="A136" s="19"/>
      <c r="B136" s="19"/>
      <c r="C136" s="20"/>
      <c r="D136" s="19"/>
      <c r="E136" s="22"/>
      <c r="F136" s="21"/>
      <c r="G136" s="23"/>
      <c r="H136" s="28">
        <v>0</v>
      </c>
    </row>
    <row r="137" spans="1:8">
      <c r="A137" s="19"/>
      <c r="B137" s="19"/>
      <c r="C137" s="20"/>
      <c r="D137" s="19"/>
      <c r="E137" s="22"/>
      <c r="F137" s="21"/>
      <c r="G137" s="23"/>
      <c r="H137" s="28">
        <v>0</v>
      </c>
    </row>
    <row r="138" spans="1:8">
      <c r="A138" s="29"/>
      <c r="B138" s="29"/>
      <c r="C138" s="30"/>
      <c r="D138" s="29"/>
      <c r="E138" s="32"/>
      <c r="F138" s="31"/>
      <c r="G138" s="33"/>
      <c r="H138" s="28">
        <v>0</v>
      </c>
    </row>
    <row r="139" spans="1:8">
      <c r="A139" s="15"/>
      <c r="B139" s="15"/>
      <c r="C139" s="16"/>
      <c r="D139" s="15"/>
      <c r="E139" s="35"/>
      <c r="F139" s="34"/>
      <c r="G139" s="36" t="s">
        <v>105</v>
      </c>
      <c r="H139" s="37">
        <v>0</v>
      </c>
    </row>
    <row r="140" spans="1:8">
      <c r="A140" s="15"/>
      <c r="B140" s="15"/>
      <c r="C140" s="16"/>
      <c r="D140" s="67" t="s">
        <v>106</v>
      </c>
      <c r="E140" s="18" t="s">
        <v>102</v>
      </c>
      <c r="F140" s="17" t="s">
        <v>101</v>
      </c>
      <c r="G140" s="18" t="s">
        <v>103</v>
      </c>
      <c r="H140" s="18" t="s">
        <v>104</v>
      </c>
    </row>
    <row r="141" spans="1:8">
      <c r="A141" s="38"/>
      <c r="B141" s="38"/>
      <c r="C141" s="38"/>
      <c r="D141" s="39"/>
      <c r="E141" s="27"/>
      <c r="F141" s="26"/>
      <c r="G141" s="28"/>
      <c r="H141" s="28">
        <v>0</v>
      </c>
    </row>
    <row r="142" spans="1:8">
      <c r="A142" s="38"/>
      <c r="B142" s="38"/>
      <c r="C142" s="38"/>
      <c r="D142" s="39"/>
      <c r="E142" s="27"/>
      <c r="F142" s="26"/>
      <c r="G142" s="28"/>
      <c r="H142" s="28">
        <v>0</v>
      </c>
    </row>
    <row r="143" spans="1:8">
      <c r="A143" s="38"/>
      <c r="B143" s="38"/>
      <c r="C143" s="38"/>
      <c r="D143" s="39"/>
      <c r="E143" s="27"/>
      <c r="F143" s="26"/>
      <c r="G143" s="28"/>
      <c r="H143" s="28">
        <v>0</v>
      </c>
    </row>
    <row r="144" spans="1:8">
      <c r="A144" s="38"/>
      <c r="B144" s="38"/>
      <c r="C144" s="38"/>
      <c r="D144" s="39"/>
      <c r="E144" s="27"/>
      <c r="F144" s="26"/>
      <c r="G144" s="28"/>
      <c r="H144" s="28">
        <v>0</v>
      </c>
    </row>
    <row r="145" spans="1:8">
      <c r="A145" s="41"/>
      <c r="B145" s="15"/>
      <c r="C145" s="16"/>
      <c r="D145" s="15"/>
      <c r="E145" s="35"/>
      <c r="F145" s="34"/>
      <c r="G145" s="36" t="s">
        <v>108</v>
      </c>
      <c r="H145" s="37">
        <v>0</v>
      </c>
    </row>
    <row r="146" spans="1:8">
      <c r="A146" s="41"/>
      <c r="B146" s="15"/>
      <c r="C146" s="16"/>
      <c r="D146" s="67" t="s">
        <v>109</v>
      </c>
      <c r="E146" s="18" t="s">
        <v>102</v>
      </c>
      <c r="F146" s="17" t="s">
        <v>101</v>
      </c>
      <c r="G146" s="18" t="s">
        <v>110</v>
      </c>
      <c r="H146" s="18" t="s">
        <v>104</v>
      </c>
    </row>
    <row r="147" spans="1:8" ht="25.5">
      <c r="A147" s="42" t="s">
        <v>19</v>
      </c>
      <c r="B147" s="42" t="s">
        <v>107</v>
      </c>
      <c r="C147" s="43">
        <v>93358</v>
      </c>
      <c r="D147" s="44" t="s">
        <v>197</v>
      </c>
      <c r="E147" s="22" t="s">
        <v>6</v>
      </c>
      <c r="F147" s="21">
        <v>0.02</v>
      </c>
      <c r="G147" s="23">
        <v>53.68</v>
      </c>
      <c r="H147" s="28">
        <f>ROUND(G147*F147,2)</f>
        <v>1.07</v>
      </c>
    </row>
    <row r="148" spans="1:8" ht="25.5">
      <c r="A148" s="42" t="s">
        <v>19</v>
      </c>
      <c r="B148" s="42" t="s">
        <v>107</v>
      </c>
      <c r="C148" s="43" t="s">
        <v>192</v>
      </c>
      <c r="D148" s="44" t="s">
        <v>195</v>
      </c>
      <c r="E148" s="22" t="s">
        <v>5</v>
      </c>
      <c r="F148" s="21">
        <v>1.59</v>
      </c>
      <c r="G148" s="23">
        <v>79.78</v>
      </c>
      <c r="H148" s="28">
        <f>ROUND(G148*F148,2)</f>
        <v>126.85</v>
      </c>
    </row>
    <row r="149" spans="1:8" ht="25.5">
      <c r="A149" s="42" t="s">
        <v>19</v>
      </c>
      <c r="B149" s="42" t="s">
        <v>107</v>
      </c>
      <c r="C149" s="43">
        <v>92916</v>
      </c>
      <c r="D149" s="44" t="s">
        <v>213</v>
      </c>
      <c r="E149" s="22" t="s">
        <v>116</v>
      </c>
      <c r="F149" s="21">
        <v>5.5</v>
      </c>
      <c r="G149" s="23">
        <v>7.34</v>
      </c>
      <c r="H149" s="28">
        <f>ROUND(G149*F149,2)</f>
        <v>40.369999999999997</v>
      </c>
    </row>
    <row r="150" spans="1:8" ht="38.25">
      <c r="A150" s="91" t="s">
        <v>19</v>
      </c>
      <c r="B150" s="42" t="s">
        <v>279</v>
      </c>
      <c r="C150" s="97">
        <v>92873</v>
      </c>
      <c r="D150" s="85" t="s">
        <v>291</v>
      </c>
      <c r="E150" s="298" t="s">
        <v>6</v>
      </c>
      <c r="F150" s="297">
        <v>0.1065</v>
      </c>
      <c r="G150" s="169">
        <v>139.1</v>
      </c>
      <c r="H150" s="28">
        <f>ROUND(G150*F150,2)</f>
        <v>14.81</v>
      </c>
    </row>
    <row r="151" spans="1:8" ht="51">
      <c r="A151" s="42"/>
      <c r="B151" s="42"/>
      <c r="C151" s="97">
        <v>94964</v>
      </c>
      <c r="D151" s="85" t="s">
        <v>294</v>
      </c>
      <c r="E151" s="298" t="s">
        <v>6</v>
      </c>
      <c r="F151" s="297">
        <v>0.1065</v>
      </c>
      <c r="G151" s="169">
        <v>366.48</v>
      </c>
      <c r="H151" s="28">
        <f>ROUND(G151*F151,2)</f>
        <v>39.03</v>
      </c>
    </row>
    <row r="152" spans="1:8">
      <c r="A152" s="42"/>
      <c r="B152" s="42"/>
      <c r="C152" s="43"/>
      <c r="D152" s="44"/>
      <c r="E152" s="22"/>
      <c r="F152" s="21"/>
      <c r="G152" s="23"/>
      <c r="H152" s="28">
        <v>0</v>
      </c>
    </row>
    <row r="153" spans="1:8">
      <c r="A153" s="15"/>
      <c r="B153" s="15"/>
      <c r="C153" s="16"/>
      <c r="D153" s="15"/>
      <c r="E153" s="35"/>
      <c r="F153" s="34"/>
      <c r="G153" s="36" t="s">
        <v>111</v>
      </c>
      <c r="H153" s="37">
        <f>SUM(H147:H151)</f>
        <v>222.13</v>
      </c>
    </row>
    <row r="154" spans="1:8">
      <c r="A154" s="15"/>
      <c r="B154" s="15"/>
      <c r="C154" s="16"/>
      <c r="D154" s="45" t="s">
        <v>112</v>
      </c>
      <c r="E154" s="35"/>
      <c r="F154" s="34"/>
      <c r="G154" s="37"/>
      <c r="H154" s="37">
        <f>H139+H145+H153</f>
        <v>222.13</v>
      </c>
    </row>
    <row r="155" spans="1:8">
      <c r="A155" s="15"/>
      <c r="B155" s="15"/>
      <c r="C155" s="16"/>
      <c r="D155" s="46" t="s">
        <v>113</v>
      </c>
      <c r="E155" s="35"/>
      <c r="F155" s="47">
        <v>0</v>
      </c>
      <c r="G155" s="37"/>
      <c r="H155" s="37">
        <v>0</v>
      </c>
    </row>
    <row r="156" spans="1:8">
      <c r="A156" s="15"/>
      <c r="B156" s="15"/>
      <c r="C156" s="16"/>
      <c r="D156" s="46" t="s">
        <v>114</v>
      </c>
      <c r="E156" s="35"/>
      <c r="F156" s="48"/>
      <c r="G156" s="37"/>
      <c r="H156" s="37">
        <f>H154+H155</f>
        <v>222.13</v>
      </c>
    </row>
    <row r="157" spans="1:8">
      <c r="A157" s="49"/>
      <c r="B157" s="49"/>
      <c r="C157" s="50"/>
      <c r="D157" s="51"/>
      <c r="E157" s="53"/>
      <c r="F157" s="52"/>
      <c r="G157" s="54"/>
      <c r="H157" s="54"/>
    </row>
    <row r="158" spans="1:8" s="87" customFormat="1">
      <c r="A158" s="93"/>
      <c r="B158" s="93"/>
      <c r="C158" s="94"/>
      <c r="D158" s="95"/>
      <c r="E158" s="53"/>
      <c r="F158" s="52"/>
      <c r="G158" s="54"/>
      <c r="H158" s="54"/>
    </row>
    <row r="159" spans="1:8" s="87" customFormat="1">
      <c r="A159" s="93"/>
      <c r="B159" s="93"/>
      <c r="C159" s="94"/>
      <c r="D159" s="95"/>
      <c r="E159" s="53"/>
      <c r="F159" s="52"/>
      <c r="G159" s="54"/>
      <c r="H159" s="54"/>
    </row>
    <row r="160" spans="1:8" s="87" customFormat="1">
      <c r="A160" s="93"/>
      <c r="B160" s="93"/>
      <c r="C160" s="94"/>
      <c r="D160" s="95"/>
      <c r="E160" s="53"/>
      <c r="F160" s="52"/>
      <c r="G160" s="54"/>
      <c r="H160" s="54"/>
    </row>
    <row r="161" spans="1:8">
      <c r="A161" s="566" t="s">
        <v>95</v>
      </c>
      <c r="B161" s="566" t="s">
        <v>96</v>
      </c>
      <c r="C161" s="567" t="s">
        <v>25</v>
      </c>
      <c r="D161" s="9" t="s">
        <v>97</v>
      </c>
      <c r="E161" s="11"/>
      <c r="F161" s="10"/>
      <c r="G161" s="11"/>
      <c r="H161" s="12"/>
    </row>
    <row r="162" spans="1:8">
      <c r="A162" s="566"/>
      <c r="B162" s="566"/>
      <c r="C162" s="567"/>
      <c r="D162" s="569" t="s">
        <v>98</v>
      </c>
      <c r="E162" s="570"/>
      <c r="F162" s="570"/>
      <c r="G162" s="13" t="s">
        <v>99</v>
      </c>
      <c r="H162" s="14" t="s">
        <v>84</v>
      </c>
    </row>
    <row r="163" spans="1:8" ht="42.75" customHeight="1">
      <c r="A163" s="183" t="s">
        <v>365</v>
      </c>
      <c r="B163" s="183"/>
      <c r="C163" s="184">
        <v>6</v>
      </c>
      <c r="D163" s="571" t="s">
        <v>239</v>
      </c>
      <c r="E163" s="571"/>
      <c r="F163" s="571"/>
      <c r="G163" s="185" t="s">
        <v>82</v>
      </c>
      <c r="H163" s="182">
        <v>42948</v>
      </c>
    </row>
    <row r="164" spans="1:8">
      <c r="A164" s="15"/>
      <c r="B164" s="15"/>
      <c r="C164" s="16"/>
      <c r="D164" s="67" t="s">
        <v>100</v>
      </c>
      <c r="E164" s="18" t="s">
        <v>102</v>
      </c>
      <c r="F164" s="17" t="s">
        <v>101</v>
      </c>
      <c r="G164" s="18" t="s">
        <v>103</v>
      </c>
      <c r="H164" s="18" t="s">
        <v>104</v>
      </c>
    </row>
    <row r="165" spans="1:8">
      <c r="A165" s="19"/>
      <c r="B165" s="19"/>
      <c r="C165" s="20"/>
      <c r="D165" s="19"/>
      <c r="E165" s="22"/>
      <c r="F165" s="21"/>
      <c r="G165" s="23"/>
      <c r="H165" s="28">
        <v>0</v>
      </c>
    </row>
    <row r="166" spans="1:8">
      <c r="A166" s="19"/>
      <c r="B166" s="19"/>
      <c r="C166" s="20"/>
      <c r="D166" s="19"/>
      <c r="E166" s="22"/>
      <c r="F166" s="21"/>
      <c r="G166" s="23"/>
      <c r="H166" s="28">
        <v>0</v>
      </c>
    </row>
    <row r="167" spans="1:8">
      <c r="A167" s="19"/>
      <c r="B167" s="19"/>
      <c r="C167" s="20"/>
      <c r="D167" s="19"/>
      <c r="E167" s="22"/>
      <c r="F167" s="21"/>
      <c r="G167" s="23"/>
      <c r="H167" s="28">
        <v>0</v>
      </c>
    </row>
    <row r="168" spans="1:8">
      <c r="A168" s="19"/>
      <c r="B168" s="19"/>
      <c r="C168" s="20"/>
      <c r="D168" s="19"/>
      <c r="E168" s="22"/>
      <c r="F168" s="21"/>
      <c r="G168" s="23"/>
      <c r="H168" s="28">
        <v>0</v>
      </c>
    </row>
    <row r="169" spans="1:8">
      <c r="A169" s="29"/>
      <c r="B169" s="29"/>
      <c r="C169" s="30"/>
      <c r="D169" s="29"/>
      <c r="E169" s="32"/>
      <c r="F169" s="31"/>
      <c r="G169" s="33"/>
      <c r="H169" s="28">
        <v>0</v>
      </c>
    </row>
    <row r="170" spans="1:8">
      <c r="A170" s="15"/>
      <c r="B170" s="15"/>
      <c r="C170" s="16"/>
      <c r="D170" s="15"/>
      <c r="E170" s="35"/>
      <c r="F170" s="34"/>
      <c r="G170" s="36" t="s">
        <v>105</v>
      </c>
      <c r="H170" s="37">
        <v>0</v>
      </c>
    </row>
    <row r="171" spans="1:8">
      <c r="A171" s="15"/>
      <c r="B171" s="15"/>
      <c r="C171" s="16"/>
      <c r="D171" s="67" t="s">
        <v>106</v>
      </c>
      <c r="E171" s="18" t="s">
        <v>102</v>
      </c>
      <c r="F171" s="17" t="s">
        <v>101</v>
      </c>
      <c r="G171" s="18" t="s">
        <v>103</v>
      </c>
      <c r="H171" s="18" t="s">
        <v>104</v>
      </c>
    </row>
    <row r="172" spans="1:8" ht="25.5">
      <c r="A172" s="38" t="s">
        <v>19</v>
      </c>
      <c r="B172" s="38" t="s">
        <v>107</v>
      </c>
      <c r="C172" s="38">
        <v>88309</v>
      </c>
      <c r="D172" s="39" t="s">
        <v>119</v>
      </c>
      <c r="E172" s="27" t="s">
        <v>88</v>
      </c>
      <c r="F172" s="26">
        <v>1</v>
      </c>
      <c r="G172" s="28">
        <v>17.05</v>
      </c>
      <c r="H172" s="28">
        <f>G172*F172</f>
        <v>17.05</v>
      </c>
    </row>
    <row r="173" spans="1:8" ht="25.5">
      <c r="A173" s="38" t="s">
        <v>19</v>
      </c>
      <c r="B173" s="38" t="s">
        <v>107</v>
      </c>
      <c r="C173" s="38">
        <v>88316</v>
      </c>
      <c r="D173" s="39" t="s">
        <v>117</v>
      </c>
      <c r="E173" s="27" t="s">
        <v>88</v>
      </c>
      <c r="F173" s="26">
        <v>1</v>
      </c>
      <c r="G173" s="28">
        <v>13.57</v>
      </c>
      <c r="H173" s="28">
        <f>G173*F173</f>
        <v>13.57</v>
      </c>
    </row>
    <row r="174" spans="1:8">
      <c r="A174" s="38"/>
      <c r="B174" s="38"/>
      <c r="C174" s="38"/>
      <c r="D174" s="39"/>
      <c r="E174" s="27"/>
      <c r="F174" s="26"/>
      <c r="G174" s="28"/>
      <c r="H174" s="28">
        <v>0</v>
      </c>
    </row>
    <row r="175" spans="1:8">
      <c r="A175" s="38"/>
      <c r="B175" s="38"/>
      <c r="C175" s="38"/>
      <c r="D175" s="39"/>
      <c r="E175" s="27"/>
      <c r="F175" s="26"/>
      <c r="G175" s="28"/>
      <c r="H175" s="28">
        <v>0</v>
      </c>
    </row>
    <row r="176" spans="1:8">
      <c r="A176" s="38"/>
      <c r="B176" s="38"/>
      <c r="C176" s="38"/>
      <c r="D176" s="39"/>
      <c r="E176" s="27"/>
      <c r="F176" s="26"/>
      <c r="G176" s="28"/>
      <c r="H176" s="28">
        <v>0</v>
      </c>
    </row>
    <row r="177" spans="1:8">
      <c r="A177" s="41"/>
      <c r="B177" s="15"/>
      <c r="C177" s="16"/>
      <c r="D177" s="15"/>
      <c r="E177" s="35"/>
      <c r="F177" s="34"/>
      <c r="G177" s="36" t="s">
        <v>108</v>
      </c>
      <c r="H177" s="37">
        <f>SUM(H172:H176)</f>
        <v>30.62</v>
      </c>
    </row>
    <row r="178" spans="1:8">
      <c r="A178" s="41"/>
      <c r="B178" s="15"/>
      <c r="C178" s="16"/>
      <c r="D178" s="67" t="s">
        <v>109</v>
      </c>
      <c r="E178" s="18" t="s">
        <v>102</v>
      </c>
      <c r="F178" s="17" t="s">
        <v>101</v>
      </c>
      <c r="G178" s="18" t="s">
        <v>110</v>
      </c>
      <c r="H178" s="18" t="s">
        <v>104</v>
      </c>
    </row>
    <row r="179" spans="1:8" ht="25.5">
      <c r="A179" s="42" t="s">
        <v>19</v>
      </c>
      <c r="B179" s="42" t="s">
        <v>107</v>
      </c>
      <c r="C179" s="43">
        <v>93358</v>
      </c>
      <c r="D179" s="44" t="s">
        <v>197</v>
      </c>
      <c r="E179" s="22" t="s">
        <v>6</v>
      </c>
      <c r="F179" s="21">
        <v>1.6E-2</v>
      </c>
      <c r="G179" s="23">
        <v>53.68</v>
      </c>
      <c r="H179" s="28">
        <f>G179*F179</f>
        <v>0.85887999999999998</v>
      </c>
    </row>
    <row r="180" spans="1:8" ht="25.5">
      <c r="A180" s="42" t="s">
        <v>21</v>
      </c>
      <c r="B180" s="42" t="s">
        <v>107</v>
      </c>
      <c r="C180" s="43">
        <v>50034</v>
      </c>
      <c r="D180" s="44" t="s">
        <v>129</v>
      </c>
      <c r="E180" s="22" t="s">
        <v>6</v>
      </c>
      <c r="F180" s="21">
        <v>1.6E-2</v>
      </c>
      <c r="G180" s="55">
        <v>53.68</v>
      </c>
      <c r="H180" s="28">
        <f>G180*F180</f>
        <v>0.85887999999999998</v>
      </c>
    </row>
    <row r="181" spans="1:8" ht="25.5">
      <c r="A181" s="42" t="s">
        <v>121</v>
      </c>
      <c r="B181" s="42" t="s">
        <v>115</v>
      </c>
      <c r="C181" s="43">
        <v>11237</v>
      </c>
      <c r="D181" s="44" t="s">
        <v>212</v>
      </c>
      <c r="E181" s="22" t="s">
        <v>84</v>
      </c>
      <c r="F181" s="21">
        <v>1</v>
      </c>
      <c r="G181" s="23">
        <v>311</v>
      </c>
      <c r="H181" s="28">
        <f>G181*F181</f>
        <v>311</v>
      </c>
    </row>
    <row r="182" spans="1:8">
      <c r="A182" s="42"/>
      <c r="B182" s="42"/>
      <c r="C182" s="43"/>
      <c r="D182" s="44"/>
      <c r="E182" s="22"/>
      <c r="F182" s="21"/>
      <c r="G182" s="23"/>
      <c r="H182" s="28">
        <v>0</v>
      </c>
    </row>
    <row r="183" spans="1:8">
      <c r="A183" s="42"/>
      <c r="B183" s="42"/>
      <c r="C183" s="43"/>
      <c r="D183" s="44"/>
      <c r="E183" s="22"/>
      <c r="F183" s="21"/>
      <c r="G183" s="23"/>
      <c r="H183" s="28">
        <v>0</v>
      </c>
    </row>
    <row r="184" spans="1:8">
      <c r="A184" s="15"/>
      <c r="B184" s="15"/>
      <c r="C184" s="16"/>
      <c r="D184" s="15"/>
      <c r="E184" s="35"/>
      <c r="F184" s="34"/>
      <c r="G184" s="36" t="s">
        <v>111</v>
      </c>
      <c r="H184" s="37">
        <f>SUM(H179:H183)</f>
        <v>312.71776</v>
      </c>
    </row>
    <row r="185" spans="1:8">
      <c r="A185" s="15"/>
      <c r="B185" s="15"/>
      <c r="C185" s="16"/>
      <c r="D185" s="45" t="s">
        <v>112</v>
      </c>
      <c r="E185" s="35"/>
      <c r="F185" s="34"/>
      <c r="G185" s="37"/>
      <c r="H185" s="37">
        <f>H177+H184</f>
        <v>343.33776</v>
      </c>
    </row>
    <row r="186" spans="1:8">
      <c r="A186" s="15"/>
      <c r="B186" s="15"/>
      <c r="C186" s="16"/>
      <c r="D186" s="46" t="s">
        <v>113</v>
      </c>
      <c r="E186" s="35"/>
      <c r="F186" s="47">
        <v>0</v>
      </c>
      <c r="G186" s="37"/>
      <c r="H186" s="37">
        <v>0</v>
      </c>
    </row>
    <row r="187" spans="1:8">
      <c r="A187" s="15"/>
      <c r="B187" s="15"/>
      <c r="C187" s="16"/>
      <c r="D187" s="46" t="s">
        <v>114</v>
      </c>
      <c r="E187" s="35"/>
      <c r="F187" s="48"/>
      <c r="G187" s="37"/>
      <c r="H187" s="37">
        <f>H185</f>
        <v>343.33776</v>
      </c>
    </row>
    <row r="188" spans="1:8" s="87" customFormat="1">
      <c r="A188" s="93"/>
      <c r="B188" s="93"/>
      <c r="C188" s="94"/>
      <c r="D188" s="95"/>
      <c r="E188" s="53"/>
      <c r="F188" s="52"/>
      <c r="G188" s="54"/>
      <c r="H188" s="54"/>
    </row>
    <row r="189" spans="1:8" s="87" customFormat="1">
      <c r="A189" s="93"/>
      <c r="B189" s="93"/>
      <c r="C189" s="94"/>
      <c r="D189" s="95"/>
      <c r="E189" s="53"/>
      <c r="F189" s="52"/>
      <c r="G189" s="54"/>
      <c r="H189" s="54"/>
    </row>
    <row r="190" spans="1:8" s="87" customFormat="1">
      <c r="A190" s="93"/>
      <c r="B190" s="93"/>
      <c r="C190" s="94"/>
      <c r="D190" s="95"/>
      <c r="E190" s="53"/>
      <c r="F190" s="52"/>
      <c r="G190" s="54"/>
      <c r="H190" s="54"/>
    </row>
    <row r="192" spans="1:8">
      <c r="A192" s="566" t="s">
        <v>95</v>
      </c>
      <c r="B192" s="566" t="s">
        <v>96</v>
      </c>
      <c r="C192" s="567" t="s">
        <v>25</v>
      </c>
      <c r="D192" s="9" t="s">
        <v>97</v>
      </c>
      <c r="E192" s="11"/>
      <c r="F192" s="10"/>
      <c r="G192" s="11"/>
      <c r="H192" s="12"/>
    </row>
    <row r="193" spans="1:8">
      <c r="A193" s="566"/>
      <c r="B193" s="566"/>
      <c r="C193" s="567"/>
      <c r="D193" s="569" t="s">
        <v>98</v>
      </c>
      <c r="E193" s="570"/>
      <c r="F193" s="570"/>
      <c r="G193" s="13" t="s">
        <v>99</v>
      </c>
      <c r="H193" s="14" t="s">
        <v>5</v>
      </c>
    </row>
    <row r="194" spans="1:8" ht="48" customHeight="1">
      <c r="A194" s="183"/>
      <c r="B194" s="183"/>
      <c r="C194" s="184">
        <v>7</v>
      </c>
      <c r="D194" s="571" t="s">
        <v>214</v>
      </c>
      <c r="E194" s="571"/>
      <c r="F194" s="571"/>
      <c r="G194" s="185" t="s">
        <v>82</v>
      </c>
      <c r="H194" s="182">
        <v>42948</v>
      </c>
    </row>
    <row r="195" spans="1:8">
      <c r="A195" s="15"/>
      <c r="B195" s="15"/>
      <c r="C195" s="16"/>
      <c r="D195" s="86" t="s">
        <v>100</v>
      </c>
      <c r="E195" s="18" t="s">
        <v>102</v>
      </c>
      <c r="F195" s="17" t="s">
        <v>101</v>
      </c>
      <c r="G195" s="18" t="s">
        <v>103</v>
      </c>
      <c r="H195" s="18" t="s">
        <v>104</v>
      </c>
    </row>
    <row r="196" spans="1:8">
      <c r="A196" s="19"/>
      <c r="B196" s="19"/>
      <c r="C196" s="20"/>
      <c r="D196" s="19"/>
      <c r="E196" s="22"/>
      <c r="F196" s="21"/>
      <c r="G196" s="23"/>
      <c r="H196" s="28">
        <v>0</v>
      </c>
    </row>
    <row r="197" spans="1:8">
      <c r="A197" s="19"/>
      <c r="B197" s="19"/>
      <c r="C197" s="20"/>
      <c r="D197" s="19"/>
      <c r="E197" s="22"/>
      <c r="F197" s="21"/>
      <c r="G197" s="23"/>
      <c r="H197" s="28">
        <v>0</v>
      </c>
    </row>
    <row r="198" spans="1:8">
      <c r="A198" s="19"/>
      <c r="B198" s="19"/>
      <c r="C198" s="20"/>
      <c r="D198" s="19"/>
      <c r="E198" s="22"/>
      <c r="F198" s="21"/>
      <c r="G198" s="23"/>
      <c r="H198" s="28">
        <v>0</v>
      </c>
    </row>
    <row r="199" spans="1:8">
      <c r="A199" s="19"/>
      <c r="B199" s="19"/>
      <c r="C199" s="20"/>
      <c r="D199" s="19"/>
      <c r="E199" s="22"/>
      <c r="F199" s="21"/>
      <c r="G199" s="23"/>
      <c r="H199" s="28">
        <v>0</v>
      </c>
    </row>
    <row r="200" spans="1:8">
      <c r="A200" s="29"/>
      <c r="B200" s="29"/>
      <c r="C200" s="30"/>
      <c r="D200" s="29"/>
      <c r="E200" s="32"/>
      <c r="F200" s="31"/>
      <c r="G200" s="33"/>
      <c r="H200" s="28">
        <v>0</v>
      </c>
    </row>
    <row r="201" spans="1:8">
      <c r="A201" s="15"/>
      <c r="B201" s="15"/>
      <c r="C201" s="16"/>
      <c r="D201" s="15"/>
      <c r="E201" s="35"/>
      <c r="F201" s="34"/>
      <c r="G201" s="36" t="s">
        <v>105</v>
      </c>
      <c r="H201" s="37">
        <v>0</v>
      </c>
    </row>
    <row r="202" spans="1:8">
      <c r="A202" s="15"/>
      <c r="B202" s="15"/>
      <c r="C202" s="16"/>
      <c r="D202" s="86" t="s">
        <v>106</v>
      </c>
      <c r="E202" s="18" t="s">
        <v>102</v>
      </c>
      <c r="F202" s="17" t="s">
        <v>101</v>
      </c>
      <c r="G202" s="18" t="s">
        <v>103</v>
      </c>
      <c r="H202" s="18" t="s">
        <v>104</v>
      </c>
    </row>
    <row r="203" spans="1:8" ht="25.5">
      <c r="A203" s="38" t="s">
        <v>19</v>
      </c>
      <c r="B203" s="38" t="s">
        <v>107</v>
      </c>
      <c r="C203" s="38">
        <v>88309</v>
      </c>
      <c r="D203" s="39" t="s">
        <v>119</v>
      </c>
      <c r="E203" s="27" t="s">
        <v>88</v>
      </c>
      <c r="F203" s="26">
        <v>2.2000000000000002</v>
      </c>
      <c r="G203" s="28">
        <v>17.05</v>
      </c>
      <c r="H203" s="28">
        <f>F203*G203</f>
        <v>37.510000000000005</v>
      </c>
    </row>
    <row r="204" spans="1:8" ht="25.5">
      <c r="A204" s="38" t="s">
        <v>19</v>
      </c>
      <c r="B204" s="38" t="s">
        <v>107</v>
      </c>
      <c r="C204" s="38">
        <v>88316</v>
      </c>
      <c r="D204" s="39" t="s">
        <v>117</v>
      </c>
      <c r="E204" s="27" t="s">
        <v>88</v>
      </c>
      <c r="F204" s="26">
        <v>2.2000000000000002</v>
      </c>
      <c r="G204" s="28">
        <v>13.57</v>
      </c>
      <c r="H204" s="28">
        <f>F204*G204</f>
        <v>29.854000000000003</v>
      </c>
    </row>
    <row r="205" spans="1:8">
      <c r="A205" s="38"/>
      <c r="B205" s="38"/>
      <c r="C205" s="38"/>
      <c r="D205" s="39"/>
      <c r="E205" s="27"/>
      <c r="F205" s="26"/>
      <c r="G205" s="28"/>
      <c r="H205" s="28">
        <v>0</v>
      </c>
    </row>
    <row r="206" spans="1:8">
      <c r="A206" s="38"/>
      <c r="B206" s="38"/>
      <c r="C206" s="38"/>
      <c r="D206" s="39"/>
      <c r="E206" s="27"/>
      <c r="F206" s="26"/>
      <c r="G206" s="28"/>
      <c r="H206" s="28">
        <v>0</v>
      </c>
    </row>
    <row r="207" spans="1:8">
      <c r="A207" s="38"/>
      <c r="B207" s="38"/>
      <c r="C207" s="38"/>
      <c r="D207" s="39"/>
      <c r="E207" s="27"/>
      <c r="F207" s="26"/>
      <c r="G207" s="28"/>
      <c r="H207" s="28">
        <v>0</v>
      </c>
    </row>
    <row r="208" spans="1:8">
      <c r="A208" s="41"/>
      <c r="B208" s="15"/>
      <c r="C208" s="16"/>
      <c r="D208" s="15"/>
      <c r="E208" s="35"/>
      <c r="F208" s="34"/>
      <c r="G208" s="36" t="s">
        <v>108</v>
      </c>
      <c r="H208" s="37">
        <f>SUM(H203:H207)</f>
        <v>67.364000000000004</v>
      </c>
    </row>
    <row r="209" spans="1:8">
      <c r="A209" s="41"/>
      <c r="B209" s="15"/>
      <c r="C209" s="16"/>
      <c r="D209" s="86" t="s">
        <v>109</v>
      </c>
      <c r="E209" s="18" t="s">
        <v>102</v>
      </c>
      <c r="F209" s="17" t="s">
        <v>101</v>
      </c>
      <c r="G209" s="18" t="s">
        <v>110</v>
      </c>
      <c r="H209" s="18" t="s">
        <v>104</v>
      </c>
    </row>
    <row r="210" spans="1:8" ht="25.5">
      <c r="A210" s="42" t="s">
        <v>19</v>
      </c>
      <c r="B210" s="42" t="s">
        <v>115</v>
      </c>
      <c r="C210" s="43">
        <v>36178</v>
      </c>
      <c r="D210" s="44" t="s">
        <v>215</v>
      </c>
      <c r="E210" s="22" t="s">
        <v>102</v>
      </c>
      <c r="F210" s="21">
        <v>6.25</v>
      </c>
      <c r="G210" s="23">
        <v>6.67</v>
      </c>
      <c r="H210" s="28">
        <f>F210*G210</f>
        <v>41.6875</v>
      </c>
    </row>
    <row r="211" spans="1:8">
      <c r="A211" s="42"/>
      <c r="B211" s="42"/>
      <c r="C211" s="43"/>
      <c r="D211" s="44"/>
      <c r="E211" s="22"/>
      <c r="F211" s="21"/>
      <c r="G211" s="23"/>
      <c r="H211" s="28"/>
    </row>
    <row r="212" spans="1:8">
      <c r="A212" s="42"/>
      <c r="B212" s="42"/>
      <c r="C212" s="43"/>
      <c r="D212" s="44"/>
      <c r="E212" s="22"/>
      <c r="F212" s="21"/>
      <c r="G212" s="23"/>
      <c r="H212" s="28"/>
    </row>
    <row r="213" spans="1:8">
      <c r="A213" s="42"/>
      <c r="B213" s="42"/>
      <c r="C213" s="43"/>
      <c r="D213" s="44"/>
      <c r="E213" s="22"/>
      <c r="F213" s="21"/>
      <c r="G213" s="23"/>
      <c r="H213" s="28">
        <v>0</v>
      </c>
    </row>
    <row r="214" spans="1:8">
      <c r="A214" s="42"/>
      <c r="B214" s="42"/>
      <c r="C214" s="43"/>
      <c r="D214" s="44"/>
      <c r="E214" s="22"/>
      <c r="F214" s="21"/>
      <c r="G214" s="23"/>
      <c r="H214" s="28">
        <v>0</v>
      </c>
    </row>
    <row r="215" spans="1:8">
      <c r="A215" s="15"/>
      <c r="B215" s="15"/>
      <c r="C215" s="16"/>
      <c r="D215" s="15"/>
      <c r="E215" s="35"/>
      <c r="F215" s="34"/>
      <c r="G215" s="36" t="s">
        <v>111</v>
      </c>
      <c r="H215" s="37">
        <f>SUM(H210:H214)</f>
        <v>41.6875</v>
      </c>
    </row>
    <row r="216" spans="1:8">
      <c r="A216" s="15"/>
      <c r="B216" s="15"/>
      <c r="C216" s="16"/>
      <c r="D216" s="45" t="s">
        <v>112</v>
      </c>
      <c r="E216" s="35"/>
      <c r="F216" s="34"/>
      <c r="G216" s="37"/>
      <c r="H216" s="37">
        <f>H215+H208+H201</f>
        <v>109.0515</v>
      </c>
    </row>
    <row r="217" spans="1:8">
      <c r="A217" s="15"/>
      <c r="B217" s="15"/>
      <c r="C217" s="16"/>
      <c r="D217" s="46" t="s">
        <v>113</v>
      </c>
      <c r="E217" s="35"/>
      <c r="F217" s="47">
        <v>0</v>
      </c>
      <c r="G217" s="37"/>
      <c r="H217" s="37">
        <v>0</v>
      </c>
    </row>
    <row r="218" spans="1:8">
      <c r="A218" s="15"/>
      <c r="B218" s="15"/>
      <c r="C218" s="16"/>
      <c r="D218" s="46" t="s">
        <v>114</v>
      </c>
      <c r="E218" s="35"/>
      <c r="F218" s="48"/>
      <c r="G218" s="37"/>
      <c r="H218" s="37">
        <f>H216+H217</f>
        <v>109.0515</v>
      </c>
    </row>
    <row r="219" spans="1:8" s="87" customFormat="1">
      <c r="A219" s="88"/>
      <c r="B219" s="88"/>
      <c r="C219" s="89"/>
      <c r="D219" s="92"/>
      <c r="E219" s="35"/>
      <c r="F219" s="48"/>
      <c r="G219" s="37"/>
      <c r="H219" s="37"/>
    </row>
    <row r="220" spans="1:8">
      <c r="A220" s="93"/>
      <c r="B220" s="93"/>
      <c r="C220" s="94"/>
      <c r="D220" s="95"/>
      <c r="E220" s="53"/>
      <c r="F220" s="52"/>
      <c r="G220" s="54"/>
      <c r="H220" s="54"/>
    </row>
  </sheetData>
  <mergeCells count="36">
    <mergeCell ref="A192:A193"/>
    <mergeCell ref="B192:B193"/>
    <mergeCell ref="C192:C193"/>
    <mergeCell ref="D193:F193"/>
    <mergeCell ref="D194:F194"/>
    <mergeCell ref="D163:F163"/>
    <mergeCell ref="D133:F133"/>
    <mergeCell ref="A161:A162"/>
    <mergeCell ref="B161:B162"/>
    <mergeCell ref="C161:C162"/>
    <mergeCell ref="D162:F162"/>
    <mergeCell ref="B7:D7"/>
    <mergeCell ref="D71:F71"/>
    <mergeCell ref="A131:A132"/>
    <mergeCell ref="B131:B132"/>
    <mergeCell ref="C131:C132"/>
    <mergeCell ref="D132:F132"/>
    <mergeCell ref="A101:A102"/>
    <mergeCell ref="B101:B102"/>
    <mergeCell ref="C101:C102"/>
    <mergeCell ref="D102:F102"/>
    <mergeCell ref="D103:F103"/>
    <mergeCell ref="D41:F41"/>
    <mergeCell ref="D42:F42"/>
    <mergeCell ref="D72:F72"/>
    <mergeCell ref="C10:C11"/>
    <mergeCell ref="D11:F11"/>
    <mergeCell ref="D12:F12"/>
    <mergeCell ref="A10:A11"/>
    <mergeCell ref="B10:B11"/>
    <mergeCell ref="A70:A71"/>
    <mergeCell ref="B70:B71"/>
    <mergeCell ref="C70:C71"/>
    <mergeCell ref="A40:A41"/>
    <mergeCell ref="B40:B41"/>
    <mergeCell ref="C40:C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horizontalDpi="360" verticalDpi="360" r:id="rId1"/>
  <headerFooter differentFirst="1"/>
  <drawing r:id="rId2"/>
  <legacyDrawing r:id="rId3"/>
  <oleObjects>
    <mc:AlternateContent xmlns:mc="http://schemas.openxmlformats.org/markup-compatibility/2006">
      <mc:Choice Requires="x14">
        <oleObject progId="StaticMetafile" shapeId="5121" r:id="rId4">
          <objectPr defaultSize="0" autoPict="0" r:id="rId5">
            <anchor moveWithCells="1" sizeWithCells="1">
              <from>
                <xdr:col>1</xdr:col>
                <xdr:colOff>190500</xdr:colOff>
                <xdr:row>1</xdr:row>
                <xdr:rowOff>152400</xdr:rowOff>
              </from>
              <to>
                <xdr:col>2</xdr:col>
                <xdr:colOff>552450</xdr:colOff>
                <xdr:row>3</xdr:row>
                <xdr:rowOff>133350</xdr:rowOff>
              </to>
            </anchor>
          </objectPr>
        </oleObject>
      </mc:Choice>
      <mc:Fallback>
        <oleObject progId="StaticMetafile" shapeId="512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"/>
  <sheetViews>
    <sheetView topLeftCell="A16" zoomScaleNormal="100" zoomScaleSheetLayoutView="90" zoomScalePageLayoutView="85" workbookViewId="0">
      <selection activeCell="A29" sqref="A29:G29"/>
    </sheetView>
  </sheetViews>
  <sheetFormatPr defaultRowHeight="15"/>
  <cols>
    <col min="1" max="1" width="10.85546875" customWidth="1"/>
    <col min="2" max="2" width="16.28515625" customWidth="1"/>
    <col min="3" max="3" width="13.42578125" customWidth="1"/>
    <col min="4" max="4" width="38.42578125" customWidth="1"/>
    <col min="5" max="5" width="9.140625" style="87"/>
    <col min="6" max="6" width="11" bestFit="1" customWidth="1"/>
    <col min="7" max="7" width="19.140625" customWidth="1"/>
    <col min="8" max="8" width="22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" customHeight="1">
      <c r="A5" s="7"/>
      <c r="B5" s="7" t="s">
        <v>137</v>
      </c>
      <c r="C5" s="7"/>
      <c r="D5" s="7"/>
      <c r="E5" s="2"/>
      <c r="F5" s="3"/>
      <c r="G5" s="56" t="s">
        <v>94</v>
      </c>
      <c r="H5" s="57" t="s">
        <v>254</v>
      </c>
    </row>
    <row r="6" spans="1:8">
      <c r="A6" s="7" t="s">
        <v>0</v>
      </c>
      <c r="B6" s="7" t="s">
        <v>281</v>
      </c>
      <c r="C6" s="7"/>
      <c r="D6" s="7"/>
      <c r="E6" s="6"/>
      <c r="F6" s="6"/>
      <c r="G6" s="56"/>
      <c r="H6" s="57" t="s">
        <v>255</v>
      </c>
    </row>
    <row r="7" spans="1:8" ht="15" customHeight="1">
      <c r="A7" s="3" t="s">
        <v>135</v>
      </c>
      <c r="B7" s="568" t="s">
        <v>136</v>
      </c>
      <c r="C7" s="568"/>
      <c r="D7" s="568"/>
      <c r="E7" s="8"/>
      <c r="F7" s="8"/>
      <c r="G7" s="56"/>
      <c r="H7" s="57" t="s">
        <v>190</v>
      </c>
    </row>
    <row r="8" spans="1:8">
      <c r="A8" s="4"/>
      <c r="B8" s="8"/>
      <c r="C8" s="8"/>
      <c r="D8" s="8"/>
      <c r="E8" s="8"/>
      <c r="F8" s="8"/>
      <c r="G8" s="7"/>
      <c r="H8" s="5"/>
    </row>
    <row r="9" spans="1:8">
      <c r="A9" s="49"/>
      <c r="B9" s="49"/>
      <c r="C9" s="50"/>
      <c r="D9" s="51"/>
      <c r="E9" s="53"/>
      <c r="F9" s="52"/>
      <c r="G9" s="54"/>
      <c r="H9" s="54"/>
    </row>
    <row r="10" spans="1:8">
      <c r="A10" s="49"/>
      <c r="B10" s="49"/>
      <c r="C10" s="50"/>
      <c r="D10" s="51"/>
      <c r="E10" s="53"/>
      <c r="F10" s="52"/>
      <c r="G10" s="54"/>
      <c r="H10" s="54"/>
    </row>
    <row r="11" spans="1:8">
      <c r="A11" s="566" t="s">
        <v>95</v>
      </c>
      <c r="B11" s="566" t="s">
        <v>96</v>
      </c>
      <c r="C11" s="567" t="s">
        <v>25</v>
      </c>
      <c r="D11" s="9" t="s">
        <v>97</v>
      </c>
      <c r="E11" s="11"/>
      <c r="F11" s="10"/>
      <c r="G11" s="11"/>
      <c r="H11" s="12"/>
    </row>
    <row r="12" spans="1:8">
      <c r="A12" s="566"/>
      <c r="B12" s="566"/>
      <c r="C12" s="567"/>
      <c r="D12" s="569" t="s">
        <v>98</v>
      </c>
      <c r="E12" s="570"/>
      <c r="F12" s="570"/>
      <c r="G12" s="13" t="s">
        <v>99</v>
      </c>
      <c r="H12" s="14" t="s">
        <v>6</v>
      </c>
    </row>
    <row r="13" spans="1:8" ht="54.75" customHeight="1">
      <c r="A13" s="186"/>
      <c r="B13" s="183"/>
      <c r="C13" s="184">
        <v>8</v>
      </c>
      <c r="D13" s="571" t="s">
        <v>126</v>
      </c>
      <c r="E13" s="571"/>
      <c r="F13" s="571"/>
      <c r="G13" s="185" t="s">
        <v>82</v>
      </c>
      <c r="H13" s="182">
        <v>42948</v>
      </c>
    </row>
    <row r="14" spans="1:8">
      <c r="A14" s="15"/>
      <c r="B14" s="15"/>
      <c r="C14" s="16"/>
      <c r="D14" s="58" t="s">
        <v>100</v>
      </c>
      <c r="E14" s="18" t="s">
        <v>102</v>
      </c>
      <c r="F14" s="17" t="s">
        <v>101</v>
      </c>
      <c r="G14" s="18" t="s">
        <v>103</v>
      </c>
      <c r="H14" s="18" t="s">
        <v>104</v>
      </c>
    </row>
    <row r="15" spans="1:8">
      <c r="A15" s="19"/>
      <c r="B15" s="19"/>
      <c r="C15" s="20"/>
      <c r="D15" s="19"/>
      <c r="E15" s="22"/>
      <c r="F15" s="21"/>
      <c r="G15" s="23"/>
      <c r="H15" s="28">
        <v>0</v>
      </c>
    </row>
    <row r="16" spans="1:8">
      <c r="A16" s="24"/>
      <c r="B16" s="24"/>
      <c r="C16" s="25"/>
      <c r="D16" s="24"/>
      <c r="E16" s="27"/>
      <c r="F16" s="26"/>
      <c r="G16" s="28"/>
      <c r="H16" s="28">
        <v>0</v>
      </c>
    </row>
    <row r="17" spans="1:8">
      <c r="A17" s="24"/>
      <c r="B17" s="24"/>
      <c r="C17" s="25"/>
      <c r="D17" s="24"/>
      <c r="E17" s="27"/>
      <c r="F17" s="26"/>
      <c r="G17" s="28"/>
      <c r="H17" s="28">
        <v>0</v>
      </c>
    </row>
    <row r="18" spans="1:8">
      <c r="A18" s="24"/>
      <c r="B18" s="24"/>
      <c r="C18" s="25"/>
      <c r="D18" s="24"/>
      <c r="E18" s="27"/>
      <c r="F18" s="26"/>
      <c r="G18" s="28"/>
      <c r="H18" s="28">
        <v>0</v>
      </c>
    </row>
    <row r="19" spans="1:8">
      <c r="A19" s="29"/>
      <c r="B19" s="29"/>
      <c r="C19" s="30"/>
      <c r="D19" s="29"/>
      <c r="E19" s="32"/>
      <c r="F19" s="31"/>
      <c r="G19" s="33"/>
      <c r="H19" s="28">
        <v>0</v>
      </c>
    </row>
    <row r="20" spans="1:8">
      <c r="A20" s="15"/>
      <c r="B20" s="15"/>
      <c r="C20" s="16"/>
      <c r="D20" s="15"/>
      <c r="E20" s="35"/>
      <c r="F20" s="34"/>
      <c r="G20" s="36" t="s">
        <v>105</v>
      </c>
      <c r="H20" s="37">
        <v>0</v>
      </c>
    </row>
    <row r="21" spans="1:8">
      <c r="A21" s="15"/>
      <c r="B21" s="15"/>
      <c r="C21" s="16"/>
      <c r="D21" s="58" t="s">
        <v>106</v>
      </c>
      <c r="E21" s="18" t="s">
        <v>102</v>
      </c>
      <c r="F21" s="17" t="s">
        <v>101</v>
      </c>
      <c r="G21" s="18" t="s">
        <v>103</v>
      </c>
      <c r="H21" s="18" t="s">
        <v>104</v>
      </c>
    </row>
    <row r="22" spans="1:8" ht="25.5">
      <c r="A22" s="38" t="s">
        <v>19</v>
      </c>
      <c r="B22" s="38" t="s">
        <v>107</v>
      </c>
      <c r="C22" s="38">
        <v>88316</v>
      </c>
      <c r="D22" s="39" t="s">
        <v>117</v>
      </c>
      <c r="E22" s="27" t="s">
        <v>88</v>
      </c>
      <c r="F22" s="26">
        <v>1</v>
      </c>
      <c r="G22" s="28">
        <v>13.35</v>
      </c>
      <c r="H22" s="28">
        <v>13.35</v>
      </c>
    </row>
    <row r="23" spans="1:8">
      <c r="A23" s="38"/>
      <c r="B23" s="38"/>
      <c r="C23" s="38"/>
      <c r="D23" s="39"/>
      <c r="E23" s="27"/>
      <c r="F23" s="26"/>
      <c r="G23" s="28"/>
      <c r="H23" s="28">
        <v>0</v>
      </c>
    </row>
    <row r="24" spans="1:8">
      <c r="A24" s="38"/>
      <c r="B24" s="38"/>
      <c r="C24" s="38"/>
      <c r="D24" s="39"/>
      <c r="E24" s="27"/>
      <c r="F24" s="26"/>
      <c r="G24" s="28"/>
      <c r="H24" s="28">
        <v>0</v>
      </c>
    </row>
    <row r="25" spans="1:8">
      <c r="A25" s="38"/>
      <c r="B25" s="24"/>
      <c r="C25" s="38"/>
      <c r="D25" s="39"/>
      <c r="E25" s="27"/>
      <c r="F25" s="26"/>
      <c r="G25" s="28"/>
      <c r="H25" s="28">
        <v>0</v>
      </c>
    </row>
    <row r="26" spans="1:8">
      <c r="A26" s="40"/>
      <c r="B26" s="29"/>
      <c r="C26" s="30"/>
      <c r="D26" s="29"/>
      <c r="E26" s="32"/>
      <c r="F26" s="31"/>
      <c r="G26" s="33"/>
      <c r="H26" s="28">
        <v>0</v>
      </c>
    </row>
    <row r="27" spans="1:8">
      <c r="A27" s="41"/>
      <c r="B27" s="15"/>
      <c r="C27" s="16"/>
      <c r="D27" s="15"/>
      <c r="E27" s="35"/>
      <c r="F27" s="34"/>
      <c r="G27" s="36" t="s">
        <v>108</v>
      </c>
      <c r="H27" s="37">
        <f>SUM(H22:H26)</f>
        <v>13.35</v>
      </c>
    </row>
    <row r="28" spans="1:8">
      <c r="A28" s="41"/>
      <c r="B28" s="15"/>
      <c r="C28" s="16"/>
      <c r="D28" s="58" t="s">
        <v>109</v>
      </c>
      <c r="E28" s="18" t="s">
        <v>102</v>
      </c>
      <c r="F28" s="17" t="s">
        <v>101</v>
      </c>
      <c r="G28" s="18" t="s">
        <v>110</v>
      </c>
      <c r="H28" s="18" t="s">
        <v>104</v>
      </c>
    </row>
    <row r="29" spans="1:8">
      <c r="A29" s="42" t="s">
        <v>21</v>
      </c>
      <c r="B29" s="42" t="s">
        <v>115</v>
      </c>
      <c r="C29" s="43" t="s">
        <v>127</v>
      </c>
      <c r="D29" s="44" t="s">
        <v>128</v>
      </c>
      <c r="E29" s="22" t="s">
        <v>6</v>
      </c>
      <c r="F29" s="21">
        <v>1</v>
      </c>
      <c r="G29" s="23">
        <v>70</v>
      </c>
      <c r="H29" s="28">
        <v>70</v>
      </c>
    </row>
    <row r="30" spans="1:8">
      <c r="A30" s="42"/>
      <c r="B30" s="42"/>
      <c r="C30" s="38"/>
      <c r="D30" s="39"/>
      <c r="E30" s="27"/>
      <c r="F30" s="26"/>
      <c r="G30" s="28"/>
      <c r="H30" s="28">
        <v>0</v>
      </c>
    </row>
    <row r="31" spans="1:8">
      <c r="A31" s="42"/>
      <c r="B31" s="42"/>
      <c r="C31" s="38"/>
      <c r="D31" s="39"/>
      <c r="E31" s="27"/>
      <c r="F31" s="26"/>
      <c r="G31" s="28"/>
      <c r="H31" s="28">
        <v>0</v>
      </c>
    </row>
    <row r="32" spans="1:8">
      <c r="A32" s="38"/>
      <c r="B32" s="38"/>
      <c r="C32" s="38"/>
      <c r="D32" s="39"/>
      <c r="E32" s="27"/>
      <c r="F32" s="26"/>
      <c r="G32" s="28"/>
      <c r="H32" s="28">
        <v>0</v>
      </c>
    </row>
    <row r="33" spans="1:8">
      <c r="A33" s="38"/>
      <c r="B33" s="38"/>
      <c r="C33" s="38"/>
      <c r="D33" s="39"/>
      <c r="E33" s="27"/>
      <c r="F33" s="26"/>
      <c r="G33" s="28"/>
      <c r="H33" s="28">
        <v>0</v>
      </c>
    </row>
    <row r="34" spans="1:8">
      <c r="A34" s="15"/>
      <c r="B34" s="15"/>
      <c r="C34" s="16"/>
      <c r="D34" s="15"/>
      <c r="E34" s="35"/>
      <c r="F34" s="34"/>
      <c r="G34" s="36" t="s">
        <v>111</v>
      </c>
      <c r="H34" s="37">
        <f>SUM(H29:H33)</f>
        <v>70</v>
      </c>
    </row>
    <row r="35" spans="1:8">
      <c r="A35" s="15"/>
      <c r="B35" s="15"/>
      <c r="C35" s="16"/>
      <c r="D35" s="45" t="s">
        <v>112</v>
      </c>
      <c r="E35" s="35"/>
      <c r="F35" s="34"/>
      <c r="G35" s="37"/>
      <c r="H35" s="181">
        <f>SUM(H22,H34)</f>
        <v>83.35</v>
      </c>
    </row>
    <row r="36" spans="1:8">
      <c r="A36" s="15"/>
      <c r="B36" s="15"/>
      <c r="C36" s="16"/>
      <c r="D36" s="46" t="s">
        <v>113</v>
      </c>
      <c r="E36" s="35"/>
      <c r="F36" s="47">
        <v>0</v>
      </c>
      <c r="G36" s="37"/>
      <c r="H36" s="37">
        <v>0</v>
      </c>
    </row>
    <row r="37" spans="1:8">
      <c r="A37" s="15"/>
      <c r="B37" s="15"/>
      <c r="C37" s="16"/>
      <c r="D37" s="46" t="s">
        <v>114</v>
      </c>
      <c r="E37" s="35"/>
      <c r="F37" s="48"/>
      <c r="G37" s="37"/>
      <c r="H37" s="37">
        <f>H35</f>
        <v>83.35</v>
      </c>
    </row>
    <row r="38" spans="1:8">
      <c r="A38" s="49"/>
      <c r="B38" s="49"/>
      <c r="C38" s="50"/>
      <c r="D38" s="51"/>
      <c r="E38" s="53"/>
      <c r="F38" s="52"/>
      <c r="G38" s="54"/>
      <c r="H38" s="54"/>
    </row>
    <row r="39" spans="1:8">
      <c r="A39" s="49"/>
      <c r="B39" s="49"/>
      <c r="C39" s="50"/>
      <c r="D39" s="51"/>
      <c r="E39" s="53"/>
      <c r="F39" s="52"/>
      <c r="G39" s="54"/>
      <c r="H39" s="54"/>
    </row>
  </sheetData>
  <mergeCells count="6">
    <mergeCell ref="D13:F13"/>
    <mergeCell ref="B7:D7"/>
    <mergeCell ref="A11:A12"/>
    <mergeCell ref="B11:B12"/>
    <mergeCell ref="C11:C12"/>
    <mergeCell ref="D12:F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horizontalDpi="360" verticalDpi="360" r:id="rId1"/>
  <headerFooter differentFirst="1">
    <oddFooter xml:space="preserve">&amp;C&amp;8Av. Governador José Malcher, nº 168, Sl. 516, Edifício Centro Empresarial Bolonha
Bairro: Nazaré – Belém – Pará - CEP: 66.040-281
CNPJ: 05.628.505/0001-19 / Fone: (91)3269-0770
E-mail:contato@salesengenharia.com.br /paulo@salesengenharia.com.br
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6145" r:id="rId4">
          <objectPr defaultSize="0" autoPict="0" r:id="rId5">
            <anchor moveWithCells="1" sizeWithCells="1">
              <from>
                <xdr:col>1</xdr:col>
                <xdr:colOff>352425</xdr:colOff>
                <xdr:row>1</xdr:row>
                <xdr:rowOff>66675</xdr:rowOff>
              </from>
              <to>
                <xdr:col>2</xdr:col>
                <xdr:colOff>866775</xdr:colOff>
                <xdr:row>3</xdr:row>
                <xdr:rowOff>76200</xdr:rowOff>
              </to>
            </anchor>
          </objectPr>
        </oleObject>
      </mc:Choice>
      <mc:Fallback>
        <oleObject progId="StaticMetafile" shapeId="614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8"/>
  <sheetViews>
    <sheetView view="pageBreakPreview" topLeftCell="A117" zoomScaleNormal="100" zoomScaleSheetLayoutView="100" zoomScalePageLayoutView="80" workbookViewId="0">
      <selection activeCell="C126" sqref="C126"/>
    </sheetView>
  </sheetViews>
  <sheetFormatPr defaultRowHeight="15"/>
  <cols>
    <col min="1" max="1" width="11.42578125" style="124" bestFit="1" customWidth="1"/>
    <col min="2" max="2" width="58.140625" customWidth="1"/>
    <col min="4" max="5" width="9.28515625" bestFit="1" customWidth="1"/>
    <col min="6" max="6" width="18.140625" bestFit="1" customWidth="1"/>
    <col min="7" max="7" width="10" bestFit="1" customWidth="1"/>
    <col min="8" max="8" width="9.28515625" bestFit="1" customWidth="1"/>
    <col min="9" max="9" width="12.42578125" bestFit="1" customWidth="1"/>
    <col min="10" max="10" width="14.42578125" bestFit="1" customWidth="1"/>
    <col min="11" max="11" width="12.42578125" bestFit="1" customWidth="1"/>
  </cols>
  <sheetData>
    <row r="1" spans="1:11">
      <c r="A1" s="120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20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20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120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21"/>
      <c r="B5" s="7" t="s">
        <v>137</v>
      </c>
      <c r="C5" s="7"/>
      <c r="D5" s="7"/>
      <c r="E5" s="2"/>
      <c r="F5" s="2"/>
      <c r="G5" s="2"/>
      <c r="H5" s="2"/>
      <c r="I5" s="2"/>
      <c r="J5" s="2"/>
      <c r="K5" s="2"/>
    </row>
    <row r="6" spans="1:11">
      <c r="A6" s="121" t="s">
        <v>0</v>
      </c>
      <c r="B6" s="7" t="s">
        <v>281</v>
      </c>
      <c r="C6" s="7"/>
      <c r="D6" s="7"/>
      <c r="E6" s="2"/>
      <c r="F6" s="2"/>
      <c r="G6" s="2"/>
      <c r="H6" s="2"/>
      <c r="I6" s="2"/>
      <c r="J6" s="2"/>
      <c r="K6" s="2"/>
    </row>
    <row r="7" spans="1:11">
      <c r="A7" s="144" t="s">
        <v>135</v>
      </c>
      <c r="B7" s="568" t="s">
        <v>136</v>
      </c>
      <c r="C7" s="568"/>
      <c r="D7" s="568"/>
      <c r="E7" s="2"/>
      <c r="F7" s="2"/>
      <c r="G7" s="2"/>
      <c r="H7" s="2"/>
      <c r="I7" s="2"/>
      <c r="J7" s="2"/>
      <c r="K7" s="2"/>
    </row>
    <row r="8" spans="1:11" ht="15" customHeight="1">
      <c r="A8" s="577" t="s">
        <v>171</v>
      </c>
      <c r="B8" s="577"/>
      <c r="C8" s="577"/>
      <c r="D8" s="577"/>
      <c r="E8" s="577"/>
      <c r="F8" s="577"/>
      <c r="G8" s="577"/>
      <c r="H8" s="577"/>
      <c r="I8" s="577"/>
      <c r="J8" s="577"/>
      <c r="K8" s="577"/>
    </row>
    <row r="9" spans="1:11">
      <c r="A9" s="579"/>
      <c r="B9" s="580"/>
      <c r="C9" s="581"/>
      <c r="D9" s="61" t="s">
        <v>102</v>
      </c>
      <c r="E9" s="61" t="s">
        <v>161</v>
      </c>
      <c r="F9" s="61" t="s">
        <v>162</v>
      </c>
      <c r="G9" s="61" t="s">
        <v>164</v>
      </c>
      <c r="H9" s="61" t="s">
        <v>165</v>
      </c>
      <c r="I9" s="61" t="s">
        <v>166</v>
      </c>
      <c r="J9" s="61" t="s">
        <v>167</v>
      </c>
      <c r="K9" s="60"/>
    </row>
    <row r="10" spans="1:11">
      <c r="A10" s="122" t="s">
        <v>3</v>
      </c>
      <c r="B10" s="578" t="s">
        <v>4</v>
      </c>
      <c r="C10" s="578"/>
      <c r="D10" s="578"/>
      <c r="E10" s="578"/>
      <c r="F10" s="578"/>
      <c r="G10" s="578"/>
      <c r="H10" s="578"/>
      <c r="I10" s="578"/>
      <c r="J10" s="578"/>
      <c r="K10" s="578"/>
    </row>
    <row r="11" spans="1:11">
      <c r="A11" s="108" t="s">
        <v>89</v>
      </c>
      <c r="B11" s="60" t="e">
        <f>#REF!</f>
        <v>#REF!</v>
      </c>
      <c r="C11" s="61" t="s">
        <v>5</v>
      </c>
      <c r="D11" s="98"/>
      <c r="E11" s="98"/>
      <c r="F11" s="98"/>
      <c r="G11" s="63">
        <v>4</v>
      </c>
      <c r="H11" s="63">
        <v>2</v>
      </c>
      <c r="I11" s="99">
        <f>H11*G11</f>
        <v>8</v>
      </c>
      <c r="J11" s="60"/>
      <c r="K11" s="60"/>
    </row>
    <row r="12" spans="1:11" ht="30.75" customHeight="1">
      <c r="A12" s="108" t="s">
        <v>90</v>
      </c>
      <c r="B12" s="115" t="e">
        <f>#REF!</f>
        <v>#REF!</v>
      </c>
      <c r="C12" s="61"/>
      <c r="D12" s="100"/>
      <c r="E12" s="100"/>
      <c r="F12" s="100"/>
      <c r="G12" s="100"/>
      <c r="H12" s="100"/>
      <c r="I12" s="101">
        <f>I13+I14</f>
        <v>438.40000000000003</v>
      </c>
      <c r="J12" s="60"/>
      <c r="K12" s="60"/>
    </row>
    <row r="13" spans="1:11" s="113" customFormat="1" ht="12">
      <c r="A13" s="572" t="s">
        <v>233</v>
      </c>
      <c r="B13" s="573"/>
      <c r="C13" s="129" t="s">
        <v>7</v>
      </c>
      <c r="D13" s="130">
        <v>2</v>
      </c>
      <c r="E13" s="130">
        <v>1.6</v>
      </c>
      <c r="F13" s="130">
        <v>58</v>
      </c>
      <c r="G13" s="130"/>
      <c r="H13" s="130"/>
      <c r="I13" s="146">
        <f>F13*D13*E13</f>
        <v>185.60000000000002</v>
      </c>
      <c r="J13" s="112"/>
      <c r="K13" s="112"/>
    </row>
    <row r="14" spans="1:11" s="113" customFormat="1" ht="12">
      <c r="A14" s="572" t="s">
        <v>234</v>
      </c>
      <c r="B14" s="573"/>
      <c r="C14" s="145" t="s">
        <v>7</v>
      </c>
      <c r="D14" s="130">
        <v>2</v>
      </c>
      <c r="E14" s="130">
        <v>1.6</v>
      </c>
      <c r="F14" s="130">
        <v>79</v>
      </c>
      <c r="G14" s="130"/>
      <c r="H14" s="130"/>
      <c r="I14" s="146">
        <f>F14*D14*E14</f>
        <v>252.8</v>
      </c>
      <c r="J14" s="112"/>
      <c r="K14" s="112"/>
    </row>
    <row r="15" spans="1:11" ht="29.25" customHeight="1">
      <c r="A15" s="118" t="s">
        <v>91</v>
      </c>
      <c r="B15" s="116" t="e">
        <f>#REF!</f>
        <v>#REF!</v>
      </c>
      <c r="C15" s="61" t="s">
        <v>5</v>
      </c>
      <c r="D15" s="100"/>
      <c r="E15" s="100"/>
      <c r="F15" s="100"/>
      <c r="G15" s="100"/>
      <c r="H15" s="100"/>
      <c r="I15" s="101">
        <v>1621.14</v>
      </c>
      <c r="J15" s="60"/>
      <c r="K15" s="60"/>
    </row>
    <row r="16" spans="1:11" s="113" customFormat="1" ht="12">
      <c r="A16" s="582" t="s">
        <v>219</v>
      </c>
      <c r="B16" s="582"/>
      <c r="C16" s="119"/>
      <c r="D16" s="130">
        <v>2</v>
      </c>
      <c r="E16" s="130"/>
      <c r="F16" s="130"/>
      <c r="G16" s="130">
        <v>21.2</v>
      </c>
      <c r="H16" s="130">
        <v>35.200000000000003</v>
      </c>
      <c r="I16" s="131">
        <f>H16*G16*D16</f>
        <v>1492.48</v>
      </c>
      <c r="J16" s="112"/>
      <c r="K16" s="112"/>
    </row>
    <row r="17" spans="1:12" s="113" customFormat="1" ht="12">
      <c r="A17" s="582" t="s">
        <v>163</v>
      </c>
      <c r="B17" s="582"/>
      <c r="C17" s="119"/>
      <c r="D17" s="130">
        <v>2</v>
      </c>
      <c r="E17" s="130"/>
      <c r="F17" s="130"/>
      <c r="G17" s="130">
        <v>15.5</v>
      </c>
      <c r="H17" s="130">
        <v>24.5</v>
      </c>
      <c r="I17" s="131">
        <f>H17*G17*D17</f>
        <v>759.5</v>
      </c>
      <c r="J17" s="112"/>
      <c r="K17" s="112"/>
    </row>
    <row r="18" spans="1:12" s="132" customFormat="1" ht="11.25">
      <c r="A18" s="574" t="s">
        <v>226</v>
      </c>
      <c r="B18" s="575"/>
      <c r="C18" s="575"/>
      <c r="D18" s="575"/>
      <c r="E18" s="575"/>
      <c r="F18" s="575"/>
      <c r="G18" s="575"/>
      <c r="H18" s="575"/>
      <c r="I18" s="575"/>
      <c r="J18" s="575"/>
      <c r="K18" s="576"/>
    </row>
    <row r="19" spans="1:12">
      <c r="A19" s="122" t="s">
        <v>10</v>
      </c>
      <c r="B19" s="597" t="s">
        <v>85</v>
      </c>
      <c r="C19" s="598"/>
      <c r="D19" s="598"/>
      <c r="E19" s="598"/>
      <c r="F19" s="598"/>
      <c r="G19" s="598"/>
      <c r="H19" s="598"/>
      <c r="I19" s="598"/>
      <c r="J19" s="598"/>
      <c r="K19" s="599"/>
      <c r="L19" s="187">
        <f>J139-927067.93</f>
        <v>-927024.43</v>
      </c>
    </row>
    <row r="20" spans="1:12">
      <c r="A20" s="108" t="s">
        <v>92</v>
      </c>
      <c r="B20" s="116" t="e">
        <f>#REF!</f>
        <v>#REF!</v>
      </c>
      <c r="C20" s="61" t="s">
        <v>88</v>
      </c>
      <c r="D20" s="101">
        <v>232</v>
      </c>
      <c r="E20" s="100"/>
      <c r="F20" s="100"/>
      <c r="G20" s="100"/>
      <c r="H20" s="100"/>
      <c r="I20" s="102"/>
      <c r="J20" s="60"/>
      <c r="K20" s="60"/>
    </row>
    <row r="21" spans="1:12">
      <c r="A21" s="108" t="s">
        <v>93</v>
      </c>
      <c r="B21" s="117" t="e">
        <f>#REF!</f>
        <v>#REF!</v>
      </c>
      <c r="C21" s="147" t="s">
        <v>86</v>
      </c>
      <c r="D21" s="101">
        <v>4</v>
      </c>
      <c r="E21" s="100"/>
      <c r="F21" s="100"/>
      <c r="G21" s="100"/>
      <c r="H21" s="100"/>
      <c r="I21" s="102"/>
      <c r="J21" s="60"/>
      <c r="K21" s="60"/>
    </row>
    <row r="22" spans="1:12">
      <c r="A22" s="122" t="s">
        <v>12</v>
      </c>
      <c r="B22" s="597" t="s">
        <v>83</v>
      </c>
      <c r="C22" s="598"/>
      <c r="D22" s="598"/>
      <c r="E22" s="598"/>
      <c r="F22" s="598"/>
      <c r="G22" s="598"/>
      <c r="H22" s="598"/>
      <c r="I22" s="598"/>
      <c r="J22" s="598"/>
      <c r="K22" s="599"/>
    </row>
    <row r="23" spans="1:12">
      <c r="A23" s="108" t="s">
        <v>13</v>
      </c>
      <c r="B23" s="117" t="e">
        <f>#REF!</f>
        <v>#REF!</v>
      </c>
      <c r="C23" s="108" t="s">
        <v>6</v>
      </c>
      <c r="D23" s="63"/>
      <c r="E23" s="63">
        <v>0.03</v>
      </c>
      <c r="F23" s="63"/>
      <c r="G23" s="63"/>
      <c r="H23" s="63"/>
      <c r="I23" s="62">
        <f>3718.58</f>
        <v>3718.58</v>
      </c>
      <c r="J23" s="103">
        <f>I23*E23</f>
        <v>111.55739999999999</v>
      </c>
      <c r="K23" s="60"/>
    </row>
    <row r="24" spans="1:12" s="113" customFormat="1" ht="12">
      <c r="A24" s="615" t="s">
        <v>310</v>
      </c>
      <c r="B24" s="632"/>
      <c r="C24" s="632"/>
      <c r="D24" s="632"/>
      <c r="E24" s="632"/>
      <c r="F24" s="632"/>
      <c r="G24" s="632"/>
      <c r="H24" s="632"/>
      <c r="I24" s="632"/>
      <c r="J24" s="632"/>
      <c r="K24" s="633"/>
    </row>
    <row r="25" spans="1:12" ht="37.5" customHeight="1">
      <c r="A25" s="108" t="s">
        <v>22</v>
      </c>
      <c r="B25" s="117" t="e">
        <f>#REF!</f>
        <v>#REF!</v>
      </c>
      <c r="C25" s="61" t="s">
        <v>6</v>
      </c>
      <c r="D25" s="63"/>
      <c r="E25" s="63">
        <v>0.08</v>
      </c>
      <c r="F25" s="63"/>
      <c r="G25" s="63"/>
      <c r="H25" s="63"/>
      <c r="I25" s="62">
        <f>I26+I27+I28+I29+I30</f>
        <v>2412.08</v>
      </c>
      <c r="J25" s="99">
        <f>E25*I25</f>
        <v>192.96639999999999</v>
      </c>
      <c r="K25" s="60"/>
      <c r="L25" s="59"/>
    </row>
    <row r="26" spans="1:12" s="113" customFormat="1" ht="15.75" customHeight="1">
      <c r="A26" s="572" t="s">
        <v>216</v>
      </c>
      <c r="B26" s="573"/>
      <c r="C26" s="119"/>
      <c r="D26" s="125"/>
      <c r="E26" s="125"/>
      <c r="F26" s="125"/>
      <c r="G26" s="125"/>
      <c r="H26" s="125"/>
      <c r="I26" s="126">
        <v>439.81</v>
      </c>
      <c r="J26" s="127"/>
      <c r="K26" s="112"/>
      <c r="L26" s="128"/>
    </row>
    <row r="27" spans="1:12" s="113" customFormat="1" ht="12">
      <c r="A27" s="572" t="s">
        <v>217</v>
      </c>
      <c r="B27" s="573"/>
      <c r="C27" s="119"/>
      <c r="D27" s="125"/>
      <c r="E27" s="125"/>
      <c r="F27" s="125"/>
      <c r="G27" s="125"/>
      <c r="H27" s="125"/>
      <c r="I27" s="126">
        <v>403.09</v>
      </c>
      <c r="J27" s="127"/>
      <c r="K27" s="112"/>
      <c r="L27" s="128"/>
    </row>
    <row r="28" spans="1:12" s="113" customFormat="1" ht="15" customHeight="1">
      <c r="A28" s="572" t="s">
        <v>218</v>
      </c>
      <c r="B28" s="573"/>
      <c r="C28" s="145"/>
      <c r="D28" s="125"/>
      <c r="E28" s="125"/>
      <c r="F28" s="125"/>
      <c r="G28" s="125"/>
      <c r="H28" s="125"/>
      <c r="I28" s="126">
        <v>438.9</v>
      </c>
      <c r="J28" s="127"/>
      <c r="K28" s="112"/>
      <c r="L28" s="128"/>
    </row>
    <row r="29" spans="1:12" s="113" customFormat="1" ht="15" customHeight="1">
      <c r="A29" s="572" t="s">
        <v>235</v>
      </c>
      <c r="B29" s="573"/>
      <c r="C29" s="145"/>
      <c r="D29" s="125"/>
      <c r="E29" s="125"/>
      <c r="F29" s="125"/>
      <c r="G29" s="125"/>
      <c r="H29" s="125"/>
      <c r="I29" s="126">
        <v>298.93</v>
      </c>
      <c r="J29" s="127"/>
      <c r="K29" s="112"/>
      <c r="L29" s="128"/>
    </row>
    <row r="30" spans="1:12" s="113" customFormat="1" ht="15" customHeight="1">
      <c r="A30" s="629" t="s">
        <v>236</v>
      </c>
      <c r="B30" s="629"/>
      <c r="C30" s="154"/>
      <c r="D30" s="125"/>
      <c r="E30" s="125"/>
      <c r="F30" s="125"/>
      <c r="G30" s="125"/>
      <c r="H30" s="125"/>
      <c r="I30" s="126">
        <v>831.35</v>
      </c>
      <c r="J30" s="127"/>
      <c r="K30" s="112"/>
      <c r="L30" s="128"/>
    </row>
    <row r="31" spans="1:12" s="113" customFormat="1" ht="12.75">
      <c r="A31" s="630" t="s">
        <v>309</v>
      </c>
      <c r="B31" s="630"/>
      <c r="C31" s="630"/>
      <c r="D31" s="630"/>
      <c r="E31" s="630"/>
      <c r="F31" s="630"/>
      <c r="G31" s="630"/>
      <c r="H31" s="630"/>
      <c r="I31" s="630"/>
      <c r="J31" s="630"/>
      <c r="K31" s="631"/>
      <c r="L31" s="128"/>
    </row>
    <row r="32" spans="1:12">
      <c r="A32" s="108" t="s">
        <v>23</v>
      </c>
      <c r="B32" s="117" t="e">
        <f>#REF!</f>
        <v>#REF!</v>
      </c>
      <c r="C32" s="61" t="s">
        <v>5</v>
      </c>
      <c r="D32" s="63"/>
      <c r="E32" s="63"/>
      <c r="F32" s="62">
        <v>402.62</v>
      </c>
      <c r="G32" s="63">
        <v>0.4</v>
      </c>
      <c r="H32" s="63">
        <v>0.4</v>
      </c>
      <c r="I32" s="104">
        <f>F32*G32*H32</f>
        <v>64.419200000000004</v>
      </c>
      <c r="J32" s="107"/>
      <c r="K32" s="60"/>
      <c r="L32" s="59"/>
    </row>
    <row r="33" spans="1:11">
      <c r="A33" s="108" t="s">
        <v>24</v>
      </c>
      <c r="B33" s="117" t="e">
        <f>#REF!</f>
        <v>#REF!</v>
      </c>
      <c r="C33" s="61" t="s">
        <v>5</v>
      </c>
      <c r="D33" s="63"/>
      <c r="E33" s="63"/>
      <c r="F33" s="63"/>
      <c r="G33" s="63"/>
      <c r="H33" s="63"/>
      <c r="I33" s="99">
        <f>I34+I35+I36+I37</f>
        <v>681.06999999999994</v>
      </c>
      <c r="J33" s="60"/>
      <c r="K33" s="60"/>
    </row>
    <row r="34" spans="1:11" s="113" customFormat="1" ht="12">
      <c r="A34" s="610" t="s">
        <v>311</v>
      </c>
      <c r="B34" s="611"/>
      <c r="C34" s="119"/>
      <c r="D34" s="125"/>
      <c r="E34" s="125"/>
      <c r="F34" s="125"/>
      <c r="G34" s="127"/>
      <c r="H34" s="125"/>
      <c r="I34" s="126">
        <v>100.77</v>
      </c>
      <c r="J34" s="112"/>
      <c r="K34" s="112"/>
    </row>
    <row r="35" spans="1:11" s="113" customFormat="1" ht="12">
      <c r="A35" s="610" t="s">
        <v>312</v>
      </c>
      <c r="B35" s="611"/>
      <c r="C35" s="119"/>
      <c r="D35" s="125"/>
      <c r="E35" s="125"/>
      <c r="F35" s="125"/>
      <c r="G35" s="127"/>
      <c r="H35" s="125"/>
      <c r="I35" s="126">
        <v>253.97</v>
      </c>
      <c r="J35" s="112"/>
      <c r="K35" s="112"/>
    </row>
    <row r="36" spans="1:11" s="113" customFormat="1" ht="12">
      <c r="A36" s="610" t="s">
        <v>313</v>
      </c>
      <c r="B36" s="611"/>
      <c r="C36" s="145"/>
      <c r="D36" s="125"/>
      <c r="E36" s="125"/>
      <c r="F36" s="125"/>
      <c r="G36" s="127"/>
      <c r="H36" s="125"/>
      <c r="I36" s="126">
        <v>233.16</v>
      </c>
      <c r="J36" s="112"/>
      <c r="K36" s="112"/>
    </row>
    <row r="37" spans="1:11" s="113" customFormat="1" ht="12">
      <c r="A37" s="610" t="s">
        <v>314</v>
      </c>
      <c r="B37" s="611"/>
      <c r="C37" s="145"/>
      <c r="D37" s="125"/>
      <c r="E37" s="125"/>
      <c r="F37" s="125"/>
      <c r="G37" s="127"/>
      <c r="H37" s="125"/>
      <c r="I37" s="126">
        <v>93.17</v>
      </c>
      <c r="J37" s="112"/>
      <c r="K37" s="112"/>
    </row>
    <row r="38" spans="1:11">
      <c r="A38" s="108" t="s">
        <v>70</v>
      </c>
      <c r="B38" s="117" t="e">
        <f>#REF!</f>
        <v>#REF!</v>
      </c>
      <c r="C38" s="61" t="s">
        <v>5</v>
      </c>
      <c r="D38" s="63"/>
      <c r="E38" s="63"/>
      <c r="F38" s="63"/>
      <c r="G38" s="63"/>
      <c r="H38" s="63"/>
      <c r="I38" s="99">
        <f>I33</f>
        <v>681.06999999999994</v>
      </c>
      <c r="J38" s="603" t="s">
        <v>221</v>
      </c>
      <c r="K38" s="604"/>
    </row>
    <row r="39" spans="1:11">
      <c r="A39" s="108" t="s">
        <v>71</v>
      </c>
      <c r="B39" s="117" t="e">
        <f>#REF!</f>
        <v>#REF!</v>
      </c>
      <c r="C39" s="108" t="s">
        <v>7</v>
      </c>
      <c r="D39" s="63"/>
      <c r="E39" s="63"/>
      <c r="F39" s="63"/>
      <c r="G39" s="107"/>
      <c r="H39" s="63"/>
      <c r="I39" s="101">
        <v>746.48</v>
      </c>
      <c r="J39" s="60"/>
      <c r="K39" s="60"/>
    </row>
    <row r="40" spans="1:11" s="87" customFormat="1">
      <c r="A40" s="612" t="s">
        <v>309</v>
      </c>
      <c r="B40" s="613"/>
      <c r="C40" s="613"/>
      <c r="D40" s="613"/>
      <c r="E40" s="613"/>
      <c r="F40" s="613"/>
      <c r="G40" s="613"/>
      <c r="H40" s="613"/>
      <c r="I40" s="613"/>
      <c r="J40" s="613"/>
      <c r="K40" s="614"/>
    </row>
    <row r="41" spans="1:11" s="87" customFormat="1">
      <c r="A41" s="108" t="s">
        <v>72</v>
      </c>
      <c r="B41" s="117" t="e">
        <f>#REF!</f>
        <v>#REF!</v>
      </c>
      <c r="C41" s="108" t="s">
        <v>7</v>
      </c>
      <c r="D41" s="63"/>
      <c r="E41" s="63"/>
      <c r="F41" s="63"/>
      <c r="G41" s="107"/>
      <c r="H41" s="62"/>
      <c r="I41" s="99">
        <v>81.53</v>
      </c>
      <c r="J41" s="60"/>
      <c r="K41" s="60"/>
    </row>
    <row r="42" spans="1:11" s="87" customFormat="1">
      <c r="A42" s="615" t="s">
        <v>237</v>
      </c>
      <c r="B42" s="616"/>
      <c r="C42" s="616"/>
      <c r="D42" s="616"/>
      <c r="E42" s="616"/>
      <c r="F42" s="616"/>
      <c r="G42" s="616"/>
      <c r="H42" s="616"/>
      <c r="I42" s="616"/>
      <c r="J42" s="616"/>
      <c r="K42" s="617"/>
    </row>
    <row r="43" spans="1:11" s="87" customFormat="1">
      <c r="A43" s="156" t="s">
        <v>73</v>
      </c>
      <c r="B43" s="117" t="e">
        <f>#REF!</f>
        <v>#REF!</v>
      </c>
      <c r="C43" s="158" t="s">
        <v>7</v>
      </c>
      <c r="D43" s="157"/>
      <c r="E43" s="157"/>
      <c r="F43" s="157"/>
      <c r="G43" s="157"/>
      <c r="H43" s="157"/>
      <c r="I43" s="99">
        <v>346.45</v>
      </c>
      <c r="J43" s="157"/>
      <c r="K43" s="157"/>
    </row>
    <row r="44" spans="1:11" s="87" customFormat="1" ht="21" customHeight="1">
      <c r="A44" s="626" t="s">
        <v>309</v>
      </c>
      <c r="B44" s="627"/>
      <c r="C44" s="627"/>
      <c r="D44" s="627"/>
      <c r="E44" s="627"/>
      <c r="F44" s="627"/>
      <c r="G44" s="627"/>
      <c r="H44" s="627"/>
      <c r="I44" s="627"/>
      <c r="J44" s="627"/>
      <c r="K44" s="628"/>
    </row>
    <row r="45" spans="1:11" s="132" customFormat="1" ht="12.75">
      <c r="A45" s="168" t="s">
        <v>227</v>
      </c>
      <c r="B45" s="620" t="e">
        <f>#REF!</f>
        <v>#REF!</v>
      </c>
      <c r="C45" s="621"/>
      <c r="D45" s="621"/>
      <c r="E45" s="621"/>
      <c r="F45" s="621"/>
      <c r="G45" s="621"/>
      <c r="H45" s="621"/>
      <c r="I45" s="621"/>
      <c r="J45" s="621"/>
      <c r="K45" s="622"/>
    </row>
    <row r="46" spans="1:11" s="132" customFormat="1" ht="12.75">
      <c r="A46" s="168" t="s">
        <v>229</v>
      </c>
      <c r="B46" s="117" t="e">
        <f>#REF!</f>
        <v>#REF!</v>
      </c>
      <c r="C46" s="138"/>
      <c r="D46" s="134"/>
      <c r="E46" s="134"/>
      <c r="F46" s="134"/>
      <c r="G46" s="137"/>
      <c r="H46" s="134"/>
      <c r="I46" s="135"/>
      <c r="J46" s="136"/>
      <c r="K46" s="148"/>
    </row>
    <row r="47" spans="1:11" s="132" customFormat="1" ht="12.75">
      <c r="A47" s="84" t="s">
        <v>256</v>
      </c>
      <c r="B47" s="117" t="e">
        <f>#REF!</f>
        <v>#REF!</v>
      </c>
      <c r="C47" s="108" t="s">
        <v>7</v>
      </c>
      <c r="D47" s="134"/>
      <c r="E47" s="134"/>
      <c r="F47" s="99">
        <v>4235</v>
      </c>
      <c r="G47" s="137"/>
      <c r="H47" s="134"/>
      <c r="I47" s="135"/>
      <c r="J47" s="136"/>
      <c r="K47" s="148"/>
    </row>
    <row r="48" spans="1:11" s="132" customFormat="1" ht="12.75">
      <c r="A48" s="168" t="s">
        <v>230</v>
      </c>
      <c r="B48" s="117" t="e">
        <f>#REF!</f>
        <v>#REF!</v>
      </c>
      <c r="C48" s="138"/>
      <c r="D48" s="134"/>
      <c r="E48" s="134"/>
      <c r="F48" s="99"/>
      <c r="G48" s="137"/>
      <c r="H48" s="134"/>
      <c r="I48" s="135"/>
      <c r="J48" s="136"/>
      <c r="K48" s="148"/>
    </row>
    <row r="49" spans="1:11" s="132" customFormat="1" ht="12.75">
      <c r="A49" s="84" t="s">
        <v>257</v>
      </c>
      <c r="B49" s="117" t="e">
        <f>#REF!</f>
        <v>#REF!</v>
      </c>
      <c r="C49" s="108" t="s">
        <v>7</v>
      </c>
      <c r="D49" s="134"/>
      <c r="E49" s="134"/>
      <c r="F49" s="99">
        <v>496.12</v>
      </c>
      <c r="G49" s="137"/>
      <c r="H49" s="134"/>
      <c r="I49" s="135"/>
      <c r="J49" s="136"/>
      <c r="K49" s="148"/>
    </row>
    <row r="50" spans="1:11" s="132" customFormat="1" ht="12.75">
      <c r="A50" s="84" t="s">
        <v>258</v>
      </c>
      <c r="B50" s="117" t="e">
        <f>#REF!</f>
        <v>#REF!</v>
      </c>
      <c r="C50" s="108" t="s">
        <v>7</v>
      </c>
      <c r="D50" s="134"/>
      <c r="E50" s="134"/>
      <c r="F50" s="99">
        <v>50</v>
      </c>
      <c r="G50" s="137"/>
      <c r="H50" s="134"/>
      <c r="I50" s="135">
        <v>1108.24</v>
      </c>
      <c r="J50" s="136"/>
      <c r="K50" s="148"/>
    </row>
    <row r="51" spans="1:11" s="132" customFormat="1" ht="12.75">
      <c r="A51" s="168" t="s">
        <v>259</v>
      </c>
      <c r="B51" s="620" t="e">
        <f>#REF!</f>
        <v>#REF!</v>
      </c>
      <c r="C51" s="621"/>
      <c r="D51" s="621"/>
      <c r="E51" s="621"/>
      <c r="F51" s="621"/>
      <c r="G51" s="621"/>
      <c r="H51" s="621"/>
      <c r="I51" s="621"/>
      <c r="J51" s="621"/>
      <c r="K51" s="622"/>
    </row>
    <row r="52" spans="1:11" s="132" customFormat="1" ht="12.75">
      <c r="A52" s="84" t="s">
        <v>260</v>
      </c>
      <c r="B52" s="117" t="e">
        <f>#REF!</f>
        <v>#REF!</v>
      </c>
      <c r="C52" s="108" t="s">
        <v>84</v>
      </c>
      <c r="D52" s="134"/>
      <c r="E52" s="134"/>
      <c r="F52" s="99">
        <v>4</v>
      </c>
      <c r="G52" s="137"/>
      <c r="H52" s="134"/>
      <c r="I52" s="135"/>
      <c r="J52" s="136"/>
      <c r="K52" s="148"/>
    </row>
    <row r="53" spans="1:11" s="132" customFormat="1" ht="12.75">
      <c r="A53" s="84" t="s">
        <v>261</v>
      </c>
      <c r="B53" s="117" t="e">
        <f>#REF!</f>
        <v>#REF!</v>
      </c>
      <c r="C53" s="108" t="s">
        <v>84</v>
      </c>
      <c r="D53" s="134"/>
      <c r="E53" s="134"/>
      <c r="F53" s="149">
        <v>40</v>
      </c>
      <c r="G53" s="137"/>
      <c r="H53" s="134"/>
      <c r="I53" s="135"/>
      <c r="J53" s="136"/>
      <c r="K53" s="148"/>
    </row>
    <row r="54" spans="1:11" s="132" customFormat="1" ht="12.75">
      <c r="A54" s="84" t="s">
        <v>262</v>
      </c>
      <c r="B54" s="623" t="e">
        <f>#REF!</f>
        <v>#REF!</v>
      </c>
      <c r="C54" s="624"/>
      <c r="D54" s="624"/>
      <c r="E54" s="624"/>
      <c r="F54" s="624"/>
      <c r="G54" s="624"/>
      <c r="H54" s="624"/>
      <c r="I54" s="624"/>
      <c r="J54" s="624"/>
      <c r="K54" s="625"/>
    </row>
    <row r="55" spans="1:11" s="132" customFormat="1" ht="12.75">
      <c r="A55" s="84" t="s">
        <v>263</v>
      </c>
      <c r="B55" s="159" t="e">
        <f>#REF!</f>
        <v>#REF!</v>
      </c>
      <c r="C55" s="140" t="s">
        <v>84</v>
      </c>
      <c r="D55" s="150"/>
      <c r="E55" s="134"/>
      <c r="F55" s="99">
        <v>44</v>
      </c>
      <c r="G55" s="137"/>
      <c r="H55" s="134"/>
      <c r="I55" s="135"/>
      <c r="J55" s="136"/>
      <c r="K55" s="148"/>
    </row>
    <row r="56" spans="1:11" s="132" customFormat="1" ht="12.75">
      <c r="A56" s="84" t="s">
        <v>264</v>
      </c>
      <c r="B56" s="623" t="e">
        <f>#REF!</f>
        <v>#REF!</v>
      </c>
      <c r="C56" s="624"/>
      <c r="D56" s="624"/>
      <c r="E56" s="624"/>
      <c r="F56" s="624"/>
      <c r="G56" s="624"/>
      <c r="H56" s="624"/>
      <c r="I56" s="624"/>
      <c r="J56" s="624"/>
      <c r="K56" s="625"/>
    </row>
    <row r="57" spans="1:11" s="132" customFormat="1" ht="12.75">
      <c r="A57" s="84" t="s">
        <v>265</v>
      </c>
      <c r="B57" s="159" t="e">
        <f>#REF!</f>
        <v>#REF!</v>
      </c>
      <c r="C57" s="140" t="s">
        <v>84</v>
      </c>
      <c r="D57" s="150"/>
      <c r="E57" s="134"/>
      <c r="F57" s="99">
        <v>1</v>
      </c>
      <c r="G57" s="137"/>
      <c r="H57" s="134"/>
      <c r="I57" s="135"/>
      <c r="J57" s="136"/>
      <c r="K57" s="148"/>
    </row>
    <row r="58" spans="1:11" s="132" customFormat="1" ht="12.75">
      <c r="A58" s="84" t="s">
        <v>266</v>
      </c>
      <c r="B58" s="620" t="e">
        <f>#REF!</f>
        <v>#REF!</v>
      </c>
      <c r="C58" s="621"/>
      <c r="D58" s="621"/>
      <c r="E58" s="621"/>
      <c r="F58" s="621"/>
      <c r="G58" s="621"/>
      <c r="H58" s="621"/>
      <c r="I58" s="621"/>
      <c r="J58" s="621"/>
      <c r="K58" s="622"/>
    </row>
    <row r="59" spans="1:11" s="132" customFormat="1" ht="12.75">
      <c r="A59" s="84" t="s">
        <v>267</v>
      </c>
      <c r="B59" s="117" t="e">
        <f>#REF!</f>
        <v>#REF!</v>
      </c>
      <c r="C59" s="108" t="s">
        <v>84</v>
      </c>
      <c r="D59" s="134"/>
      <c r="E59" s="134"/>
      <c r="F59" s="99">
        <v>4</v>
      </c>
      <c r="G59" s="137"/>
      <c r="H59" s="134"/>
      <c r="I59" s="135"/>
      <c r="J59" s="136"/>
      <c r="K59" s="148"/>
    </row>
    <row r="60" spans="1:11" s="132" customFormat="1" ht="12.75">
      <c r="A60" s="84" t="s">
        <v>268</v>
      </c>
      <c r="B60" s="117" t="e">
        <f>#REF!</f>
        <v>#REF!</v>
      </c>
      <c r="C60" s="108" t="s">
        <v>84</v>
      </c>
      <c r="D60" s="134"/>
      <c r="E60" s="134"/>
      <c r="F60" s="99">
        <v>4</v>
      </c>
      <c r="G60" s="137"/>
      <c r="H60" s="134"/>
      <c r="I60" s="135"/>
      <c r="J60" s="136"/>
      <c r="K60" s="148"/>
    </row>
    <row r="61" spans="1:11" s="132" customFormat="1" ht="12.75">
      <c r="A61" s="84" t="s">
        <v>269</v>
      </c>
      <c r="B61" s="117" t="e">
        <f>#REF!</f>
        <v>#REF!</v>
      </c>
      <c r="C61" s="108" t="s">
        <v>84</v>
      </c>
      <c r="D61" s="134"/>
      <c r="E61" s="134"/>
      <c r="F61" s="99">
        <v>1</v>
      </c>
      <c r="G61" s="137"/>
      <c r="H61" s="134"/>
      <c r="I61" s="135"/>
      <c r="J61" s="136"/>
      <c r="K61" s="148"/>
    </row>
    <row r="62" spans="1:11" s="132" customFormat="1" ht="12.75">
      <c r="A62" s="84" t="s">
        <v>270</v>
      </c>
      <c r="B62" s="620" t="e">
        <f>#REF!</f>
        <v>#REF!</v>
      </c>
      <c r="C62" s="621"/>
      <c r="D62" s="621"/>
      <c r="E62" s="621"/>
      <c r="F62" s="621"/>
      <c r="G62" s="621"/>
      <c r="H62" s="621"/>
      <c r="I62" s="621"/>
      <c r="J62" s="621"/>
      <c r="K62" s="622"/>
    </row>
    <row r="63" spans="1:11" s="132" customFormat="1" ht="12.75">
      <c r="A63" s="84" t="s">
        <v>271</v>
      </c>
      <c r="B63" s="117" t="e">
        <f>#REF!</f>
        <v>#REF!</v>
      </c>
      <c r="C63" s="108" t="s">
        <v>84</v>
      </c>
      <c r="D63" s="134"/>
      <c r="E63" s="134"/>
      <c r="F63" s="99">
        <v>1</v>
      </c>
      <c r="G63" s="137"/>
      <c r="H63" s="134"/>
      <c r="I63" s="135"/>
      <c r="J63" s="136"/>
      <c r="K63" s="148"/>
    </row>
    <row r="64" spans="1:11" s="132" customFormat="1" ht="12.75">
      <c r="A64" s="84" t="s">
        <v>272</v>
      </c>
      <c r="B64" s="117" t="e">
        <f>#REF!</f>
        <v>#REF!</v>
      </c>
      <c r="C64" s="108" t="s">
        <v>84</v>
      </c>
      <c r="D64" s="134"/>
      <c r="E64" s="134"/>
      <c r="F64" s="99">
        <v>14</v>
      </c>
      <c r="G64" s="137"/>
      <c r="H64" s="134"/>
      <c r="I64" s="135"/>
      <c r="J64" s="136"/>
      <c r="K64" s="148"/>
    </row>
    <row r="65" spans="1:11" s="132" customFormat="1" ht="12.75">
      <c r="A65" s="84" t="s">
        <v>273</v>
      </c>
      <c r="B65" s="117" t="e">
        <f>#REF!</f>
        <v>#REF!</v>
      </c>
      <c r="C65" s="108" t="s">
        <v>84</v>
      </c>
      <c r="D65" s="134"/>
      <c r="E65" s="134"/>
      <c r="F65" s="99">
        <v>2</v>
      </c>
      <c r="G65" s="137"/>
      <c r="H65" s="134"/>
      <c r="I65" s="135"/>
      <c r="J65" s="136"/>
      <c r="K65" s="148"/>
    </row>
    <row r="66" spans="1:11" s="132" customFormat="1" ht="12.75">
      <c r="A66" s="84" t="s">
        <v>274</v>
      </c>
      <c r="B66" s="117" t="e">
        <f>#REF!</f>
        <v>#REF!</v>
      </c>
      <c r="C66" s="108" t="s">
        <v>84</v>
      </c>
      <c r="D66" s="134"/>
      <c r="E66" s="134"/>
      <c r="F66" s="99">
        <v>3</v>
      </c>
      <c r="G66" s="137"/>
      <c r="H66" s="134"/>
      <c r="I66" s="135"/>
      <c r="J66" s="136"/>
      <c r="K66" s="148"/>
    </row>
    <row r="67" spans="1:11" s="132" customFormat="1" ht="12.75">
      <c r="A67" s="84" t="s">
        <v>304</v>
      </c>
      <c r="B67" s="117" t="e">
        <f>#REF!</f>
        <v>#REF!</v>
      </c>
      <c r="C67" s="108" t="s">
        <v>84</v>
      </c>
      <c r="D67" s="189">
        <v>24</v>
      </c>
      <c r="E67" s="134"/>
      <c r="F67" s="107"/>
      <c r="G67" s="137"/>
      <c r="H67" s="134"/>
      <c r="I67" s="135"/>
      <c r="J67" s="136"/>
      <c r="K67" s="148"/>
    </row>
    <row r="68" spans="1:11" s="132" customFormat="1" ht="12.75">
      <c r="A68" s="84" t="s">
        <v>305</v>
      </c>
      <c r="B68" s="117" t="e">
        <f>#REF!</f>
        <v>#REF!</v>
      </c>
      <c r="C68" s="108" t="s">
        <v>84</v>
      </c>
      <c r="D68" s="189">
        <v>24</v>
      </c>
      <c r="E68" s="134"/>
      <c r="F68" s="107"/>
      <c r="G68" s="137"/>
      <c r="H68" s="134"/>
      <c r="I68" s="135"/>
      <c r="J68" s="136"/>
      <c r="K68" s="148"/>
    </row>
    <row r="69" spans="1:11" s="132" customFormat="1" ht="12.75">
      <c r="A69" s="84" t="s">
        <v>306</v>
      </c>
      <c r="B69" s="117" t="e">
        <f>#REF!</f>
        <v>#REF!</v>
      </c>
      <c r="C69" s="108" t="s">
        <v>84</v>
      </c>
      <c r="D69" s="189">
        <v>24</v>
      </c>
      <c r="E69" s="134"/>
      <c r="F69" s="107"/>
      <c r="G69" s="137"/>
      <c r="H69" s="134"/>
      <c r="I69" s="135"/>
      <c r="J69" s="136"/>
      <c r="K69" s="148"/>
    </row>
    <row r="70" spans="1:11" s="132" customFormat="1" ht="12.75">
      <c r="A70" s="84" t="s">
        <v>307</v>
      </c>
      <c r="B70" s="117" t="e">
        <f>#REF!</f>
        <v>#REF!</v>
      </c>
      <c r="C70" s="108" t="s">
        <v>84</v>
      </c>
      <c r="D70" s="189">
        <v>24</v>
      </c>
      <c r="E70" s="134"/>
      <c r="F70" s="107"/>
      <c r="G70" s="137"/>
      <c r="H70" s="134"/>
      <c r="I70" s="135"/>
      <c r="J70" s="136"/>
      <c r="K70" s="148"/>
    </row>
    <row r="71" spans="1:11" s="132" customFormat="1" ht="12.75">
      <c r="A71" s="188" t="s">
        <v>275</v>
      </c>
      <c r="B71" s="117" t="s">
        <v>228</v>
      </c>
      <c r="C71" s="108"/>
      <c r="D71" s="134"/>
      <c r="E71" s="134"/>
      <c r="F71" s="150"/>
      <c r="G71" s="137"/>
      <c r="H71" s="134"/>
      <c r="I71" s="135"/>
      <c r="J71" s="136"/>
      <c r="K71" s="148"/>
    </row>
    <row r="72" spans="1:11" s="132" customFormat="1" ht="12.75">
      <c r="A72" s="140" t="s">
        <v>276</v>
      </c>
      <c r="B72" s="117" t="e">
        <f>#REF!</f>
        <v>#REF!</v>
      </c>
      <c r="C72" s="108" t="s">
        <v>6</v>
      </c>
      <c r="D72" s="134"/>
      <c r="E72" s="134"/>
      <c r="F72" s="150"/>
      <c r="G72" s="137"/>
      <c r="H72" s="134"/>
      <c r="I72" s="135"/>
      <c r="J72" s="99">
        <f>J73+J74</f>
        <v>5.94</v>
      </c>
      <c r="K72" s="148"/>
    </row>
    <row r="73" spans="1:11" s="132" customFormat="1" ht="12.75">
      <c r="A73" s="618" t="s">
        <v>231</v>
      </c>
      <c r="B73" s="619"/>
      <c r="C73" s="108"/>
      <c r="D73" s="62">
        <v>4</v>
      </c>
      <c r="E73" s="62">
        <v>0.45</v>
      </c>
      <c r="F73" s="150"/>
      <c r="G73" s="151">
        <v>4</v>
      </c>
      <c r="H73" s="62">
        <v>0.6</v>
      </c>
      <c r="I73" s="135"/>
      <c r="J73" s="152">
        <f>H73*G73*E73*D73</f>
        <v>4.32</v>
      </c>
      <c r="K73" s="148"/>
    </row>
    <row r="74" spans="1:11" s="132" customFormat="1" ht="12.75">
      <c r="A74" s="618" t="s">
        <v>232</v>
      </c>
      <c r="B74" s="619"/>
      <c r="C74" s="108"/>
      <c r="D74" s="62">
        <v>4</v>
      </c>
      <c r="E74" s="62">
        <v>0.45</v>
      </c>
      <c r="F74" s="150"/>
      <c r="G74" s="151">
        <v>1.5</v>
      </c>
      <c r="H74" s="62">
        <v>0.6</v>
      </c>
      <c r="I74" s="135"/>
      <c r="J74" s="152">
        <f>E74*G74*H74*D74</f>
        <v>1.62</v>
      </c>
      <c r="K74" s="148"/>
    </row>
    <row r="75" spans="1:11" s="132" customFormat="1" ht="16.5" customHeight="1">
      <c r="A75" s="140" t="s">
        <v>277</v>
      </c>
      <c r="B75" s="159" t="e">
        <f>#REF!</f>
        <v>#REF!</v>
      </c>
      <c r="C75" s="108" t="s">
        <v>84</v>
      </c>
      <c r="D75" s="170">
        <v>9</v>
      </c>
      <c r="E75" s="134"/>
      <c r="F75" s="150"/>
      <c r="G75" s="137"/>
      <c r="H75" s="134"/>
      <c r="I75" s="135"/>
      <c r="J75" s="136"/>
      <c r="K75" s="148"/>
    </row>
    <row r="76" spans="1:11" s="132" customFormat="1" ht="12.75">
      <c r="A76" s="155" t="s">
        <v>87</v>
      </c>
      <c r="B76" s="607" t="e">
        <f>#REF!</f>
        <v>#REF!</v>
      </c>
      <c r="C76" s="608"/>
      <c r="D76" s="608"/>
      <c r="E76" s="608"/>
      <c r="F76" s="608"/>
      <c r="G76" s="608"/>
      <c r="H76" s="608"/>
      <c r="I76" s="608"/>
      <c r="J76" s="608"/>
      <c r="K76" s="609"/>
    </row>
    <row r="77" spans="1:11" s="87" customFormat="1">
      <c r="A77" s="123" t="s">
        <v>74</v>
      </c>
      <c r="B77" s="106" t="s">
        <v>11</v>
      </c>
      <c r="C77" s="60"/>
      <c r="D77" s="63"/>
      <c r="E77" s="63"/>
      <c r="F77" s="63"/>
      <c r="G77" s="63"/>
      <c r="H77" s="63"/>
      <c r="I77" s="63"/>
      <c r="J77" s="60"/>
      <c r="K77" s="60"/>
    </row>
    <row r="78" spans="1:11" s="87" customFormat="1">
      <c r="A78" s="108" t="s">
        <v>144</v>
      </c>
      <c r="B78" s="117" t="e">
        <f>#REF!</f>
        <v>#REF!</v>
      </c>
      <c r="C78" s="108" t="s">
        <v>6</v>
      </c>
      <c r="D78" s="109">
        <v>2</v>
      </c>
      <c r="E78" s="109">
        <v>0.2</v>
      </c>
      <c r="F78" s="109"/>
      <c r="G78" s="63">
        <v>19.7</v>
      </c>
      <c r="H78" s="63">
        <v>33.700000000000003</v>
      </c>
      <c r="I78" s="63"/>
      <c r="J78" s="99">
        <f>H78*G78*E78*D78</f>
        <v>265.55599999999998</v>
      </c>
      <c r="K78" s="60"/>
    </row>
    <row r="79" spans="1:11" s="87" customFormat="1">
      <c r="A79" s="140" t="s">
        <v>145</v>
      </c>
      <c r="B79" s="117" t="e">
        <f>#REF!</f>
        <v>#REF!</v>
      </c>
      <c r="C79" s="140" t="s">
        <v>20</v>
      </c>
      <c r="D79" s="114">
        <v>4</v>
      </c>
      <c r="E79" s="114"/>
      <c r="F79" s="114"/>
      <c r="G79" s="62"/>
      <c r="H79" s="153"/>
      <c r="I79" s="62"/>
      <c r="J79" s="62">
        <v>261.3</v>
      </c>
      <c r="K79" s="99">
        <f>J79*D79</f>
        <v>1045.2</v>
      </c>
    </row>
    <row r="80" spans="1:11" s="87" customFormat="1">
      <c r="A80" s="108" t="s">
        <v>146</v>
      </c>
      <c r="B80" s="117" t="e">
        <f>#REF!</f>
        <v>#REF!</v>
      </c>
      <c r="C80" s="108" t="s">
        <v>5</v>
      </c>
      <c r="D80" s="109">
        <v>2</v>
      </c>
      <c r="E80" s="109"/>
      <c r="F80" s="109"/>
      <c r="G80" s="63">
        <v>19.7</v>
      </c>
      <c r="H80" s="63">
        <v>33.700000000000003</v>
      </c>
      <c r="I80" s="99">
        <f>H80*G80*D80</f>
        <v>1327.78</v>
      </c>
      <c r="J80" s="60"/>
      <c r="K80" s="60"/>
    </row>
    <row r="81" spans="1:11" s="87" customFormat="1">
      <c r="A81" s="123" t="s">
        <v>75</v>
      </c>
      <c r="B81" s="106" t="s">
        <v>8</v>
      </c>
      <c r="C81" s="60"/>
      <c r="D81" s="63"/>
      <c r="E81" s="63"/>
      <c r="F81" s="63"/>
      <c r="G81" s="63"/>
      <c r="H81" s="63"/>
      <c r="I81" s="105"/>
      <c r="J81" s="60"/>
      <c r="K81" s="60"/>
    </row>
    <row r="82" spans="1:11" s="87" customFormat="1">
      <c r="A82" s="108" t="s">
        <v>172</v>
      </c>
      <c r="B82" s="117" t="e">
        <f>#REF!</f>
        <v>#REF!</v>
      </c>
      <c r="C82" s="61" t="s">
        <v>6</v>
      </c>
      <c r="D82" s="63">
        <v>2</v>
      </c>
      <c r="E82" s="160">
        <v>8.0000000000000002E-3</v>
      </c>
      <c r="F82" s="63"/>
      <c r="G82" s="63">
        <v>19.5</v>
      </c>
      <c r="H82" s="63">
        <v>33.5</v>
      </c>
      <c r="I82" s="99">
        <f>H82*G82*E82*D82</f>
        <v>10.452</v>
      </c>
      <c r="J82" s="60"/>
      <c r="K82" s="60"/>
    </row>
    <row r="83" spans="1:11" s="87" customFormat="1">
      <c r="A83" s="108" t="s">
        <v>240</v>
      </c>
      <c r="B83" s="117" t="e">
        <f>#REF!</f>
        <v>#REF!</v>
      </c>
      <c r="C83" s="61" t="s">
        <v>6</v>
      </c>
      <c r="D83" s="63">
        <v>2</v>
      </c>
      <c r="E83" s="63">
        <v>7.0000000000000007E-2</v>
      </c>
      <c r="F83" s="63"/>
      <c r="G83" s="63">
        <v>19.5</v>
      </c>
      <c r="H83" s="63">
        <v>33.5</v>
      </c>
      <c r="I83" s="99">
        <f>H83*G83*E83*D83</f>
        <v>91.455000000000013</v>
      </c>
      <c r="J83" s="60"/>
      <c r="K83" s="60"/>
    </row>
    <row r="84" spans="1:11" s="87" customFormat="1">
      <c r="A84" s="108" t="s">
        <v>241</v>
      </c>
      <c r="B84" s="117" t="e">
        <f>#REF!</f>
        <v>#REF!</v>
      </c>
      <c r="C84" s="61" t="s">
        <v>5</v>
      </c>
      <c r="D84" s="63">
        <v>2</v>
      </c>
      <c r="E84" s="63"/>
      <c r="F84" s="63"/>
      <c r="G84" s="63">
        <v>19.5</v>
      </c>
      <c r="H84" s="63">
        <v>33.5</v>
      </c>
      <c r="I84" s="99">
        <f>H84*G84*D84</f>
        <v>1306.5</v>
      </c>
      <c r="J84" s="60"/>
      <c r="K84" s="60"/>
    </row>
    <row r="85" spans="1:11" s="87" customFormat="1">
      <c r="A85" s="123" t="s">
        <v>76</v>
      </c>
      <c r="B85" s="106" t="s">
        <v>14</v>
      </c>
      <c r="C85" s="60"/>
      <c r="D85" s="60"/>
      <c r="E85" s="60"/>
      <c r="F85" s="60"/>
      <c r="G85" s="60"/>
      <c r="H85" s="60"/>
      <c r="I85" s="60"/>
      <c r="J85" s="60"/>
      <c r="K85" s="60"/>
    </row>
    <row r="86" spans="1:11" s="87" customFormat="1">
      <c r="A86" s="108" t="s">
        <v>147</v>
      </c>
      <c r="B86" s="117" t="e">
        <f>#REF!</f>
        <v>#REF!</v>
      </c>
      <c r="C86" s="61" t="s">
        <v>6</v>
      </c>
      <c r="D86" s="62">
        <v>2</v>
      </c>
      <c r="E86" s="63"/>
      <c r="F86" s="63">
        <v>106.8</v>
      </c>
      <c r="G86" s="63">
        <v>0.2</v>
      </c>
      <c r="H86" s="63">
        <v>0.4</v>
      </c>
      <c r="I86" s="63"/>
      <c r="J86" s="99">
        <f>F86*G86*H86*D86</f>
        <v>17.088000000000001</v>
      </c>
      <c r="K86" s="63"/>
    </row>
    <row r="87" spans="1:11" s="87" customFormat="1">
      <c r="A87" s="588" t="s">
        <v>220</v>
      </c>
      <c r="B87" s="589"/>
      <c r="C87" s="589"/>
      <c r="D87" s="589"/>
      <c r="E87" s="589"/>
      <c r="F87" s="589"/>
      <c r="G87" s="589"/>
      <c r="H87" s="589"/>
      <c r="I87" s="589"/>
      <c r="J87" s="589"/>
      <c r="K87" s="590"/>
    </row>
    <row r="88" spans="1:11" s="87" customFormat="1">
      <c r="A88" s="108" t="s">
        <v>173</v>
      </c>
      <c r="B88" s="117" t="e">
        <f>#REF!</f>
        <v>#REF!</v>
      </c>
      <c r="C88" s="61" t="s">
        <v>5</v>
      </c>
      <c r="D88" s="63">
        <v>2</v>
      </c>
      <c r="E88" s="63"/>
      <c r="F88" s="63">
        <v>106.8</v>
      </c>
      <c r="G88" s="63">
        <v>0.2</v>
      </c>
      <c r="H88" s="63">
        <v>0.8</v>
      </c>
      <c r="I88" s="99">
        <f>H88*G88*F88*D88</f>
        <v>34.176000000000009</v>
      </c>
      <c r="J88" s="105"/>
      <c r="K88" s="63"/>
    </row>
    <row r="89" spans="1:11" s="87" customFormat="1" ht="25.5">
      <c r="A89" s="108" t="s">
        <v>174</v>
      </c>
      <c r="B89" s="117" t="s">
        <v>293</v>
      </c>
      <c r="C89" s="61" t="s">
        <v>6</v>
      </c>
      <c r="D89" s="63">
        <v>2</v>
      </c>
      <c r="E89" s="63"/>
      <c r="F89" s="63">
        <v>106.8</v>
      </c>
      <c r="G89" s="63">
        <v>0.2</v>
      </c>
      <c r="H89" s="63">
        <v>0.4</v>
      </c>
      <c r="I89" s="63"/>
      <c r="J89" s="99">
        <f>G89*H89*F89*D89</f>
        <v>17.088000000000005</v>
      </c>
      <c r="K89" s="63"/>
    </row>
    <row r="90" spans="1:11" s="87" customFormat="1" ht="38.25">
      <c r="A90" s="108" t="s">
        <v>175</v>
      </c>
      <c r="B90" s="117" t="s">
        <v>294</v>
      </c>
      <c r="C90" s="61" t="s">
        <v>6</v>
      </c>
      <c r="D90" s="63">
        <v>2</v>
      </c>
      <c r="E90" s="63"/>
      <c r="F90" s="63">
        <v>106.8</v>
      </c>
      <c r="G90" s="63">
        <v>0.2</v>
      </c>
      <c r="H90" s="63">
        <v>0.4</v>
      </c>
      <c r="I90" s="63"/>
      <c r="J90" s="99">
        <f>G90*H90*F90*D90</f>
        <v>17.088000000000005</v>
      </c>
      <c r="K90" s="63"/>
    </row>
    <row r="91" spans="1:11" s="87" customFormat="1">
      <c r="A91" s="108" t="s">
        <v>176</v>
      </c>
      <c r="B91" s="117" t="e">
        <f>#REF!</f>
        <v>#REF!</v>
      </c>
      <c r="C91" s="61" t="s">
        <v>6</v>
      </c>
      <c r="D91" s="63"/>
      <c r="E91" s="63"/>
      <c r="F91" s="63"/>
      <c r="G91" s="63"/>
      <c r="H91" s="63"/>
      <c r="I91" s="63"/>
      <c r="J91" s="99">
        <f>J86</f>
        <v>17.088000000000001</v>
      </c>
      <c r="K91" s="63"/>
    </row>
    <row r="92" spans="1:11" s="87" customFormat="1">
      <c r="A92" s="108" t="s">
        <v>177</v>
      </c>
      <c r="B92" s="117" t="e">
        <f>#REF!</f>
        <v>#REF!</v>
      </c>
      <c r="C92" s="61" t="s">
        <v>5</v>
      </c>
      <c r="D92" s="63"/>
      <c r="E92" s="63"/>
      <c r="F92" s="63"/>
      <c r="G92" s="63"/>
      <c r="H92" s="63"/>
      <c r="I92" s="99">
        <f>I93+I94-I95</f>
        <v>633.09999999999991</v>
      </c>
      <c r="J92" s="63"/>
      <c r="K92" s="63"/>
    </row>
    <row r="93" spans="1:11" s="113" customFormat="1" ht="12" customHeight="1">
      <c r="A93" s="591" t="s">
        <v>222</v>
      </c>
      <c r="B93" s="592"/>
      <c r="C93" s="119"/>
      <c r="D93" s="125">
        <v>4</v>
      </c>
      <c r="E93" s="125"/>
      <c r="F93" s="125"/>
      <c r="G93" s="125">
        <v>19.7</v>
      </c>
      <c r="H93" s="125">
        <v>3</v>
      </c>
      <c r="I93" s="125">
        <f>D93*G93*H93</f>
        <v>236.39999999999998</v>
      </c>
      <c r="J93" s="593" t="s">
        <v>224</v>
      </c>
      <c r="K93" s="594"/>
    </row>
    <row r="94" spans="1:11" s="87" customFormat="1" ht="12" customHeight="1">
      <c r="A94" s="591" t="s">
        <v>223</v>
      </c>
      <c r="B94" s="592"/>
      <c r="C94" s="61"/>
      <c r="D94" s="139">
        <v>4</v>
      </c>
      <c r="E94" s="63"/>
      <c r="F94" s="63"/>
      <c r="G94" s="63">
        <v>33.700000000000003</v>
      </c>
      <c r="H94" s="63">
        <v>3</v>
      </c>
      <c r="I94" s="63">
        <f>H94*G94*D94</f>
        <v>404.40000000000003</v>
      </c>
      <c r="J94" s="595"/>
      <c r="K94" s="596"/>
    </row>
    <row r="95" spans="1:11" s="87" customFormat="1">
      <c r="A95" s="108" t="s">
        <v>178</v>
      </c>
      <c r="B95" s="117" t="e">
        <f>#REF!</f>
        <v>#REF!</v>
      </c>
      <c r="C95" s="61" t="s">
        <v>5</v>
      </c>
      <c r="D95" s="63">
        <v>4</v>
      </c>
      <c r="E95" s="63"/>
      <c r="F95" s="63"/>
      <c r="G95" s="63">
        <v>1.6</v>
      </c>
      <c r="H95" s="62">
        <v>2.1</v>
      </c>
      <c r="I95" s="99">
        <f>SUM(D95,G95,H95)</f>
        <v>7.6999999999999993</v>
      </c>
      <c r="J95" s="63"/>
      <c r="K95" s="63"/>
    </row>
    <row r="96" spans="1:11" s="87" customFormat="1">
      <c r="A96" s="108" t="s">
        <v>292</v>
      </c>
      <c r="B96" s="117" t="e">
        <f>#REF!</f>
        <v>#REF!</v>
      </c>
      <c r="C96" s="61" t="s">
        <v>5</v>
      </c>
      <c r="D96" s="63"/>
      <c r="E96" s="63"/>
      <c r="F96" s="63"/>
      <c r="G96" s="63"/>
      <c r="H96" s="63"/>
      <c r="I96" s="99">
        <f>I92</f>
        <v>633.09999999999991</v>
      </c>
      <c r="J96" s="603" t="s">
        <v>242</v>
      </c>
      <c r="K96" s="604"/>
    </row>
    <row r="97" spans="1:11" s="87" customFormat="1">
      <c r="A97" s="123" t="s">
        <v>77</v>
      </c>
      <c r="B97" s="106" t="s">
        <v>122</v>
      </c>
      <c r="C97" s="61"/>
      <c r="D97" s="63"/>
      <c r="E97" s="63"/>
      <c r="F97" s="63"/>
      <c r="G97" s="63"/>
      <c r="H97" s="63"/>
      <c r="I97" s="107"/>
      <c r="J97" s="63"/>
      <c r="K97" s="63"/>
    </row>
    <row r="98" spans="1:11" s="87" customFormat="1">
      <c r="A98" s="108" t="s">
        <v>148</v>
      </c>
      <c r="B98" s="117" t="e">
        <f>#REF!</f>
        <v>#REF!</v>
      </c>
      <c r="C98" s="61" t="s">
        <v>6</v>
      </c>
      <c r="D98" s="63">
        <v>8</v>
      </c>
      <c r="E98" s="63">
        <v>0.4</v>
      </c>
      <c r="F98" s="63"/>
      <c r="G98" s="63">
        <v>0.25</v>
      </c>
      <c r="H98" s="63">
        <v>0.25</v>
      </c>
      <c r="I98" s="63"/>
      <c r="J98" s="99">
        <v>0.2</v>
      </c>
      <c r="K98" s="63"/>
    </row>
    <row r="99" spans="1:11" s="87" customFormat="1">
      <c r="A99" s="108" t="s">
        <v>149</v>
      </c>
      <c r="B99" s="117" t="e">
        <f>#REF!</f>
        <v>#REF!</v>
      </c>
      <c r="C99" s="61" t="s">
        <v>5</v>
      </c>
      <c r="D99" s="63">
        <v>32</v>
      </c>
      <c r="E99" s="63"/>
      <c r="F99" s="63"/>
      <c r="G99" s="63">
        <v>0.2</v>
      </c>
      <c r="H99" s="63">
        <v>0.4</v>
      </c>
      <c r="I99" s="99">
        <v>2.5600000000000005</v>
      </c>
      <c r="J99" s="605" t="s">
        <v>243</v>
      </c>
      <c r="K99" s="606"/>
    </row>
    <row r="100" spans="1:11" s="87" customFormat="1" ht="25.5">
      <c r="A100" s="108" t="s">
        <v>150</v>
      </c>
      <c r="B100" s="117" t="s">
        <v>293</v>
      </c>
      <c r="C100" s="61" t="s">
        <v>6</v>
      </c>
      <c r="D100" s="63">
        <v>8</v>
      </c>
      <c r="E100" s="63">
        <v>0.4</v>
      </c>
      <c r="F100" s="63"/>
      <c r="G100" s="63">
        <v>0.2</v>
      </c>
      <c r="H100" s="63">
        <v>0.2</v>
      </c>
      <c r="I100" s="63"/>
      <c r="J100" s="99">
        <v>0.12800000000000003</v>
      </c>
      <c r="K100" s="63"/>
    </row>
    <row r="101" spans="1:11" s="87" customFormat="1" ht="38.25">
      <c r="A101" s="108" t="s">
        <v>151</v>
      </c>
      <c r="B101" s="117" t="s">
        <v>294</v>
      </c>
      <c r="C101" s="61" t="s">
        <v>6</v>
      </c>
      <c r="D101" s="63">
        <v>8</v>
      </c>
      <c r="E101" s="63">
        <v>0.4</v>
      </c>
      <c r="F101" s="63"/>
      <c r="G101" s="63">
        <v>0.2</v>
      </c>
      <c r="H101" s="63">
        <v>0.2</v>
      </c>
      <c r="I101" s="63"/>
      <c r="J101" s="99">
        <v>0.12800000000000003</v>
      </c>
      <c r="K101" s="63"/>
    </row>
    <row r="102" spans="1:11">
      <c r="A102" s="108" t="s">
        <v>152</v>
      </c>
      <c r="B102" s="117" t="e">
        <f>#REF!</f>
        <v>#REF!</v>
      </c>
      <c r="C102" s="61" t="s">
        <v>6</v>
      </c>
      <c r="D102" s="63"/>
      <c r="E102" s="63"/>
      <c r="F102" s="63"/>
      <c r="G102" s="63"/>
      <c r="H102" s="63"/>
      <c r="I102" s="63"/>
      <c r="J102" s="99">
        <f>J98</f>
        <v>0.2</v>
      </c>
      <c r="K102" s="63"/>
    </row>
    <row r="103" spans="1:11">
      <c r="A103" s="108" t="s">
        <v>295</v>
      </c>
      <c r="B103" s="117" t="e">
        <f>#REF!</f>
        <v>#REF!</v>
      </c>
      <c r="C103" s="61" t="s">
        <v>15</v>
      </c>
      <c r="D103" s="99">
        <v>2</v>
      </c>
      <c r="E103" s="63"/>
      <c r="F103" s="63"/>
      <c r="G103" s="63"/>
      <c r="H103" s="63"/>
      <c r="I103" s="107"/>
      <c r="J103" s="63"/>
      <c r="K103" s="63"/>
    </row>
    <row r="104" spans="1:11">
      <c r="A104" s="122" t="s">
        <v>123</v>
      </c>
      <c r="B104" s="597" t="s">
        <v>16</v>
      </c>
      <c r="C104" s="598"/>
      <c r="D104" s="598"/>
      <c r="E104" s="598"/>
      <c r="F104" s="598"/>
      <c r="G104" s="598"/>
      <c r="H104" s="598"/>
      <c r="I104" s="598"/>
      <c r="J104" s="598"/>
      <c r="K104" s="599"/>
    </row>
    <row r="105" spans="1:11">
      <c r="A105" s="123" t="s">
        <v>131</v>
      </c>
      <c r="B105" s="106" t="s">
        <v>11</v>
      </c>
      <c r="C105" s="61"/>
      <c r="D105" s="63"/>
      <c r="E105" s="63"/>
      <c r="F105" s="63"/>
      <c r="G105" s="63"/>
      <c r="H105" s="63"/>
      <c r="I105" s="107"/>
      <c r="J105" s="63"/>
      <c r="K105" s="63"/>
    </row>
    <row r="106" spans="1:11">
      <c r="A106" s="108" t="s">
        <v>153</v>
      </c>
      <c r="B106" s="117" t="e">
        <f>#REF!</f>
        <v>#REF!</v>
      </c>
      <c r="C106" s="190" t="s">
        <v>6</v>
      </c>
      <c r="D106" s="109">
        <v>2</v>
      </c>
      <c r="E106" s="109">
        <v>0.5</v>
      </c>
      <c r="F106" s="63"/>
      <c r="G106" s="63">
        <v>14</v>
      </c>
      <c r="H106" s="63">
        <v>23</v>
      </c>
      <c r="I106" s="63"/>
      <c r="J106" s="99">
        <f>H106*G106*E106*D106</f>
        <v>322</v>
      </c>
      <c r="K106" s="60"/>
    </row>
    <row r="107" spans="1:11">
      <c r="A107" s="108" t="s">
        <v>154</v>
      </c>
      <c r="B107" s="117" t="e">
        <f>#REF!</f>
        <v>#REF!</v>
      </c>
      <c r="C107" s="108" t="s">
        <v>20</v>
      </c>
      <c r="D107" s="109">
        <v>4</v>
      </c>
      <c r="E107" s="109"/>
      <c r="F107" s="63"/>
      <c r="G107" s="63"/>
      <c r="H107" s="110"/>
      <c r="I107" s="63"/>
      <c r="J107" s="63">
        <v>62.928000000000004</v>
      </c>
      <c r="K107" s="99">
        <f>J107*D107</f>
        <v>251.71200000000002</v>
      </c>
    </row>
    <row r="108" spans="1:11" ht="33" customHeight="1">
      <c r="A108" s="108" t="s">
        <v>155</v>
      </c>
      <c r="B108" s="117" t="e">
        <f>#REF!</f>
        <v>#REF!</v>
      </c>
      <c r="C108" s="108" t="s">
        <v>5</v>
      </c>
      <c r="D108" s="109">
        <v>2</v>
      </c>
      <c r="E108" s="109"/>
      <c r="F108" s="63"/>
      <c r="G108" s="63">
        <v>14</v>
      </c>
      <c r="H108" s="63">
        <v>23</v>
      </c>
      <c r="I108" s="99">
        <f>H108*G108*D108</f>
        <v>644</v>
      </c>
      <c r="J108" s="60"/>
      <c r="K108" s="60"/>
    </row>
    <row r="109" spans="1:11">
      <c r="A109" s="123" t="s">
        <v>132</v>
      </c>
      <c r="B109" s="106" t="s">
        <v>8</v>
      </c>
      <c r="C109" s="60"/>
      <c r="D109" s="109"/>
      <c r="E109" s="109"/>
      <c r="F109" s="63"/>
      <c r="G109" s="63"/>
      <c r="H109" s="63"/>
      <c r="I109" s="63"/>
      <c r="J109" s="63"/>
      <c r="K109" s="63"/>
    </row>
    <row r="110" spans="1:11">
      <c r="A110" s="108" t="s">
        <v>179</v>
      </c>
      <c r="B110" s="117" t="e">
        <f>#REF!</f>
        <v>#REF!</v>
      </c>
      <c r="C110" s="61" t="s">
        <v>6</v>
      </c>
      <c r="D110" s="109">
        <v>2</v>
      </c>
      <c r="E110" s="114">
        <v>0.35</v>
      </c>
      <c r="F110" s="63"/>
      <c r="G110" s="63">
        <v>13.8</v>
      </c>
      <c r="H110" s="63">
        <v>22.8</v>
      </c>
      <c r="I110" s="62"/>
      <c r="J110" s="99">
        <f>H110*G110*E110*D110</f>
        <v>220.24800000000002</v>
      </c>
      <c r="K110" s="63"/>
    </row>
    <row r="111" spans="1:11">
      <c r="A111" s="108" t="s">
        <v>180</v>
      </c>
      <c r="B111" s="117" t="e">
        <f>#REF!</f>
        <v>#REF!</v>
      </c>
      <c r="C111" s="61" t="s">
        <v>6</v>
      </c>
      <c r="D111" s="109">
        <v>2</v>
      </c>
      <c r="E111" s="114">
        <v>0.35</v>
      </c>
      <c r="F111" s="63"/>
      <c r="G111" s="63">
        <v>13.8</v>
      </c>
      <c r="H111" s="63">
        <v>22.8</v>
      </c>
      <c r="I111" s="62"/>
      <c r="J111" s="99">
        <f>H111*G111*E111*D111</f>
        <v>220.24800000000002</v>
      </c>
      <c r="K111" s="63"/>
    </row>
    <row r="112" spans="1:11">
      <c r="A112" s="123" t="s">
        <v>133</v>
      </c>
      <c r="B112" s="106" t="s">
        <v>14</v>
      </c>
      <c r="C112" s="61"/>
      <c r="D112" s="60"/>
      <c r="E112" s="60"/>
      <c r="F112" s="60"/>
      <c r="G112" s="60"/>
      <c r="H112" s="60"/>
      <c r="I112" s="60"/>
      <c r="J112" s="60"/>
      <c r="K112" s="60"/>
    </row>
    <row r="113" spans="1:12">
      <c r="A113" s="108" t="s">
        <v>156</v>
      </c>
      <c r="B113" s="117" t="e">
        <f>#REF!</f>
        <v>#REF!</v>
      </c>
      <c r="C113" s="61" t="s">
        <v>6</v>
      </c>
      <c r="D113" s="63">
        <v>2</v>
      </c>
      <c r="E113" s="63"/>
      <c r="F113" s="63">
        <v>74</v>
      </c>
      <c r="G113" s="63">
        <v>0.2</v>
      </c>
      <c r="H113" s="63">
        <v>0.4</v>
      </c>
      <c r="I113" s="111"/>
      <c r="J113" s="99">
        <v>11.84</v>
      </c>
      <c r="K113" s="60"/>
    </row>
    <row r="114" spans="1:12" ht="24.75" customHeight="1">
      <c r="A114" s="108" t="s">
        <v>157</v>
      </c>
      <c r="B114" s="117" t="e">
        <f>#REF!</f>
        <v>#REF!</v>
      </c>
      <c r="C114" s="61" t="s">
        <v>5</v>
      </c>
      <c r="D114" s="63">
        <v>2</v>
      </c>
      <c r="E114" s="63"/>
      <c r="F114" s="63">
        <v>74</v>
      </c>
      <c r="G114" s="63">
        <v>0.2</v>
      </c>
      <c r="H114" s="63">
        <v>0.4</v>
      </c>
      <c r="I114" s="99">
        <f>H114*G114*D114*F114</f>
        <v>11.840000000000002</v>
      </c>
      <c r="J114" s="105"/>
      <c r="K114" s="60"/>
    </row>
    <row r="115" spans="1:12" s="87" customFormat="1" ht="24.75" customHeight="1">
      <c r="A115" s="108" t="s">
        <v>181</v>
      </c>
      <c r="B115" s="117" t="s">
        <v>293</v>
      </c>
      <c r="C115" s="61" t="s">
        <v>6</v>
      </c>
      <c r="D115" s="63">
        <v>2</v>
      </c>
      <c r="E115" s="63"/>
      <c r="F115" s="63">
        <v>74</v>
      </c>
      <c r="G115" s="63">
        <v>0.2</v>
      </c>
      <c r="H115" s="63">
        <v>0.2</v>
      </c>
      <c r="I115" s="63"/>
      <c r="J115" s="99">
        <f>H115*G115*F115*D115</f>
        <v>5.9200000000000008</v>
      </c>
      <c r="K115" s="60"/>
    </row>
    <row r="116" spans="1:12" ht="38.25">
      <c r="A116" s="108" t="s">
        <v>182</v>
      </c>
      <c r="B116" s="117" t="s">
        <v>294</v>
      </c>
      <c r="C116" s="61" t="s">
        <v>6</v>
      </c>
      <c r="D116" s="63">
        <v>2</v>
      </c>
      <c r="E116" s="63"/>
      <c r="F116" s="63">
        <v>74</v>
      </c>
      <c r="G116" s="63">
        <v>0.2</v>
      </c>
      <c r="H116" s="63">
        <v>0.2</v>
      </c>
      <c r="I116" s="63"/>
      <c r="J116" s="99">
        <f>H116*G116*F116*D116</f>
        <v>5.9200000000000008</v>
      </c>
      <c r="K116" s="60"/>
    </row>
    <row r="117" spans="1:12">
      <c r="A117" s="108" t="s">
        <v>183</v>
      </c>
      <c r="B117" s="117" t="e">
        <f>#REF!</f>
        <v>#REF!</v>
      </c>
      <c r="C117" s="61" t="s">
        <v>6</v>
      </c>
      <c r="D117" s="63"/>
      <c r="E117" s="63"/>
      <c r="F117" s="63"/>
      <c r="G117" s="63"/>
      <c r="H117" s="63"/>
      <c r="I117" s="63"/>
      <c r="J117" s="99">
        <v>0.32399999999999995</v>
      </c>
      <c r="K117" s="60"/>
    </row>
    <row r="118" spans="1:12" ht="54.75" customHeight="1">
      <c r="A118" s="108" t="s">
        <v>184</v>
      </c>
      <c r="B118" s="180" t="e">
        <f>#REF!</f>
        <v>#REF!</v>
      </c>
      <c r="C118" s="61" t="s">
        <v>5</v>
      </c>
      <c r="D118" s="63"/>
      <c r="E118" s="63"/>
      <c r="F118" s="63"/>
      <c r="G118" s="63"/>
      <c r="H118" s="63"/>
      <c r="I118" s="99">
        <f>SUM(I119+I120-I121)</f>
        <v>440.22</v>
      </c>
      <c r="J118" s="60"/>
      <c r="K118" s="60"/>
    </row>
    <row r="119" spans="1:12" s="132" customFormat="1" ht="11.25">
      <c r="A119" s="586" t="s">
        <v>222</v>
      </c>
      <c r="B119" s="587"/>
      <c r="C119" s="133"/>
      <c r="D119" s="134">
        <v>4</v>
      </c>
      <c r="E119" s="134"/>
      <c r="F119" s="134"/>
      <c r="G119" s="134">
        <v>14</v>
      </c>
      <c r="H119" s="134">
        <v>3</v>
      </c>
      <c r="I119" s="134">
        <f>D119*G119*H119</f>
        <v>168</v>
      </c>
      <c r="J119" s="593" t="s">
        <v>244</v>
      </c>
      <c r="K119" s="594"/>
    </row>
    <row r="120" spans="1:12" s="132" customFormat="1" ht="11.25">
      <c r="A120" s="586" t="s">
        <v>223</v>
      </c>
      <c r="B120" s="587"/>
      <c r="C120" s="133"/>
      <c r="D120" s="134">
        <v>4</v>
      </c>
      <c r="E120" s="134"/>
      <c r="F120" s="134"/>
      <c r="G120" s="134">
        <v>23</v>
      </c>
      <c r="H120" s="134">
        <v>3</v>
      </c>
      <c r="I120" s="134">
        <f>D120*G120*H120</f>
        <v>276</v>
      </c>
      <c r="J120" s="595"/>
      <c r="K120" s="596"/>
    </row>
    <row r="121" spans="1:12">
      <c r="A121" s="108" t="s">
        <v>185</v>
      </c>
      <c r="B121" s="117" t="e">
        <f>#REF!</f>
        <v>#REF!</v>
      </c>
      <c r="C121" s="61" t="s">
        <v>5</v>
      </c>
      <c r="D121" s="63">
        <v>2</v>
      </c>
      <c r="E121" s="63"/>
      <c r="F121" s="63"/>
      <c r="G121" s="63">
        <v>0.9</v>
      </c>
      <c r="H121" s="63">
        <v>2.1</v>
      </c>
      <c r="I121" s="99">
        <f>D121*G121*H121</f>
        <v>3.7800000000000002</v>
      </c>
      <c r="J121" s="60"/>
      <c r="K121" s="60"/>
    </row>
    <row r="122" spans="1:12">
      <c r="A122" s="108" t="s">
        <v>296</v>
      </c>
      <c r="B122" s="117" t="e">
        <f>#REF!</f>
        <v>#REF!</v>
      </c>
      <c r="C122" s="61" t="s">
        <v>5</v>
      </c>
      <c r="D122" s="63"/>
      <c r="E122" s="63"/>
      <c r="F122" s="63"/>
      <c r="G122" s="63"/>
      <c r="H122" s="63"/>
      <c r="I122" s="99">
        <f>I118</f>
        <v>440.22</v>
      </c>
      <c r="J122" s="60"/>
      <c r="K122" s="60"/>
    </row>
    <row r="123" spans="1:12">
      <c r="A123" s="123" t="s">
        <v>134</v>
      </c>
      <c r="B123" s="106" t="s">
        <v>122</v>
      </c>
      <c r="C123" s="61"/>
      <c r="D123" s="60"/>
      <c r="E123" s="60"/>
      <c r="F123" s="60"/>
      <c r="G123" s="60"/>
      <c r="H123" s="60"/>
      <c r="I123" s="60"/>
      <c r="J123" s="60"/>
      <c r="K123" s="60"/>
    </row>
    <row r="124" spans="1:12">
      <c r="A124" s="108" t="s">
        <v>158</v>
      </c>
      <c r="B124" s="117" t="e">
        <f>#REF!</f>
        <v>#REF!</v>
      </c>
      <c r="C124" s="61" t="s">
        <v>6</v>
      </c>
      <c r="D124" s="63">
        <v>4</v>
      </c>
      <c r="E124" s="63">
        <v>0.4</v>
      </c>
      <c r="F124" s="63"/>
      <c r="G124" s="63">
        <v>0.25</v>
      </c>
      <c r="H124" s="63">
        <v>0.25</v>
      </c>
      <c r="I124" s="63"/>
      <c r="J124" s="99">
        <f>H124*G124*E124*D124</f>
        <v>0.1</v>
      </c>
      <c r="K124" s="63"/>
      <c r="L124" s="59"/>
    </row>
    <row r="125" spans="1:12">
      <c r="A125" s="108" t="s">
        <v>159</v>
      </c>
      <c r="B125" s="117" t="e">
        <f>#REF!</f>
        <v>#REF!</v>
      </c>
      <c r="C125" s="61" t="s">
        <v>5</v>
      </c>
      <c r="D125" s="63">
        <v>16</v>
      </c>
      <c r="E125" s="63"/>
      <c r="F125" s="63"/>
      <c r="G125" s="63">
        <v>0.2</v>
      </c>
      <c r="H125" s="63">
        <v>0.4</v>
      </c>
      <c r="I125" s="99">
        <f>H125*G125*D125</f>
        <v>1.2800000000000002</v>
      </c>
      <c r="J125" s="105"/>
      <c r="K125" s="63"/>
      <c r="L125" s="59"/>
    </row>
    <row r="126" spans="1:12" s="87" customFormat="1" ht="25.5">
      <c r="A126" s="108" t="s">
        <v>160</v>
      </c>
      <c r="B126" s="117" t="s">
        <v>293</v>
      </c>
      <c r="C126" s="61" t="s">
        <v>6</v>
      </c>
      <c r="D126" s="63">
        <v>4</v>
      </c>
      <c r="E126" s="63">
        <v>0.4</v>
      </c>
      <c r="F126" s="63"/>
      <c r="G126" s="63">
        <v>0.2</v>
      </c>
      <c r="H126" s="63">
        <v>0.2</v>
      </c>
      <c r="I126" s="63"/>
      <c r="J126" s="99">
        <f>H126*G126*E126*D126</f>
        <v>6.4000000000000015E-2</v>
      </c>
      <c r="K126" s="63"/>
      <c r="L126" s="59"/>
    </row>
    <row r="127" spans="1:12" ht="38.25">
      <c r="A127" s="108" t="s">
        <v>280</v>
      </c>
      <c r="B127" s="117" t="s">
        <v>294</v>
      </c>
      <c r="C127" s="61" t="s">
        <v>6</v>
      </c>
      <c r="D127" s="63">
        <v>4</v>
      </c>
      <c r="E127" s="63">
        <v>0.4</v>
      </c>
      <c r="F127" s="63"/>
      <c r="G127" s="63">
        <v>0.2</v>
      </c>
      <c r="H127" s="63">
        <v>0.2</v>
      </c>
      <c r="I127" s="63"/>
      <c r="J127" s="99">
        <f>H127*G127*E127*D127</f>
        <v>6.4000000000000015E-2</v>
      </c>
      <c r="K127" s="63"/>
      <c r="L127" s="59"/>
    </row>
    <row r="128" spans="1:12">
      <c r="A128" s="108" t="s">
        <v>297</v>
      </c>
      <c r="B128" s="117" t="e">
        <f>#REF!</f>
        <v>#REF!</v>
      </c>
      <c r="C128" s="61" t="s">
        <v>15</v>
      </c>
      <c r="D128" s="99">
        <v>2</v>
      </c>
      <c r="E128" s="63"/>
      <c r="F128" s="63"/>
      <c r="G128" s="63"/>
      <c r="H128" s="63"/>
      <c r="I128" s="107"/>
      <c r="J128" s="63"/>
      <c r="K128" s="63"/>
      <c r="L128" s="59"/>
    </row>
    <row r="129" spans="1:12">
      <c r="A129" s="108"/>
      <c r="B129" s="60"/>
      <c r="C129" s="61"/>
      <c r="D129" s="111"/>
      <c r="E129" s="63"/>
      <c r="F129" s="63"/>
      <c r="G129" s="63"/>
      <c r="H129" s="63"/>
      <c r="I129" s="107"/>
      <c r="J129" s="63"/>
      <c r="K129" s="63"/>
      <c r="L129" s="59"/>
    </row>
    <row r="130" spans="1:12">
      <c r="A130" s="122" t="s">
        <v>130</v>
      </c>
      <c r="B130" s="597" t="s">
        <v>186</v>
      </c>
      <c r="C130" s="598"/>
      <c r="D130" s="598"/>
      <c r="E130" s="598"/>
      <c r="F130" s="598"/>
      <c r="G130" s="598"/>
      <c r="H130" s="598"/>
      <c r="I130" s="598"/>
      <c r="J130" s="598"/>
      <c r="K130" s="599"/>
      <c r="L130" s="59"/>
    </row>
    <row r="131" spans="1:12" ht="25.5">
      <c r="A131" s="96" t="s">
        <v>168</v>
      </c>
      <c r="B131" s="65" t="s">
        <v>246</v>
      </c>
      <c r="C131" s="161"/>
      <c r="D131" s="162"/>
      <c r="E131" s="161"/>
      <c r="F131" s="142"/>
      <c r="G131" s="161"/>
      <c r="H131" s="161"/>
      <c r="I131" s="111"/>
      <c r="J131" s="163"/>
      <c r="K131" s="164"/>
      <c r="L131" s="59"/>
    </row>
    <row r="132" spans="1:12" s="87" customFormat="1">
      <c r="A132" s="96" t="s">
        <v>188</v>
      </c>
      <c r="B132" s="65" t="s">
        <v>187</v>
      </c>
      <c r="C132" s="61" t="s">
        <v>7</v>
      </c>
      <c r="D132" s="141">
        <v>14</v>
      </c>
      <c r="E132" s="64"/>
      <c r="F132" s="98">
        <v>18.5</v>
      </c>
      <c r="G132" s="64"/>
      <c r="H132" s="64"/>
      <c r="I132" s="107"/>
      <c r="J132" s="143">
        <f>(F132*D132)</f>
        <v>259</v>
      </c>
      <c r="K132" s="63"/>
      <c r="L132" s="59"/>
    </row>
    <row r="133" spans="1:12" s="87" customFormat="1">
      <c r="A133" s="96" t="s">
        <v>189</v>
      </c>
      <c r="B133" s="65" t="s">
        <v>248</v>
      </c>
      <c r="C133" s="61" t="s">
        <v>7</v>
      </c>
      <c r="D133" s="141">
        <v>14</v>
      </c>
      <c r="E133" s="64">
        <v>0.3</v>
      </c>
      <c r="F133" s="98">
        <v>18.5</v>
      </c>
      <c r="G133" s="64"/>
      <c r="H133" s="64"/>
      <c r="I133" s="107"/>
      <c r="J133" s="143">
        <f>(F133*E133*D133)</f>
        <v>77.7</v>
      </c>
      <c r="K133" s="63"/>
      <c r="L133" s="59"/>
    </row>
    <row r="134" spans="1:12" s="166" customFormat="1">
      <c r="A134" s="97" t="s">
        <v>169</v>
      </c>
      <c r="B134" s="85" t="s">
        <v>249</v>
      </c>
      <c r="C134" s="161"/>
      <c r="D134" s="162"/>
      <c r="E134" s="161"/>
      <c r="F134" s="142"/>
      <c r="G134" s="161"/>
      <c r="H134" s="161"/>
      <c r="I134" s="111"/>
      <c r="J134" s="163"/>
      <c r="K134" s="164"/>
      <c r="L134" s="165"/>
    </row>
    <row r="135" spans="1:12" s="87" customFormat="1">
      <c r="A135" s="96" t="s">
        <v>247</v>
      </c>
      <c r="B135" s="65" t="s">
        <v>251</v>
      </c>
      <c r="C135" s="61" t="s">
        <v>7</v>
      </c>
      <c r="D135" s="141">
        <v>2</v>
      </c>
      <c r="E135" s="64"/>
      <c r="F135" s="98">
        <v>22.15</v>
      </c>
      <c r="G135" s="64"/>
      <c r="H135" s="64"/>
      <c r="I135" s="107"/>
      <c r="J135" s="143">
        <f>(F135*D135)</f>
        <v>44.3</v>
      </c>
      <c r="K135" s="63"/>
      <c r="L135" s="59"/>
    </row>
    <row r="136" spans="1:12" s="87" customFormat="1">
      <c r="A136" s="96" t="s">
        <v>170</v>
      </c>
      <c r="B136" s="65" t="s">
        <v>252</v>
      </c>
      <c r="C136" s="61"/>
      <c r="D136" s="141"/>
      <c r="E136" s="64"/>
      <c r="F136" s="98"/>
      <c r="G136" s="64"/>
      <c r="H136" s="64"/>
      <c r="I136" s="107"/>
      <c r="J136" s="143"/>
      <c r="K136" s="63"/>
      <c r="L136" s="59"/>
    </row>
    <row r="137" spans="1:12">
      <c r="A137" s="96" t="s">
        <v>250</v>
      </c>
      <c r="B137" s="65" t="s">
        <v>196</v>
      </c>
      <c r="C137" s="61" t="s">
        <v>7</v>
      </c>
      <c r="D137" s="142">
        <v>2</v>
      </c>
      <c r="E137" s="64">
        <v>0.3</v>
      </c>
      <c r="F137" s="63">
        <v>72.5</v>
      </c>
      <c r="G137" s="64"/>
      <c r="H137" s="64"/>
      <c r="I137" s="107"/>
      <c r="J137" s="143">
        <f>(D137*E137*F137)</f>
        <v>43.5</v>
      </c>
      <c r="K137" s="63"/>
      <c r="L137" s="59"/>
    </row>
    <row r="138" spans="1:12" s="87" customFormat="1">
      <c r="A138" s="600" t="s">
        <v>245</v>
      </c>
      <c r="B138" s="601"/>
      <c r="C138" s="601"/>
      <c r="D138" s="601"/>
      <c r="E138" s="601"/>
      <c r="F138" s="601"/>
      <c r="G138" s="601"/>
      <c r="H138" s="601"/>
      <c r="I138" s="601"/>
      <c r="J138" s="601"/>
      <c r="K138" s="602"/>
      <c r="L138" s="59"/>
    </row>
    <row r="139" spans="1:12" s="87" customFormat="1">
      <c r="A139" s="96" t="s">
        <v>253</v>
      </c>
      <c r="B139" s="65" t="s">
        <v>191</v>
      </c>
      <c r="C139" s="61" t="s">
        <v>7</v>
      </c>
      <c r="D139" s="142">
        <v>2</v>
      </c>
      <c r="E139" s="64">
        <v>0.3</v>
      </c>
      <c r="F139" s="63">
        <v>72.5</v>
      </c>
      <c r="G139" s="64"/>
      <c r="H139" s="64"/>
      <c r="I139" s="107"/>
      <c r="J139" s="143">
        <f>(D139*E139*F139)</f>
        <v>43.5</v>
      </c>
      <c r="K139" s="63"/>
      <c r="L139" s="59"/>
    </row>
    <row r="140" spans="1:12">
      <c r="A140" s="122" t="s">
        <v>139</v>
      </c>
      <c r="B140" s="597" t="s">
        <v>141</v>
      </c>
      <c r="C140" s="598"/>
      <c r="D140" s="598"/>
      <c r="E140" s="598"/>
      <c r="F140" s="598"/>
      <c r="G140" s="598"/>
      <c r="H140" s="598"/>
      <c r="I140" s="598"/>
      <c r="J140" s="598"/>
      <c r="K140" s="599"/>
    </row>
    <row r="141" spans="1:12">
      <c r="A141" s="108" t="s">
        <v>140</v>
      </c>
      <c r="B141" s="60" t="s">
        <v>142</v>
      </c>
      <c r="C141" s="61" t="s">
        <v>5</v>
      </c>
      <c r="D141" s="60"/>
      <c r="E141" s="60"/>
      <c r="F141" s="60"/>
      <c r="G141" s="60">
        <v>58</v>
      </c>
      <c r="H141" s="60">
        <v>79</v>
      </c>
      <c r="I141" s="143">
        <f>(G141*H141)</f>
        <v>4582</v>
      </c>
      <c r="J141" s="163"/>
      <c r="K141" s="60"/>
    </row>
    <row r="142" spans="1:12">
      <c r="A142" s="583" t="s">
        <v>225</v>
      </c>
      <c r="B142" s="584"/>
      <c r="C142" s="584"/>
      <c r="D142" s="584"/>
      <c r="E142" s="584"/>
      <c r="F142" s="584"/>
      <c r="G142" s="584"/>
      <c r="H142" s="584"/>
      <c r="I142" s="584"/>
      <c r="J142" s="584"/>
      <c r="K142" s="585"/>
    </row>
    <row r="148" spans="2:2">
      <c r="B148" s="167"/>
    </row>
  </sheetData>
  <mergeCells count="49">
    <mergeCell ref="A35:B35"/>
    <mergeCell ref="A30:B30"/>
    <mergeCell ref="A31:K31"/>
    <mergeCell ref="A24:K24"/>
    <mergeCell ref="A29:B29"/>
    <mergeCell ref="A34:B34"/>
    <mergeCell ref="B19:K19"/>
    <mergeCell ref="A26:B26"/>
    <mergeCell ref="B22:K22"/>
    <mergeCell ref="A27:B27"/>
    <mergeCell ref="A28:B28"/>
    <mergeCell ref="B76:K76"/>
    <mergeCell ref="A36:B36"/>
    <mergeCell ref="A37:B37"/>
    <mergeCell ref="A40:K40"/>
    <mergeCell ref="A42:K42"/>
    <mergeCell ref="A73:B73"/>
    <mergeCell ref="A74:B74"/>
    <mergeCell ref="B62:K62"/>
    <mergeCell ref="B58:K58"/>
    <mergeCell ref="B56:K56"/>
    <mergeCell ref="B51:K51"/>
    <mergeCell ref="B54:K54"/>
    <mergeCell ref="A44:K44"/>
    <mergeCell ref="B45:K45"/>
    <mergeCell ref="J38:K38"/>
    <mergeCell ref="A142:K142"/>
    <mergeCell ref="A119:B119"/>
    <mergeCell ref="A120:B120"/>
    <mergeCell ref="A87:K87"/>
    <mergeCell ref="A93:B93"/>
    <mergeCell ref="A94:B94"/>
    <mergeCell ref="J93:K94"/>
    <mergeCell ref="B104:K104"/>
    <mergeCell ref="B130:K130"/>
    <mergeCell ref="B140:K140"/>
    <mergeCell ref="A138:K138"/>
    <mergeCell ref="J96:K96"/>
    <mergeCell ref="J99:K99"/>
    <mergeCell ref="J119:K120"/>
    <mergeCell ref="A13:B13"/>
    <mergeCell ref="A18:K18"/>
    <mergeCell ref="B7:D7"/>
    <mergeCell ref="A8:K8"/>
    <mergeCell ref="B10:K10"/>
    <mergeCell ref="A9:C9"/>
    <mergeCell ref="A16:B16"/>
    <mergeCell ref="A17:B17"/>
    <mergeCell ref="A14:B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horizontalDpi="360" verticalDpi="360" r:id="rId1"/>
  <headerFooter>
    <oddFooter xml:space="preserve">&amp;L
</oddFooter>
  </headerFooter>
  <rowBreaks count="1" manualBreakCount="1">
    <brk id="114" max="10" man="1"/>
  </rowBreaks>
  <drawing r:id="rId2"/>
  <legacyDrawing r:id="rId3"/>
  <oleObjects>
    <mc:AlternateContent xmlns:mc="http://schemas.openxmlformats.org/markup-compatibility/2006">
      <mc:Choice Requires="x14">
        <oleObject progId="StaticMetafile" shapeId="7169" r:id="rId4">
          <objectPr defaultSize="0" autoPict="0" r:id="rId5">
            <anchor moveWithCells="1" sizeWithCells="1">
              <from>
                <xdr:col>1</xdr:col>
                <xdr:colOff>142875</xdr:colOff>
                <xdr:row>2</xdr:row>
                <xdr:rowOff>0</xdr:rowOff>
              </from>
              <to>
                <xdr:col>1</xdr:col>
                <xdr:colOff>1924050</xdr:colOff>
                <xdr:row>3</xdr:row>
                <xdr:rowOff>171450</xdr:rowOff>
              </to>
            </anchor>
          </objectPr>
        </oleObject>
      </mc:Choice>
      <mc:Fallback>
        <oleObject progId="StaticMetafile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view="pageLayout" topLeftCell="A4" zoomScale="70" zoomScaleNormal="84" zoomScalePageLayoutView="70" workbookViewId="0">
      <selection activeCell="J13" sqref="J13"/>
    </sheetView>
  </sheetViews>
  <sheetFormatPr defaultRowHeight="15"/>
  <cols>
    <col min="1" max="1" width="11" customWidth="1"/>
    <col min="2" max="2" width="30.5703125" customWidth="1"/>
    <col min="5" max="6" width="37" customWidth="1"/>
    <col min="7" max="7" width="41" customWidth="1"/>
    <col min="8" max="8" width="26.28515625" customWidth="1"/>
  </cols>
  <sheetData>
    <row r="1" spans="1:8">
      <c r="A1" s="68"/>
      <c r="B1" s="68"/>
      <c r="C1" s="68"/>
      <c r="D1" s="68"/>
      <c r="E1" s="68"/>
      <c r="F1" s="68"/>
      <c r="G1" s="68"/>
      <c r="H1" s="68"/>
    </row>
    <row r="2" spans="1:8">
      <c r="A2" s="68"/>
      <c r="B2" s="68"/>
      <c r="C2" s="68"/>
      <c r="D2" s="68"/>
      <c r="E2" s="68"/>
      <c r="F2" s="68"/>
      <c r="G2" s="68"/>
      <c r="H2" s="68"/>
    </row>
    <row r="3" spans="1:8">
      <c r="A3" s="68"/>
      <c r="B3" s="68"/>
      <c r="C3" s="68"/>
      <c r="D3" s="68"/>
      <c r="E3" s="68"/>
      <c r="F3" s="68"/>
      <c r="G3" s="68"/>
      <c r="H3" s="68"/>
    </row>
    <row r="4" spans="1:8">
      <c r="A4" s="7"/>
      <c r="B4" s="7" t="s">
        <v>137</v>
      </c>
      <c r="C4" s="68"/>
      <c r="D4" s="68"/>
      <c r="E4" s="68"/>
      <c r="F4" s="68"/>
      <c r="G4" s="68"/>
      <c r="H4" s="68"/>
    </row>
    <row r="5" spans="1:8">
      <c r="A5" s="7" t="s">
        <v>0</v>
      </c>
      <c r="B5" s="7" t="s">
        <v>281</v>
      </c>
      <c r="C5" s="68"/>
      <c r="D5" s="68"/>
      <c r="E5" s="68"/>
      <c r="F5" s="68"/>
      <c r="G5" s="68"/>
      <c r="H5" s="68"/>
    </row>
    <row r="6" spans="1:8">
      <c r="A6" s="3" t="s">
        <v>135</v>
      </c>
      <c r="B6" s="3" t="s">
        <v>136</v>
      </c>
      <c r="C6" s="69"/>
      <c r="D6" s="69"/>
      <c r="E6" s="69"/>
      <c r="F6" s="69"/>
      <c r="G6" s="69"/>
      <c r="H6" s="69"/>
    </row>
    <row r="7" spans="1:8" ht="15.75" thickBot="1">
      <c r="A7" s="3"/>
      <c r="B7" s="3"/>
      <c r="C7" s="69"/>
      <c r="D7" s="69"/>
      <c r="E7" s="69"/>
      <c r="F7" s="69"/>
      <c r="G7" s="69"/>
      <c r="H7" s="69"/>
    </row>
    <row r="8" spans="1:8" ht="28.5" customHeight="1">
      <c r="A8" s="646" t="s">
        <v>199</v>
      </c>
      <c r="B8" s="647"/>
      <c r="C8" s="647"/>
      <c r="D8" s="648"/>
      <c r="E8" s="70" t="s">
        <v>211</v>
      </c>
      <c r="F8" s="70" t="s">
        <v>299</v>
      </c>
      <c r="G8" s="70" t="s">
        <v>284</v>
      </c>
      <c r="H8" s="71" t="s">
        <v>200</v>
      </c>
    </row>
    <row r="9" spans="1:8" s="87" customFormat="1" ht="28.5" customHeight="1">
      <c r="A9" s="175" t="s">
        <v>285</v>
      </c>
      <c r="B9" s="176"/>
      <c r="C9" s="176"/>
      <c r="D9" s="177"/>
      <c r="E9" s="178" t="s">
        <v>286</v>
      </c>
      <c r="F9" s="178" t="s">
        <v>300</v>
      </c>
      <c r="G9" s="178" t="s">
        <v>289</v>
      </c>
      <c r="H9" s="179"/>
    </row>
    <row r="10" spans="1:8" ht="15.75" customHeight="1">
      <c r="A10" s="643" t="s">
        <v>201</v>
      </c>
      <c r="B10" s="644"/>
      <c r="C10" s="644"/>
      <c r="D10" s="645"/>
      <c r="E10" s="72" t="s">
        <v>282</v>
      </c>
      <c r="F10" s="72" t="s">
        <v>301</v>
      </c>
      <c r="G10" s="72" t="s">
        <v>288</v>
      </c>
      <c r="H10" s="73"/>
    </row>
    <row r="11" spans="1:8" ht="28.5" customHeight="1">
      <c r="A11" s="643" t="s">
        <v>202</v>
      </c>
      <c r="B11" s="644"/>
      <c r="C11" s="644"/>
      <c r="D11" s="645"/>
      <c r="E11" s="171"/>
      <c r="F11" s="173" t="s">
        <v>302</v>
      </c>
      <c r="G11" s="173" t="s">
        <v>287</v>
      </c>
      <c r="H11" s="172" t="str">
        <f>F8</f>
        <v>PRIMEGRASS / GLOBAL</v>
      </c>
    </row>
    <row r="12" spans="1:8" ht="15.75" customHeight="1">
      <c r="A12" s="643" t="s">
        <v>203</v>
      </c>
      <c r="B12" s="644"/>
      <c r="C12" s="644"/>
      <c r="D12" s="645"/>
      <c r="E12" s="173" t="s">
        <v>283</v>
      </c>
      <c r="F12" s="173" t="s">
        <v>303</v>
      </c>
      <c r="G12" s="74"/>
      <c r="H12" s="73"/>
    </row>
    <row r="13" spans="1:8" ht="15.75" customHeight="1">
      <c r="A13" s="643" t="s">
        <v>204</v>
      </c>
      <c r="B13" s="644"/>
      <c r="C13" s="644"/>
      <c r="D13" s="645"/>
      <c r="E13" s="174" t="s">
        <v>290</v>
      </c>
      <c r="F13" s="174" t="s">
        <v>290</v>
      </c>
      <c r="G13" s="174" t="s">
        <v>290</v>
      </c>
      <c r="H13" s="73"/>
    </row>
    <row r="14" spans="1:8" ht="15.75" customHeight="1">
      <c r="A14" s="75" t="s">
        <v>1</v>
      </c>
      <c r="B14" s="76" t="s">
        <v>205</v>
      </c>
      <c r="C14" s="73" t="s">
        <v>206</v>
      </c>
      <c r="D14" s="73" t="s">
        <v>207</v>
      </c>
      <c r="E14" s="77"/>
      <c r="F14" s="77"/>
      <c r="G14" s="77"/>
      <c r="H14" s="73"/>
    </row>
    <row r="15" spans="1:8" ht="15.75" customHeight="1">
      <c r="A15" s="634" t="s">
        <v>208</v>
      </c>
      <c r="B15" s="637" t="s">
        <v>143</v>
      </c>
      <c r="C15" s="640" t="s">
        <v>84</v>
      </c>
      <c r="D15" s="78" t="s">
        <v>209</v>
      </c>
      <c r="E15" s="79">
        <v>47.9</v>
      </c>
      <c r="F15" s="79">
        <v>59.2</v>
      </c>
      <c r="G15" s="79">
        <v>67</v>
      </c>
      <c r="H15" s="80"/>
    </row>
    <row r="16" spans="1:8" ht="15.75" customHeight="1">
      <c r="A16" s="635"/>
      <c r="B16" s="638"/>
      <c r="C16" s="641"/>
      <c r="D16" s="78" t="s">
        <v>210</v>
      </c>
      <c r="E16" s="79">
        <v>3.83</v>
      </c>
      <c r="F16" s="79" t="s">
        <v>298</v>
      </c>
      <c r="G16" s="79">
        <v>5.74</v>
      </c>
      <c r="H16" s="80"/>
    </row>
    <row r="17" spans="1:8" ht="72" customHeight="1" thickBot="1">
      <c r="A17" s="636"/>
      <c r="B17" s="639"/>
      <c r="C17" s="642"/>
      <c r="D17" s="81" t="s">
        <v>18</v>
      </c>
      <c r="E17" s="82">
        <v>51.73</v>
      </c>
      <c r="F17" s="82">
        <v>59.2</v>
      </c>
      <c r="G17" s="82">
        <v>72.739999999999995</v>
      </c>
      <c r="H17" s="83">
        <v>59.2</v>
      </c>
    </row>
  </sheetData>
  <mergeCells count="8">
    <mergeCell ref="A15:A17"/>
    <mergeCell ref="B15:B17"/>
    <mergeCell ref="C15:C17"/>
    <mergeCell ref="A11:D11"/>
    <mergeCell ref="A8:D8"/>
    <mergeCell ref="A10:D10"/>
    <mergeCell ref="A12:D12"/>
    <mergeCell ref="A13:D13"/>
  </mergeCells>
  <hyperlinks>
    <hyperlink ref="E12" r:id="rId1"/>
    <hyperlink ref="F12" r:id="rId2"/>
    <hyperlink ref="G11" r:id="rId3"/>
    <hyperlink ref="F11" r:id="rId4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60" verticalDpi="360" r:id="rId5"/>
  <drawing r:id="rId6"/>
  <legacyDrawing r:id="rId7"/>
  <oleObjects>
    <mc:AlternateContent xmlns:mc="http://schemas.openxmlformats.org/markup-compatibility/2006">
      <mc:Choice Requires="x14">
        <oleObject progId="StaticMetafile" shapeId="8193" r:id="rId8">
          <objectPr defaultSize="0" autoPict="0" r:id="rId9">
            <anchor moveWithCells="1" sizeWithCells="1">
              <from>
                <xdr:col>1</xdr:col>
                <xdr:colOff>190500</xdr:colOff>
                <xdr:row>0</xdr:row>
                <xdr:rowOff>133350</xdr:rowOff>
              </from>
              <to>
                <xdr:col>2</xdr:col>
                <xdr:colOff>190500</xdr:colOff>
                <xdr:row>2</xdr:row>
                <xdr:rowOff>171450</xdr:rowOff>
              </to>
            </anchor>
          </objectPr>
        </oleObject>
      </mc:Choice>
      <mc:Fallback>
        <oleObject progId="StaticMetafile" shapeId="8193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29"/>
  <sheetViews>
    <sheetView view="pageBreakPreview" zoomScaleNormal="100" zoomScaleSheetLayoutView="100" workbookViewId="0">
      <selection activeCell="K20" sqref="K20"/>
    </sheetView>
  </sheetViews>
  <sheetFormatPr defaultRowHeight="15"/>
  <cols>
    <col min="1" max="1" width="4.140625" customWidth="1"/>
    <col min="2" max="2" width="6.140625" customWidth="1"/>
    <col min="3" max="3" width="3.5703125" customWidth="1"/>
    <col min="4" max="4" width="3.7109375" customWidth="1"/>
    <col min="5" max="5" width="4.140625" customWidth="1"/>
    <col min="6" max="6" width="4" customWidth="1"/>
    <col min="7" max="7" width="3.85546875" customWidth="1"/>
    <col min="8" max="8" width="3.7109375" customWidth="1"/>
    <col min="9" max="9" width="4.85546875" customWidth="1"/>
    <col min="10" max="10" width="4.5703125" customWidth="1"/>
    <col min="11" max="11" width="3.7109375" customWidth="1"/>
    <col min="12" max="12" width="9.85546875" customWidth="1"/>
    <col min="13" max="13" width="0" hidden="1" customWidth="1"/>
    <col min="14" max="14" width="9.140625" hidden="1" customWidth="1"/>
    <col min="15" max="15" width="12.42578125" customWidth="1"/>
    <col min="16" max="17" width="1" hidden="1" customWidth="1"/>
    <col min="18" max="18" width="16.7109375" customWidth="1"/>
    <col min="19" max="19" width="13.140625" customWidth="1"/>
    <col min="20" max="20" width="0" hidden="1" customWidth="1"/>
    <col min="21" max="21" width="13.28515625" customWidth="1"/>
    <col min="25" max="25" width="12.85546875" customWidth="1"/>
    <col min="26" max="26" width="12.5703125" customWidth="1"/>
    <col min="28" max="28" width="13.140625" customWidth="1"/>
  </cols>
  <sheetData>
    <row r="1" spans="2:28" ht="52.5" customHeight="1">
      <c r="B1" s="662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194"/>
    </row>
    <row r="2" spans="2:28" s="87" customFormat="1">
      <c r="B2" s="270"/>
      <c r="C2" s="1"/>
      <c r="D2" s="1"/>
      <c r="E2" s="1"/>
      <c r="F2" s="7" t="s">
        <v>137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/>
    </row>
    <row r="3" spans="2:28" s="87" customFormat="1">
      <c r="B3" s="7" t="s">
        <v>0</v>
      </c>
      <c r="C3" s="1"/>
      <c r="D3" s="271" t="s">
        <v>281</v>
      </c>
      <c r="E3" s="271"/>
      <c r="F3" s="271"/>
      <c r="G3" s="271"/>
      <c r="H3" s="271"/>
      <c r="I3" s="271"/>
      <c r="J3" s="2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94"/>
    </row>
    <row r="4" spans="2:28" s="87" customFormat="1" ht="15" customHeight="1">
      <c r="B4" s="664" t="s">
        <v>135</v>
      </c>
      <c r="C4" s="664"/>
      <c r="D4" s="568" t="s">
        <v>136</v>
      </c>
      <c r="E4" s="568"/>
      <c r="F4" s="568"/>
      <c r="G4" s="568"/>
      <c r="H4" s="568"/>
      <c r="I4" s="568"/>
      <c r="J4" s="568"/>
      <c r="K4" s="56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94"/>
    </row>
    <row r="5" spans="2:28" s="87" customFormat="1" ht="18">
      <c r="B5" s="194"/>
      <c r="C5" s="194"/>
      <c r="D5" s="194"/>
      <c r="E5" s="194"/>
      <c r="F5" s="194"/>
      <c r="G5" s="194"/>
      <c r="H5" s="194"/>
      <c r="I5" s="194"/>
      <c r="J5" s="194"/>
      <c r="K5" s="685" t="s">
        <v>350</v>
      </c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49"/>
      <c r="Z5" s="650"/>
      <c r="AA5" s="277"/>
      <c r="AB5" s="194"/>
    </row>
    <row r="6" spans="2:28" s="87" customFormat="1" ht="15.7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272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194"/>
    </row>
    <row r="7" spans="2:28" s="87" customFormat="1">
      <c r="B7" s="274" t="str">
        <f>[2]CronogFF!B7</f>
        <v>Nº do CT</v>
      </c>
      <c r="C7" s="275"/>
      <c r="D7" s="275"/>
      <c r="E7" s="275"/>
      <c r="F7" s="275"/>
      <c r="G7" s="275"/>
      <c r="H7" s="276" t="s">
        <v>351</v>
      </c>
      <c r="I7" s="277"/>
      <c r="J7" s="277"/>
      <c r="K7" s="253"/>
      <c r="L7" s="253"/>
      <c r="M7" s="277"/>
      <c r="N7" s="277"/>
      <c r="O7" s="274" t="s">
        <v>352</v>
      </c>
      <c r="P7" s="278"/>
      <c r="Q7" s="278"/>
      <c r="R7" s="278"/>
      <c r="S7" s="253"/>
      <c r="T7" s="192"/>
      <c r="U7" s="274" t="s">
        <v>353</v>
      </c>
      <c r="V7" s="253"/>
      <c r="Z7" s="276" t="s">
        <v>354</v>
      </c>
      <c r="AA7" s="279"/>
      <c r="AB7" s="194"/>
    </row>
    <row r="8" spans="2:28" s="87" customFormat="1" ht="28.5" customHeight="1">
      <c r="B8" s="651" t="s">
        <v>355</v>
      </c>
      <c r="C8" s="652"/>
      <c r="D8" s="652"/>
      <c r="E8" s="652"/>
      <c r="F8" s="652"/>
      <c r="G8" s="653"/>
      <c r="H8" s="654" t="s">
        <v>356</v>
      </c>
      <c r="I8" s="652"/>
      <c r="J8" s="652"/>
      <c r="K8" s="652"/>
      <c r="L8" s="652"/>
      <c r="M8" s="280"/>
      <c r="N8" s="280"/>
      <c r="O8" s="651" t="s">
        <v>357</v>
      </c>
      <c r="P8" s="652"/>
      <c r="Q8" s="652"/>
      <c r="R8" s="652"/>
      <c r="S8" s="652"/>
      <c r="T8" s="281"/>
      <c r="U8" s="654" t="s">
        <v>358</v>
      </c>
      <c r="V8" s="652"/>
      <c r="W8" s="652"/>
      <c r="X8" s="652"/>
      <c r="Y8" s="653"/>
      <c r="Z8" s="655"/>
      <c r="AA8" s="656"/>
      <c r="AB8" s="194"/>
    </row>
    <row r="9" spans="2:28" s="87" customFormat="1">
      <c r="B9" s="194"/>
      <c r="C9" s="194"/>
      <c r="D9" s="194"/>
      <c r="E9" s="194"/>
      <c r="F9" s="194"/>
      <c r="G9" s="194"/>
      <c r="H9" s="194"/>
      <c r="I9" s="194"/>
      <c r="J9" s="194"/>
      <c r="K9" s="282"/>
      <c r="L9" s="282"/>
      <c r="M9" s="282"/>
      <c r="N9" s="282"/>
      <c r="O9" s="282"/>
      <c r="P9" s="282"/>
      <c r="Q9" s="282"/>
      <c r="R9" s="282"/>
      <c r="S9" s="282"/>
      <c r="T9" s="283"/>
      <c r="U9" s="283"/>
      <c r="V9" s="282"/>
      <c r="W9" s="282"/>
      <c r="X9" s="282"/>
      <c r="Y9" s="282"/>
      <c r="Z9" s="282"/>
      <c r="AA9" s="282"/>
      <c r="AB9" s="194"/>
    </row>
    <row r="10" spans="2:28" s="87" customFormat="1">
      <c r="B10" s="284" t="s">
        <v>359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2"/>
      <c r="N10" s="282"/>
      <c r="O10" s="276" t="s">
        <v>360</v>
      </c>
      <c r="P10" s="285"/>
      <c r="Q10" s="285"/>
      <c r="R10" s="285"/>
      <c r="S10" s="194"/>
      <c r="T10" s="254"/>
      <c r="U10" s="254"/>
      <c r="V10" s="194"/>
      <c r="W10" s="267"/>
      <c r="X10" s="267"/>
      <c r="Y10" s="194"/>
      <c r="Z10" s="124"/>
      <c r="AA10" s="279"/>
      <c r="AB10" s="194"/>
    </row>
    <row r="11" spans="2:28" s="87" customFormat="1">
      <c r="B11" s="284"/>
      <c r="C11" s="286"/>
      <c r="D11" s="266" t="s">
        <v>361</v>
      </c>
      <c r="E11" s="287"/>
      <c r="F11" s="287"/>
      <c r="G11" s="288"/>
      <c r="H11" s="289"/>
      <c r="I11" s="289"/>
      <c r="J11" s="286" t="s">
        <v>362</v>
      </c>
      <c r="K11" s="288" t="s">
        <v>363</v>
      </c>
      <c r="L11" s="288"/>
      <c r="M11" s="285"/>
      <c r="N11" s="285"/>
      <c r="O11" s="682" t="s">
        <v>364</v>
      </c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  <c r="AA11" s="684"/>
      <c r="AB11" s="194"/>
    </row>
    <row r="12" spans="2:28" s="87" customFormat="1">
      <c r="B12" s="290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2"/>
      <c r="N12" s="292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3"/>
      <c r="AB12" s="194"/>
    </row>
    <row r="13" spans="2:28" s="87" customFormat="1"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2" t="s">
        <v>315</v>
      </c>
      <c r="N13" s="191" t="s">
        <v>316</v>
      </c>
      <c r="O13" s="192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3"/>
      <c r="AA13" s="193"/>
      <c r="AB13" s="194"/>
    </row>
    <row r="14" spans="2:28">
      <c r="B14" s="195"/>
      <c r="C14" s="196"/>
      <c r="D14" s="197"/>
      <c r="E14" s="197"/>
      <c r="F14" s="197"/>
      <c r="G14" s="197"/>
      <c r="H14" s="197"/>
      <c r="I14" s="197"/>
      <c r="J14" s="197"/>
      <c r="K14" s="197"/>
      <c r="L14" s="197"/>
      <c r="M14" s="198" t="s">
        <v>317</v>
      </c>
      <c r="N14" s="197"/>
      <c r="O14" s="665"/>
      <c r="P14" s="665"/>
      <c r="Q14" s="665"/>
      <c r="R14" s="665"/>
      <c r="S14" s="665"/>
      <c r="T14" s="665"/>
      <c r="U14" s="665"/>
      <c r="V14" s="665"/>
      <c r="W14" s="665"/>
      <c r="X14" s="197"/>
      <c r="Y14" s="199"/>
      <c r="Z14" s="193"/>
      <c r="AA14" s="193"/>
      <c r="AB14" s="194"/>
    </row>
    <row r="15" spans="2:28">
      <c r="B15" s="660" t="s">
        <v>65</v>
      </c>
      <c r="C15" s="661"/>
      <c r="D15" s="661"/>
      <c r="E15" s="661"/>
      <c r="F15" s="661"/>
      <c r="G15" s="661"/>
      <c r="H15" s="661"/>
      <c r="I15" s="661"/>
      <c r="J15" s="661"/>
      <c r="K15" s="200"/>
      <c r="L15" s="200"/>
      <c r="M15" s="201"/>
      <c r="N15" s="202"/>
      <c r="O15" s="666" t="s">
        <v>348</v>
      </c>
      <c r="P15" s="667"/>
      <c r="Q15" s="667"/>
      <c r="R15" s="668"/>
      <c r="S15" s="669" t="s">
        <v>318</v>
      </c>
      <c r="T15" s="670"/>
      <c r="U15" s="670"/>
      <c r="V15" s="670"/>
      <c r="W15" s="670"/>
      <c r="X15" s="671"/>
      <c r="Y15" s="203" t="s">
        <v>319</v>
      </c>
      <c r="Z15" s="204" t="s">
        <v>320</v>
      </c>
      <c r="AA15" s="204" t="s">
        <v>318</v>
      </c>
      <c r="AB15" s="194"/>
    </row>
    <row r="16" spans="2:28">
      <c r="B16" s="205" t="s">
        <v>64</v>
      </c>
      <c r="C16" s="657" t="s">
        <v>321</v>
      </c>
      <c r="D16" s="658"/>
      <c r="E16" s="658"/>
      <c r="F16" s="658"/>
      <c r="G16" s="658"/>
      <c r="H16" s="658"/>
      <c r="I16" s="658"/>
      <c r="J16" s="658"/>
      <c r="K16" s="206"/>
      <c r="L16" s="207" t="s">
        <v>322</v>
      </c>
      <c r="M16" s="208" t="s">
        <v>323</v>
      </c>
      <c r="N16" s="209" t="s">
        <v>324</v>
      </c>
      <c r="O16" s="210" t="s">
        <v>207</v>
      </c>
      <c r="P16" s="210" t="s">
        <v>325</v>
      </c>
      <c r="Q16" s="210" t="s">
        <v>326</v>
      </c>
      <c r="R16" s="210" t="s">
        <v>66</v>
      </c>
      <c r="S16" s="211" t="s">
        <v>327</v>
      </c>
      <c r="T16" s="212" t="s">
        <v>328</v>
      </c>
      <c r="U16" s="213" t="s">
        <v>329</v>
      </c>
      <c r="V16" s="211" t="s">
        <v>330</v>
      </c>
      <c r="W16" s="213" t="s">
        <v>329</v>
      </c>
      <c r="X16" s="214" t="s">
        <v>331</v>
      </c>
      <c r="Y16" s="215" t="s">
        <v>332</v>
      </c>
      <c r="Z16" s="216" t="s">
        <v>333</v>
      </c>
      <c r="AA16" s="216" t="s">
        <v>334</v>
      </c>
      <c r="AB16" s="194"/>
    </row>
    <row r="17" spans="2:28">
      <c r="B17" s="217">
        <v>1</v>
      </c>
      <c r="C17" s="218" t="s">
        <v>335</v>
      </c>
      <c r="D17" s="219"/>
      <c r="E17" s="219"/>
      <c r="F17" s="219"/>
      <c r="G17" s="219"/>
      <c r="H17" s="219"/>
      <c r="I17" s="219"/>
      <c r="J17" s="219"/>
      <c r="K17" s="220"/>
      <c r="L17" s="221">
        <v>1</v>
      </c>
      <c r="M17" s="222"/>
      <c r="N17" s="220"/>
      <c r="O17" s="223">
        <f>Y17*R17</f>
        <v>33674.636767732001</v>
      </c>
      <c r="P17" s="224"/>
      <c r="Q17" s="224"/>
      <c r="R17" s="225">
        <v>0.90909092000000002</v>
      </c>
      <c r="S17" s="226">
        <f>U17*Y17</f>
        <v>3367.4635274935367</v>
      </c>
      <c r="T17" s="227"/>
      <c r="U17" s="228">
        <v>9.0909087969999997E-2</v>
      </c>
      <c r="V17" s="223">
        <f>Y17*W17</f>
        <v>0</v>
      </c>
      <c r="W17" s="229"/>
      <c r="X17" s="230"/>
      <c r="Y17" s="227">
        <v>37042.1</v>
      </c>
      <c r="Z17" s="231" t="s">
        <v>336</v>
      </c>
      <c r="AA17" s="232" t="s">
        <v>337</v>
      </c>
      <c r="AB17" s="233" t="str">
        <f>IF(M17=1,"ERRO - VALOR SUPERA LIMITE",IF(N17=1,"ERRO - VALOR INFERIOR AO ESTABELECIDO",""))</f>
        <v/>
      </c>
    </row>
    <row r="18" spans="2:28">
      <c r="B18" s="217">
        <v>2</v>
      </c>
      <c r="C18" s="218" t="s">
        <v>338</v>
      </c>
      <c r="D18" s="219"/>
      <c r="E18" s="219"/>
      <c r="F18" s="219"/>
      <c r="G18" s="219"/>
      <c r="H18" s="219"/>
      <c r="I18" s="219"/>
      <c r="J18" s="219"/>
      <c r="K18" s="220"/>
      <c r="L18" s="221">
        <v>1</v>
      </c>
      <c r="M18" s="222"/>
      <c r="N18" s="220"/>
      <c r="O18" s="223">
        <f>ROUND(Y18*R18,2)</f>
        <v>25235.96</v>
      </c>
      <c r="P18" s="224"/>
      <c r="Q18" s="224"/>
      <c r="R18" s="225">
        <v>0.90909092000000002</v>
      </c>
      <c r="S18" s="226">
        <f t="shared" ref="S18:S23" si="0">U18*Y18</f>
        <v>2523.5962820484933</v>
      </c>
      <c r="T18" s="227"/>
      <c r="U18" s="228">
        <v>9.0909087969999997E-2</v>
      </c>
      <c r="V18" s="223"/>
      <c r="W18" s="229"/>
      <c r="X18" s="230"/>
      <c r="Y18" s="227">
        <v>27759.56</v>
      </c>
      <c r="Z18" s="231" t="s">
        <v>336</v>
      </c>
      <c r="AA18" s="232" t="s">
        <v>337</v>
      </c>
      <c r="AB18" s="233"/>
    </row>
    <row r="19" spans="2:28">
      <c r="B19" s="217">
        <v>3</v>
      </c>
      <c r="C19" s="218" t="s">
        <v>339</v>
      </c>
      <c r="D19" s="219"/>
      <c r="E19" s="219"/>
      <c r="F19" s="219"/>
      <c r="G19" s="219"/>
      <c r="H19" s="219"/>
      <c r="I19" s="219"/>
      <c r="J19" s="219"/>
      <c r="K19" s="220"/>
      <c r="L19" s="221">
        <v>1</v>
      </c>
      <c r="M19" s="222"/>
      <c r="N19" s="220"/>
      <c r="O19" s="223">
        <f t="shared" ref="O19:O23" si="1">Y19*R19</f>
        <v>387898.52283660043</v>
      </c>
      <c r="P19" s="224"/>
      <c r="Q19" s="224"/>
      <c r="R19" s="225">
        <v>0.90909092000000002</v>
      </c>
      <c r="S19" s="226">
        <f t="shared" si="0"/>
        <v>38789.850564105909</v>
      </c>
      <c r="T19" s="227"/>
      <c r="U19" s="228">
        <v>9.0909087969999997E-2</v>
      </c>
      <c r="V19" s="223"/>
      <c r="W19" s="229"/>
      <c r="X19" s="230"/>
      <c r="Y19" s="227">
        <v>426688.37</v>
      </c>
      <c r="Z19" s="231" t="s">
        <v>336</v>
      </c>
      <c r="AA19" s="232" t="s">
        <v>337</v>
      </c>
      <c r="AB19" s="233"/>
    </row>
    <row r="20" spans="2:28">
      <c r="B20" s="217">
        <v>4</v>
      </c>
      <c r="C20" s="218" t="s">
        <v>340</v>
      </c>
      <c r="D20" s="219"/>
      <c r="E20" s="219"/>
      <c r="F20" s="219"/>
      <c r="G20" s="219"/>
      <c r="H20" s="219"/>
      <c r="I20" s="219"/>
      <c r="J20" s="219"/>
      <c r="K20" s="220"/>
      <c r="L20" s="221">
        <v>1</v>
      </c>
      <c r="M20" s="222"/>
      <c r="N20" s="220"/>
      <c r="O20" s="223">
        <f t="shared" si="1"/>
        <v>241797.47562884237</v>
      </c>
      <c r="P20" s="224"/>
      <c r="Q20" s="224"/>
      <c r="R20" s="225">
        <v>0.90909092000000002</v>
      </c>
      <c r="S20" s="226">
        <f t="shared" si="0"/>
        <v>24179.74649099604</v>
      </c>
      <c r="T20" s="227"/>
      <c r="U20" s="228">
        <v>9.0909087969999997E-2</v>
      </c>
      <c r="V20" s="223">
        <f t="shared" ref="V20:V23" si="2">Y20*W20</f>
        <v>0</v>
      </c>
      <c r="W20" s="229"/>
      <c r="X20" s="230"/>
      <c r="Y20" s="227">
        <v>265977.21999999997</v>
      </c>
      <c r="Z20" s="231" t="s">
        <v>336</v>
      </c>
      <c r="AA20" s="232" t="s">
        <v>337</v>
      </c>
      <c r="AB20" s="233" t="str">
        <f>IF(M20=1,"ERRO - VALOR SUPERA LIMITE",IF(N20=1,"ERRO - VALOR INFERIOR AO ESTABELECIDO",""))</f>
        <v/>
      </c>
    </row>
    <row r="21" spans="2:28">
      <c r="B21" s="217">
        <v>5</v>
      </c>
      <c r="C21" s="218" t="s">
        <v>341</v>
      </c>
      <c r="D21" s="219"/>
      <c r="E21" s="219"/>
      <c r="F21" s="219"/>
      <c r="G21" s="219"/>
      <c r="H21" s="219"/>
      <c r="I21" s="219"/>
      <c r="J21" s="219"/>
      <c r="K21" s="220"/>
      <c r="L21" s="221">
        <v>1</v>
      </c>
      <c r="M21" s="222"/>
      <c r="N21" s="220"/>
      <c r="O21" s="223">
        <f t="shared" si="1"/>
        <v>107147.910376684</v>
      </c>
      <c r="P21" s="224"/>
      <c r="Q21" s="224"/>
      <c r="R21" s="225">
        <v>0.90909092000000002</v>
      </c>
      <c r="S21" s="226">
        <f t="shared" si="0"/>
        <v>10714.790562681719</v>
      </c>
      <c r="T21" s="227"/>
      <c r="U21" s="228">
        <v>9.0909087969999997E-2</v>
      </c>
      <c r="V21" s="223">
        <f t="shared" si="2"/>
        <v>0</v>
      </c>
      <c r="W21" s="229"/>
      <c r="X21" s="230"/>
      <c r="Y21" s="227">
        <v>117862.7</v>
      </c>
      <c r="Z21" s="231" t="s">
        <v>336</v>
      </c>
      <c r="AA21" s="232" t="s">
        <v>337</v>
      </c>
      <c r="AB21" s="233" t="str">
        <f>IF(M21=1,"ERRO - VALOR SUPERA LIMITE",IF(N21=1,"ERRO - VALOR INFERIOR AO ESTABELECIDO",""))</f>
        <v/>
      </c>
    </row>
    <row r="22" spans="2:28">
      <c r="B22" s="217">
        <v>6</v>
      </c>
      <c r="C22" s="218" t="s">
        <v>342</v>
      </c>
      <c r="D22" s="219"/>
      <c r="E22" s="219"/>
      <c r="F22" s="219"/>
      <c r="G22" s="219"/>
      <c r="H22" s="219"/>
      <c r="I22" s="219"/>
      <c r="J22" s="219"/>
      <c r="K22" s="220"/>
      <c r="L22" s="221">
        <v>1</v>
      </c>
      <c r="M22" s="222"/>
      <c r="N22" s="220"/>
      <c r="O22" s="223">
        <f t="shared" si="1"/>
        <v>35829.445884498804</v>
      </c>
      <c r="P22" s="224"/>
      <c r="Q22" s="224"/>
      <c r="R22" s="225">
        <v>0.90909092000000002</v>
      </c>
      <c r="S22" s="226">
        <f t="shared" si="0"/>
        <v>3582.9444296179481</v>
      </c>
      <c r="T22" s="227"/>
      <c r="U22" s="228">
        <v>9.0909087969999997E-2</v>
      </c>
      <c r="V22" s="223">
        <f t="shared" si="2"/>
        <v>0</v>
      </c>
      <c r="W22" s="229"/>
      <c r="X22" s="230"/>
      <c r="Y22" s="227">
        <v>39412.39</v>
      </c>
      <c r="Z22" s="231" t="s">
        <v>336</v>
      </c>
      <c r="AA22" s="232" t="s">
        <v>337</v>
      </c>
      <c r="AB22" s="233" t="str">
        <f>IF(M22=1,"ERRO - VALOR SUPERA LIMITE",IF(N22=1,"ERRO - VALOR INFERIOR AO ESTABELECIDO",""))</f>
        <v/>
      </c>
    </row>
    <row r="23" spans="2:28">
      <c r="B23" s="217">
        <v>7</v>
      </c>
      <c r="C23" s="234" t="s">
        <v>343</v>
      </c>
      <c r="D23" s="235"/>
      <c r="E23" s="235"/>
      <c r="F23" s="235"/>
      <c r="G23" s="235"/>
      <c r="H23" s="235"/>
      <c r="I23" s="235"/>
      <c r="J23" s="235"/>
      <c r="K23" s="236"/>
      <c r="L23" s="221">
        <v>1</v>
      </c>
      <c r="M23" s="222"/>
      <c r="N23" s="220"/>
      <c r="O23" s="223">
        <f t="shared" si="1"/>
        <v>11205.072861733601</v>
      </c>
      <c r="P23" s="224"/>
      <c r="Q23" s="224"/>
      <c r="R23" s="225">
        <v>0.90909092000000002</v>
      </c>
      <c r="S23" s="226">
        <f t="shared" si="0"/>
        <v>1120.5072365012725</v>
      </c>
      <c r="T23" s="227"/>
      <c r="U23" s="228">
        <v>9.0909087969999997E-2</v>
      </c>
      <c r="V23" s="223">
        <f t="shared" si="2"/>
        <v>0</v>
      </c>
      <c r="W23" s="229"/>
      <c r="X23" s="230"/>
      <c r="Y23" s="227">
        <v>12325.58</v>
      </c>
      <c r="Z23" s="231" t="s">
        <v>336</v>
      </c>
      <c r="AA23" s="232" t="s">
        <v>337</v>
      </c>
      <c r="AB23" s="233" t="str">
        <f>IF(M23=1,"ERRO - VALOR SUPERA LIMITE",IF(N23=1,"ERRO - VALOR INFERIOR AO ESTABELECIDO",""))</f>
        <v/>
      </c>
    </row>
    <row r="24" spans="2:28">
      <c r="B24" s="237"/>
      <c r="C24" s="238"/>
      <c r="D24" s="238"/>
      <c r="E24" s="238"/>
      <c r="F24" s="238"/>
      <c r="G24" s="672"/>
      <c r="H24" s="673"/>
      <c r="I24" s="673"/>
      <c r="J24" s="673"/>
      <c r="K24" s="674"/>
      <c r="L24" s="239"/>
      <c r="M24" s="240"/>
      <c r="N24" s="241"/>
      <c r="O24" s="294">
        <f>ROUND(SUM(O17:O23),2)</f>
        <v>842789.02</v>
      </c>
      <c r="P24" s="224">
        <f>SUM(P17:P23)</f>
        <v>0</v>
      </c>
      <c r="Q24" s="224">
        <f>SUM(Q17:Q23)</f>
        <v>0</v>
      </c>
      <c r="R24" s="295">
        <v>0.90909092000000002</v>
      </c>
      <c r="S24" s="294">
        <f>ROUND(SUM(S17:S23),2)</f>
        <v>84278.9</v>
      </c>
      <c r="T24" s="223">
        <f>SUM(T17:T23)</f>
        <v>0</v>
      </c>
      <c r="U24" s="228">
        <v>9.0909087969999997E-2</v>
      </c>
      <c r="V24" s="223">
        <f>SUM(V17:V23)</f>
        <v>0</v>
      </c>
      <c r="W24" s="242"/>
      <c r="X24" s="242"/>
      <c r="Y24" s="243">
        <f>ROUND(SUM(Y17:Y23),2)</f>
        <v>927067.92</v>
      </c>
      <c r="Z24" s="244"/>
      <c r="AA24" s="245"/>
      <c r="AB24" s="246">
        <f>O24+S24</f>
        <v>927067.92</v>
      </c>
    </row>
    <row r="25" spans="2:28">
      <c r="B25" s="247"/>
      <c r="C25" s="247"/>
      <c r="D25" s="247"/>
      <c r="E25" s="247"/>
      <c r="F25" s="247"/>
      <c r="G25" s="675"/>
      <c r="H25" s="675"/>
      <c r="I25" s="675"/>
      <c r="J25" s="675"/>
      <c r="K25" s="675"/>
      <c r="L25" s="248"/>
      <c r="M25" s="248"/>
      <c r="N25" s="248"/>
      <c r="O25" s="249"/>
      <c r="P25" s="247"/>
      <c r="Q25" s="247"/>
      <c r="R25" s="296"/>
      <c r="S25" s="250"/>
      <c r="T25" s="247"/>
      <c r="U25" s="247"/>
      <c r="V25" s="249"/>
      <c r="W25" s="249"/>
      <c r="X25" s="249"/>
      <c r="Y25" s="250" t="str">
        <f>IF(SUM(Y17:Y23)=0,"",IF(SUM(Y17:Y23)&lt;&gt;AB24,"ERRO",""))</f>
        <v/>
      </c>
      <c r="Z25" s="251"/>
      <c r="AA25" s="252"/>
      <c r="AB25" s="253"/>
    </row>
    <row r="26" spans="2:28">
      <c r="B26" s="254"/>
      <c r="C26" s="254"/>
      <c r="D26" s="254"/>
      <c r="E26" s="254"/>
      <c r="F26" s="254"/>
      <c r="G26" s="255"/>
      <c r="H26" s="255"/>
      <c r="I26" s="255"/>
      <c r="J26" s="255"/>
      <c r="K26" s="255"/>
      <c r="L26" s="255"/>
      <c r="M26" s="255"/>
      <c r="N26" s="255"/>
      <c r="O26" s="256"/>
      <c r="P26" s="254"/>
      <c r="Q26" s="254"/>
      <c r="R26" s="254"/>
      <c r="S26" s="257"/>
      <c r="T26" s="254"/>
      <c r="U26" s="254"/>
      <c r="V26" s="676" t="s">
        <v>344</v>
      </c>
      <c r="W26" s="677"/>
      <c r="X26" s="677"/>
      <c r="Y26" s="677"/>
      <c r="Z26" s="678"/>
      <c r="AA26" s="258"/>
      <c r="AB26" s="259"/>
    </row>
    <row r="27" spans="2:28">
      <c r="B27" s="254"/>
      <c r="C27" s="254"/>
      <c r="D27" s="254"/>
      <c r="E27" s="260"/>
      <c r="F27" s="254"/>
      <c r="G27" s="254"/>
      <c r="H27" s="260"/>
      <c r="I27" s="260"/>
      <c r="J27" s="260"/>
      <c r="K27" s="253"/>
      <c r="L27" s="253"/>
      <c r="M27" s="253"/>
      <c r="N27" s="253"/>
      <c r="O27" s="261" t="str">
        <f>IF(P24&lt;&gt;0,"ERRO - ITEM NÃO ACEITA UTILIZAÇÃO DE REPASSE - SOMENTE CONTRAPARTIDA","")</f>
        <v/>
      </c>
      <c r="P27" s="261"/>
      <c r="Q27" s="254"/>
      <c r="R27" s="254"/>
      <c r="S27" s="254"/>
      <c r="T27" s="254"/>
      <c r="U27" s="254"/>
      <c r="V27" s="679" t="s">
        <v>345</v>
      </c>
      <c r="W27" s="680"/>
      <c r="X27" s="680"/>
      <c r="Y27" s="680"/>
      <c r="Z27" s="681"/>
      <c r="AA27" s="258"/>
      <c r="AB27" s="254"/>
    </row>
    <row r="28" spans="2:28">
      <c r="B28" s="659" t="s">
        <v>349</v>
      </c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S28" s="254"/>
      <c r="T28" s="254"/>
      <c r="U28" s="254"/>
      <c r="V28" s="262"/>
      <c r="W28" s="263"/>
      <c r="X28" s="263"/>
      <c r="Y28" s="263"/>
      <c r="Z28" s="264" t="s">
        <v>346</v>
      </c>
      <c r="AA28" s="265"/>
      <c r="AB28" s="254"/>
    </row>
    <row r="29" spans="2:28">
      <c r="B29" s="266" t="s">
        <v>347</v>
      </c>
      <c r="C29" s="267"/>
      <c r="D29" s="268"/>
      <c r="E29" s="268"/>
      <c r="F29" s="268"/>
      <c r="G29" s="268"/>
      <c r="H29" s="268"/>
      <c r="I29" s="268"/>
      <c r="J29" s="268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9"/>
      <c r="AB29" s="267"/>
    </row>
  </sheetData>
  <mergeCells count="22">
    <mergeCell ref="C16:J16"/>
    <mergeCell ref="B28:R28"/>
    <mergeCell ref="B15:J15"/>
    <mergeCell ref="B1:AA1"/>
    <mergeCell ref="B4:C4"/>
    <mergeCell ref="O14:R14"/>
    <mergeCell ref="S14:W14"/>
    <mergeCell ref="O15:R15"/>
    <mergeCell ref="S15:X15"/>
    <mergeCell ref="G24:K24"/>
    <mergeCell ref="G25:K25"/>
    <mergeCell ref="V26:Z26"/>
    <mergeCell ref="V27:Z27"/>
    <mergeCell ref="O11:AA11"/>
    <mergeCell ref="D4:K4"/>
    <mergeCell ref="K5:X5"/>
    <mergeCell ref="Y5:Z5"/>
    <mergeCell ref="B8:G8"/>
    <mergeCell ref="H8:L8"/>
    <mergeCell ref="O8:S8"/>
    <mergeCell ref="U8:Y8"/>
    <mergeCell ref="Z8:AA8"/>
  </mergeCells>
  <conditionalFormatting sqref="O17:P23">
    <cfRule type="expression" dxfId="3" priority="1" stopIfTrue="1">
      <formula>$Q17=1</formula>
    </cfRule>
  </conditionalFormatting>
  <conditionalFormatting sqref="Y17:Y23">
    <cfRule type="expression" dxfId="2" priority="2" stopIfTrue="1">
      <formula>$M17=1</formula>
    </cfRule>
    <cfRule type="expression" dxfId="1" priority="3" stopIfTrue="1">
      <formula>$N17=1</formula>
    </cfRule>
  </conditionalFormatting>
  <conditionalFormatting sqref="AA17:AA23">
    <cfRule type="expression" dxfId="0" priority="4" stopIfTrue="1">
      <formula>OR($U17&lt;&gt;0,$W17&lt;&gt;0)</formula>
    </cfRule>
  </conditionalFormatting>
  <pageMargins left="0.51181102362204722" right="0.51181102362204722" top="0.78740157480314965" bottom="0.78740157480314965" header="0.31496062992125984" footer="0.31496062992125984"/>
  <pageSetup paperSize="9" scale="76" orientation="landscape" r:id="rId1"/>
  <colBreaks count="1" manualBreakCount="1">
    <brk id="27" max="1048575" man="1"/>
  </colBreaks>
  <drawing r:id="rId2"/>
  <legacyDrawing r:id="rId3"/>
  <oleObjects>
    <mc:AlternateContent xmlns:mc="http://schemas.openxmlformats.org/markup-compatibility/2006">
      <mc:Choice Requires="x14">
        <oleObject progId="StaticMetafile" shapeId="9218" r:id="rId4">
          <objectPr defaultSize="0" autoPict="0" r:id="rId5">
            <anchor moveWithCells="1" sizeWithCells="1">
              <from>
                <xdr:col>1</xdr:col>
                <xdr:colOff>123825</xdr:colOff>
                <xdr:row>0</xdr:row>
                <xdr:rowOff>180975</xdr:rowOff>
              </from>
              <to>
                <xdr:col>9</xdr:col>
                <xdr:colOff>142875</xdr:colOff>
                <xdr:row>0</xdr:row>
                <xdr:rowOff>552450</xdr:rowOff>
              </to>
            </anchor>
          </objectPr>
        </oleObject>
      </mc:Choice>
      <mc:Fallback>
        <oleObject progId="StaticMetafile" shapeId="921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PLANILHA ORÇAMENTÁRIA</vt:lpstr>
      <vt:lpstr>CADERNO DE COMPOSIÇÕES</vt:lpstr>
      <vt:lpstr>CRONOGRAMA</vt:lpstr>
      <vt:lpstr>BDI</vt:lpstr>
      <vt:lpstr>ENCARGOS SOCIAIS</vt:lpstr>
      <vt:lpstr>COMPOSIÇÃO 1</vt:lpstr>
      <vt:lpstr>COMPOSIÇÃO 2</vt:lpstr>
      <vt:lpstr>MEMÓRIA DE CÁLCULO</vt:lpstr>
      <vt:lpstr>MAPA DE COTAÇÃO</vt:lpstr>
      <vt:lpstr>QCI</vt:lpstr>
      <vt:lpstr>BDI!Area_de_impressao</vt:lpstr>
      <vt:lpstr>'CADERNO DE COMPOSIÇÕES'!Area_de_impressao</vt:lpstr>
      <vt:lpstr>'COMPOSIÇÃO 1'!Area_de_impressao</vt:lpstr>
      <vt:lpstr>CRONOGRAMA!Area_de_impressao</vt:lpstr>
      <vt:lpstr>'MEMÓRIA DE CÁLCULO'!Area_de_impressao</vt:lpstr>
      <vt:lpstr>'PLANILHA ORÇAMENTÁRIA'!Area_de_impressao</vt:lpstr>
      <vt:lpstr>QCI!Area_de_impressao</vt:lpstr>
      <vt:lpstr>'COMPOSIÇÃO 1'!Titulos_de_impressao</vt:lpstr>
      <vt:lpstr>'COMPOSIÇÃO 2'!Titulos_de_impressao</vt:lpstr>
      <vt:lpstr>'MEMÓRIA DE CÁLCULO'!Titulos_de_impressao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SALES-01</dc:creator>
  <cp:lastModifiedBy>Cliente01</cp:lastModifiedBy>
  <cp:lastPrinted>2019-10-22T12:28:43Z</cp:lastPrinted>
  <dcterms:created xsi:type="dcterms:W3CDTF">2017-06-19T18:05:26Z</dcterms:created>
  <dcterms:modified xsi:type="dcterms:W3CDTF">2019-10-24T12:53:01Z</dcterms:modified>
</cp:coreProperties>
</file>