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440" windowHeight="9735" activeTab="0"/>
  </bookViews>
  <sheets>
    <sheet name="Orçamento" sheetId="1" r:id="rId1"/>
    <sheet name="memória de cálculo" sheetId="7" r:id="rId2"/>
    <sheet name="cronograma" sheetId="6" r:id="rId3"/>
    <sheet name="BDI" sheetId="8" r:id="rId4"/>
  </sheets>
  <definedNames>
    <definedName name="_xlnm.Print_Area" localSheetId="2">'cronograma'!$A$12:$O$56</definedName>
    <definedName name="_xlnm.Print_Area" localSheetId="1">'memória de cálculo'!$A$1:$P$188</definedName>
    <definedName name="_xlnm.Print_Area" localSheetId="0">'Orçamento'!$A$1:$I$104</definedName>
    <definedName name="_xlnm.Print_Titles" localSheetId="0">'Orçamento'!$11:$11</definedName>
  </definedNames>
  <calcPr calcId="152511"/>
</workbook>
</file>

<file path=xl/sharedStrings.xml><?xml version="1.0" encoding="utf-8"?>
<sst xmlns="http://schemas.openxmlformats.org/spreadsheetml/2006/main" count="730" uniqueCount="332">
  <si>
    <t>ITEM</t>
  </si>
  <si>
    <t>DESCRIÇÃO DOS SERVIÇOS</t>
  </si>
  <si>
    <t>UNID.</t>
  </si>
  <si>
    <t>QUANT.</t>
  </si>
  <si>
    <t>1.1</t>
  </si>
  <si>
    <t>SERVIÇOS INICIAIS</t>
  </si>
  <si>
    <t>m²</t>
  </si>
  <si>
    <t>m³</t>
  </si>
  <si>
    <t>3.1</t>
  </si>
  <si>
    <t>3.2</t>
  </si>
  <si>
    <t>3.3</t>
  </si>
  <si>
    <t>INSTALAÇÕES ELÉTRICAS</t>
  </si>
  <si>
    <t>PRAÇA</t>
  </si>
  <si>
    <t>5.1.1</t>
  </si>
  <si>
    <t>Escavação Manual de Cavas(Fundações Rasas)</t>
  </si>
  <si>
    <t>COBERTURA</t>
  </si>
  <si>
    <t>REVESTIMENTO</t>
  </si>
  <si>
    <t>PISO</t>
  </si>
  <si>
    <t>PINTURA</t>
  </si>
  <si>
    <t>SERVIÇOS COMPLEMENTARES</t>
  </si>
  <si>
    <t>SERVIÇOS FINAIS</t>
  </si>
  <si>
    <t>Placa de Inauguração em Acrílico /letras Bx, Relevo(60 x 40 Cm),Inclusive Base de Concreto</t>
  </si>
  <si>
    <t>TOTAL GERAL</t>
  </si>
  <si>
    <t>TABELA</t>
  </si>
  <si>
    <t>CÓDIGO</t>
  </si>
  <si>
    <t xml:space="preserve">PR. UNIT.(R$) </t>
  </si>
  <si>
    <t xml:space="preserve">PR. UNIT. C/ BDI(R$) </t>
  </si>
  <si>
    <t xml:space="preserve">VALOR TOTAL (R$) </t>
  </si>
  <si>
    <t>PREFEITURA MUNICIPAL DE OUREM /PA</t>
  </si>
  <si>
    <t>PAVIMENTAÇÃO / URBANIZAÇÃO</t>
  </si>
  <si>
    <t>und</t>
  </si>
  <si>
    <t>SEOP/PA</t>
  </si>
  <si>
    <t>SINAPI</t>
  </si>
  <si>
    <t>Locação da obra</t>
  </si>
  <si>
    <t>2.1</t>
  </si>
  <si>
    <t>2.4</t>
  </si>
  <si>
    <t>2.5</t>
  </si>
  <si>
    <t>m</t>
  </si>
  <si>
    <t>3.1.1</t>
  </si>
  <si>
    <t>3.1.2</t>
  </si>
  <si>
    <t>3.1.3</t>
  </si>
  <si>
    <t>3.1.4</t>
  </si>
  <si>
    <t>3.2.1</t>
  </si>
  <si>
    <t>3.2.2</t>
  </si>
  <si>
    <t>3.4.1</t>
  </si>
  <si>
    <t>3.4.2</t>
  </si>
  <si>
    <t>3.4.3</t>
  </si>
  <si>
    <t>4.1</t>
  </si>
  <si>
    <t>5.1</t>
  </si>
  <si>
    <t>6.2</t>
  </si>
  <si>
    <t>Lixeira em madeira c/ estrutura tubular em aço</t>
  </si>
  <si>
    <t>ÍTEM</t>
  </si>
  <si>
    <t>DESCRIÇÃO</t>
  </si>
  <si>
    <t>M</t>
  </si>
  <si>
    <t>M²</t>
  </si>
  <si>
    <t>TOTAL</t>
  </si>
  <si>
    <t>1º MÊS</t>
  </si>
  <si>
    <t>2º MÊS</t>
  </si>
  <si>
    <t>3º MÊS</t>
  </si>
  <si>
    <t>4º MÊS</t>
  </si>
  <si>
    <t>QUIOSQUE</t>
  </si>
  <si>
    <t>UND</t>
  </si>
  <si>
    <t>INFRAESTRUTURA</t>
  </si>
  <si>
    <t>M³</t>
  </si>
  <si>
    <t>Desforma</t>
  </si>
  <si>
    <t>ESTRUTURA</t>
  </si>
  <si>
    <t>Concreto armado fck=20MPA c/ forma mad. branca</t>
  </si>
  <si>
    <t>Concreto armado p/ percinta</t>
  </si>
  <si>
    <t>ALVENARIA</t>
  </si>
  <si>
    <t>Estrutura em mad. lei p/ telha de barro - pç. serrada</t>
  </si>
  <si>
    <t>Cumeeira de barro</t>
  </si>
  <si>
    <t>Cobertura - telha plan</t>
  </si>
  <si>
    <t>Granito e=2cm</t>
  </si>
  <si>
    <t>ESQUADRIAS</t>
  </si>
  <si>
    <t>Porta de aço-esteira de enrolar c/ferr.(incl.pint.anticorrosiva)</t>
  </si>
  <si>
    <t>Ferrolho para porta e janela (média)</t>
  </si>
  <si>
    <t>Acrilica fosca externa c/massa e selador - 3 demaos</t>
  </si>
  <si>
    <t>INSTALAÇÕES ELETRICAS</t>
  </si>
  <si>
    <t>Pt</t>
  </si>
  <si>
    <t>Tomada 2P+T 20A (s/fiaçao)</t>
  </si>
  <si>
    <t>INTALAÇÕES HIDROSANITÁRIAS</t>
  </si>
  <si>
    <t>Ponto de água fria (tubos e conexões)</t>
  </si>
  <si>
    <t>3.1.5</t>
  </si>
  <si>
    <t>MEMÓRIA DE CÁLCULO</t>
  </si>
  <si>
    <t>Obs.: Está incluso calçada e meio fio das laterais</t>
  </si>
  <si>
    <t>x</t>
  </si>
  <si>
    <t>=</t>
  </si>
  <si>
    <t>E=</t>
  </si>
  <si>
    <t>Lastro de Concreto magro com seixo</t>
  </si>
  <si>
    <t>CA=</t>
  </si>
  <si>
    <t>Baldrame</t>
  </si>
  <si>
    <t>Impermeabilização para baldrame</t>
  </si>
  <si>
    <t>Concreto armado para pilar</t>
  </si>
  <si>
    <t>Concreto para percinta</t>
  </si>
  <si>
    <t>B=</t>
  </si>
  <si>
    <t>Alvenaria em Tijolo de barro a cutelo</t>
  </si>
  <si>
    <t>A=</t>
  </si>
  <si>
    <t>+</t>
  </si>
  <si>
    <t>Cobertura</t>
  </si>
  <si>
    <t>b</t>
  </si>
  <si>
    <t>h</t>
  </si>
  <si>
    <t>/</t>
  </si>
  <si>
    <t>C=</t>
  </si>
  <si>
    <t>CB=</t>
  </si>
  <si>
    <t>Forro</t>
  </si>
  <si>
    <t>F=</t>
  </si>
  <si>
    <t>Chapisco / Emboço / Reboco</t>
  </si>
  <si>
    <t>Á.alvenaria</t>
  </si>
  <si>
    <t>2lados</t>
  </si>
  <si>
    <t>Ch=</t>
  </si>
  <si>
    <t>Cerâmica / Paredes</t>
  </si>
  <si>
    <t>Fundos e lados das potas de enrolar - interno</t>
  </si>
  <si>
    <t>Abaixo das potas de enrolar - interno</t>
  </si>
  <si>
    <t>Fundos e lados das potas de enrolar - externo (parte superior)</t>
  </si>
  <si>
    <t>CP=</t>
  </si>
  <si>
    <t>3 bancadas de lag.0,40m</t>
  </si>
  <si>
    <t>Piso interno</t>
  </si>
  <si>
    <t>Porta de aço de enrolar</t>
  </si>
  <si>
    <t>PR=</t>
  </si>
  <si>
    <t>Porta de Madeira</t>
  </si>
  <si>
    <t>(Grade para porta com 10cm a mais cada lado)</t>
  </si>
  <si>
    <t>Pintura externa</t>
  </si>
  <si>
    <t>Descontos: 2 janelas de atendimento de 1,2x1,9 + uma de 1,2x2,0  e 1 porta de 1,15x0,80 e uma parte cerâmica 1,2x2,0.</t>
  </si>
  <si>
    <t>-</t>
  </si>
  <si>
    <t>altura</t>
  </si>
  <si>
    <t>PM=</t>
  </si>
  <si>
    <t>3.4</t>
  </si>
  <si>
    <t>3.5</t>
  </si>
  <si>
    <t>3.6</t>
  </si>
  <si>
    <t>3.7</t>
  </si>
  <si>
    <t>3.8</t>
  </si>
  <si>
    <t>3.9</t>
  </si>
  <si>
    <t>3.10</t>
  </si>
  <si>
    <t>6.1</t>
  </si>
  <si>
    <t>6.3</t>
  </si>
  <si>
    <t>3.3.1</t>
  </si>
  <si>
    <t>3.5.4</t>
  </si>
  <si>
    <t>3.4.4</t>
  </si>
  <si>
    <t>3.4.5</t>
  </si>
  <si>
    <t>3.5.1</t>
  </si>
  <si>
    <t>3.5.2</t>
  </si>
  <si>
    <t>3.5.3</t>
  </si>
  <si>
    <t>3.6.1</t>
  </si>
  <si>
    <t>3.6.2</t>
  </si>
  <si>
    <t>3.6.3</t>
  </si>
  <si>
    <t>3.7.1</t>
  </si>
  <si>
    <t>3.7.2</t>
  </si>
  <si>
    <t>3.7.3</t>
  </si>
  <si>
    <t>3.7.4</t>
  </si>
  <si>
    <t>3.8.1</t>
  </si>
  <si>
    <t>3.9.1</t>
  </si>
  <si>
    <t>3.9.2</t>
  </si>
  <si>
    <t>3.9.3</t>
  </si>
  <si>
    <t>3.9.4</t>
  </si>
  <si>
    <t>3.9.6</t>
  </si>
  <si>
    <t>3.10.1</t>
  </si>
  <si>
    <t>3.10.2</t>
  </si>
  <si>
    <t>3.10.3</t>
  </si>
  <si>
    <t>3.10.4</t>
  </si>
  <si>
    <t>3.10.5</t>
  </si>
  <si>
    <t>2.2</t>
  </si>
  <si>
    <t>BANCO EM CONCRETO 8 UNIDADES</t>
  </si>
  <si>
    <t>3.4.6</t>
  </si>
  <si>
    <t>PERCENTUAL</t>
  </si>
  <si>
    <t>Piso intertravado</t>
  </si>
  <si>
    <t xml:space="preserve">A= </t>
  </si>
  <si>
    <t>Bloco de concreto intertravado e=9cm (incl. colchao de areia e rejuntamento)</t>
  </si>
  <si>
    <t>Impermeabilização para baldrame(Igol 2 + Sika 1)</t>
  </si>
  <si>
    <t>Alvenaria tijolo de barro a singelo</t>
  </si>
  <si>
    <t>Chapisco de cimento e areia no traço 1:3</t>
  </si>
  <si>
    <t>Emboço com argamassa 1:6:Adit. Plast.</t>
  </si>
  <si>
    <t>Cabo de cobre 10mm2 - 750 V</t>
  </si>
  <si>
    <t>Haste de cobre p/ aterram. 3/4"x3m s/ conector</t>
  </si>
  <si>
    <t>Meio fio em concreto sem linha d'água</t>
  </si>
  <si>
    <t>2.6</t>
  </si>
  <si>
    <t>PIS</t>
  </si>
  <si>
    <t>COFINS</t>
  </si>
  <si>
    <t>2.3</t>
  </si>
  <si>
    <t>ISS</t>
  </si>
  <si>
    <t>Caiação</t>
  </si>
  <si>
    <t>Placa de Obra</t>
  </si>
  <si>
    <t>PO=</t>
  </si>
  <si>
    <t>1.2</t>
  </si>
  <si>
    <t>MF=</t>
  </si>
  <si>
    <r>
      <t>PL</t>
    </r>
    <r>
      <rPr>
        <sz val="8"/>
        <rFont val="Arial"/>
        <family val="2"/>
      </rPr>
      <t>total</t>
    </r>
    <r>
      <rPr>
        <sz val="10"/>
        <rFont val="Arial"/>
        <family val="2"/>
      </rPr>
      <t>=</t>
    </r>
  </si>
  <si>
    <t>LC=</t>
  </si>
  <si>
    <t>Concreto Baldrame</t>
  </si>
  <si>
    <t>D=</t>
  </si>
  <si>
    <t>altura da alvenaria</t>
  </si>
  <si>
    <t>Alvenaria</t>
  </si>
  <si>
    <t>Descontos      
de Vãos</t>
  </si>
  <si>
    <t>Descontos: 2 janelas de atendimento de 1,2x1,9 + uma de 1,2x2,0  e 1 porta de 1,15x0,80</t>
  </si>
  <si>
    <t>quant.águas</t>
  </si>
  <si>
    <t>Área Triângulo =</t>
  </si>
  <si>
    <t>Quant.</t>
  </si>
  <si>
    <t>BA=</t>
  </si>
  <si>
    <t>Piso interno - Lajota</t>
  </si>
  <si>
    <t>PI=</t>
  </si>
  <si>
    <t>Piso externo - ladrilho hidráulico</t>
  </si>
  <si>
    <t>PE=</t>
  </si>
  <si>
    <t>Contapiso</t>
  </si>
  <si>
    <t>Contrapiso em argamassa traço 1:4. (cimento e areia), espessura de 6cm, preparo manual</t>
  </si>
  <si>
    <t>PA=</t>
  </si>
  <si>
    <t>Portão de ferro</t>
  </si>
  <si>
    <t>GF=</t>
  </si>
  <si>
    <t>P=</t>
  </si>
  <si>
    <t>Descontos de vãos</t>
  </si>
  <si>
    <t>Escavação manual ate 1.50m de profundidade</t>
  </si>
  <si>
    <t>Lastro de concreto magro c/ seixo (espessura=3cm)</t>
  </si>
  <si>
    <t>Placa da obra em aço galvanizado (3,00x2,00)</t>
  </si>
  <si>
    <t>Ponto de esgoto (incl. tubos, conexoes,cx. e ralos)</t>
  </si>
  <si>
    <r>
      <t>VALOR:</t>
    </r>
    <r>
      <rPr>
        <sz val="12"/>
        <rFont val="Calibri"/>
        <family val="2"/>
        <scheme val="minor"/>
      </rPr>
      <t xml:space="preserve"> </t>
    </r>
  </si>
  <si>
    <r>
      <t>PRAZO:</t>
    </r>
    <r>
      <rPr>
        <sz val="12"/>
        <rFont val="Calibri"/>
        <family val="2"/>
        <scheme val="minor"/>
      </rPr>
      <t xml:space="preserve"> </t>
    </r>
  </si>
  <si>
    <t>Balcão  em granito - e=2cm</t>
  </si>
  <si>
    <t>Locação da Obra / Limpeza</t>
  </si>
  <si>
    <t>CRONOGRAMA FÍSICO / FINANCEIRO</t>
  </si>
  <si>
    <t>Baldrame em concret Ciclópico</t>
  </si>
  <si>
    <t>Cabo de cobre 16mm2 - 750 V</t>
  </si>
  <si>
    <t>Disjuntor 1P-16A</t>
  </si>
  <si>
    <t>Disjuntor 2P-20A</t>
  </si>
  <si>
    <t>4.1.1</t>
  </si>
  <si>
    <t>4.1.2</t>
  </si>
  <si>
    <t>4.1.3</t>
  </si>
  <si>
    <t>4.1.5</t>
  </si>
  <si>
    <t>4.1.6</t>
  </si>
  <si>
    <t>4.1.7</t>
  </si>
  <si>
    <t>4.1.8</t>
  </si>
  <si>
    <t>4.1.11</t>
  </si>
  <si>
    <t>4.1.12</t>
  </si>
  <si>
    <t>4.1.13</t>
  </si>
  <si>
    <t>Ponto de luz/força (c/tubul., cx. e fiaçao) ate 200W</t>
  </si>
  <si>
    <t>Valor da Revisão Anterior</t>
  </si>
  <si>
    <t>Contrapartida</t>
  </si>
  <si>
    <r>
      <t xml:space="preserve">QUIOSQUE - </t>
    </r>
    <r>
      <rPr>
        <sz val="8"/>
        <rFont val="Arial"/>
        <family val="2"/>
      </rPr>
      <t>MEMÓRIA PARA UM QUIOSQUE (MULTIPLICADO POR 2 APENAS NA PLANILHA ORÇAMENTÁRIA)</t>
    </r>
  </si>
  <si>
    <t>RESP. TEC.:PATRICK DA SILVA SIDRIM CREA/PA 1517032679</t>
  </si>
  <si>
    <t>A1=</t>
  </si>
  <si>
    <t>A2=</t>
  </si>
  <si>
    <t>2.7</t>
  </si>
  <si>
    <t>Calçada (incl.alicerce, baldrame e concreto c/ junta seca)</t>
  </si>
  <si>
    <t>Calçada</t>
  </si>
  <si>
    <t>A5=</t>
  </si>
  <si>
    <t>A6=</t>
  </si>
  <si>
    <t>A7=</t>
  </si>
  <si>
    <t>A8=</t>
  </si>
  <si>
    <t>Meio fio sem linha d'água</t>
  </si>
  <si>
    <t>PVA sobre meio fio</t>
  </si>
  <si>
    <t>12 MESES</t>
  </si>
  <si>
    <t>Total=</t>
  </si>
  <si>
    <t>Barroteamento em madeira de lei p/ forro PVC</t>
  </si>
  <si>
    <t>Forro em lambri de PVC</t>
  </si>
  <si>
    <t>Portão em grade c/ chapa de ferro 3/16" - incl. ferragens e pintura antiferruginosa</t>
  </si>
  <si>
    <t>Revestimento Cerâmico Padrão Médio</t>
  </si>
  <si>
    <t>Pia 01 cuba em aço inox c/torn.,sifao e valv.(1,00m)</t>
  </si>
  <si>
    <t>Caixa em alvenaria de  30x30x30cm c/ tpo. concret</t>
  </si>
  <si>
    <t>Barroteamento</t>
  </si>
  <si>
    <t>Luminária  p/ lâmp PLL de sobrepor + Lâmpada</t>
  </si>
  <si>
    <t>170980 / 171000</t>
  </si>
  <si>
    <t>Luminária  p/ lâmp PLL de sobrepor dupla + Lâmpada</t>
  </si>
  <si>
    <t xml:space="preserve">Limpeza final da Obra </t>
  </si>
  <si>
    <t>PLANTIO DE PALMEIRA COM ALTURA DE MUDA MENOR OU IGUAL A 2,00 M.</t>
  </si>
  <si>
    <t>Poste concr.300-DN, h=11m(incl.base concr.ciclópico)</t>
  </si>
  <si>
    <t>Baldrame em conc.simples c/seixo incl.forma mad.br.</t>
  </si>
  <si>
    <t>Ponto de força (tubul., fiaçao e disjuntor) até de 200W</t>
  </si>
  <si>
    <t>4.1.14</t>
  </si>
  <si>
    <t>74231/001</t>
  </si>
  <si>
    <t>4.1.15</t>
  </si>
  <si>
    <t>LUMINARIA ABERTA PARA ILUMINACAO PUBLICA, PARA LAMPADA A VAPOR DE METALICA ATE 400W COM BRACO EM TUBO DE ACO GALV D=50MM PROJ HOR=2.500MM</t>
  </si>
  <si>
    <t>Lâmpada mista 250W -E27</t>
  </si>
  <si>
    <t>REATOR PARA LAMPADA VAPOR - 220V/250W - USO EXTERNO 138,76</t>
  </si>
  <si>
    <t xml:space="preserve"> RELE FOTOELETRICO P/ COMANDO DE ILUMINACAO EXTERNA 220V/1000W </t>
  </si>
  <si>
    <t>5º MÊS</t>
  </si>
  <si>
    <t>6º MÊS</t>
  </si>
  <si>
    <t>7º MÊS</t>
  </si>
  <si>
    <t>8º MÊS</t>
  </si>
  <si>
    <t>9º MÊS</t>
  </si>
  <si>
    <t>10º MÊS</t>
  </si>
  <si>
    <t>11º MÊS</t>
  </si>
  <si>
    <t>12º MÊS</t>
  </si>
  <si>
    <t>Data Base:</t>
  </si>
  <si>
    <t xml:space="preserve">Registro Profissional:  </t>
  </si>
  <si>
    <t>Item</t>
  </si>
  <si>
    <t>Parcela do BDI</t>
  </si>
  <si>
    <t xml:space="preserve">AC = Taxa de Administração Central </t>
  </si>
  <si>
    <t>S e G = Taxas de Seguro e Garantia</t>
  </si>
  <si>
    <t>R = Taxa de Risco</t>
  </si>
  <si>
    <t>DF = Taxa de Despesas Financeiras</t>
  </si>
  <si>
    <t>L = Taxa de Lucro / Remuneração</t>
  </si>
  <si>
    <t>I = Taxa de incidência de Impostos (PIS, COFINS e ISS)</t>
  </si>
  <si>
    <t xml:space="preserve">Impostos </t>
  </si>
  <si>
    <t>6.4</t>
  </si>
  <si>
    <t>CPRB</t>
  </si>
  <si>
    <t>Total Impostos =</t>
  </si>
  <si>
    <t>Fórmula para o cálculo de BDI</t>
  </si>
  <si>
    <t>Notas:</t>
  </si>
  <si>
    <t>1) Alíquota de ISS é determinada pela “Relação de Serviços”  do município onde se prestará o serviço conforme art. 1º e art.8º da Lei Complementar nº116/2001.</t>
  </si>
  <si>
    <t>2) Alíquota máxima de PIS é de até 1,65% conforme Lei nº10.637/02 em consonância com o Regime de Tributação da Empresa</t>
  </si>
  <si>
    <t>3) Alíquota máxima de COFINS é de 3% conforme inciso XX do art. 10 da Lei nº10.833/03.</t>
  </si>
  <si>
    <t>4) Os percentuais dos itens que compõem analiticamente o BDI são so limites referenciais máximos adotados pela Administração consoante com o art.40 inciso X da Lei 8.666/93.</t>
  </si>
  <si>
    <t>PATRICK DA SILVA SIDRIM</t>
  </si>
  <si>
    <t>CREA/PA 1517032679</t>
  </si>
  <si>
    <t>SEOP/PA e SINAPI OUTUBRO 2018</t>
  </si>
  <si>
    <t>Disjuntor C 32A</t>
  </si>
  <si>
    <t>Interruptor 2 teclas simples (s/fiaçao)</t>
  </si>
  <si>
    <t>Cabo de cobre 2,5mm2 - 750 V</t>
  </si>
  <si>
    <r>
      <t>DATA:</t>
    </r>
    <r>
      <rPr>
        <sz val="12"/>
        <rFont val="Calibri"/>
        <family val="2"/>
        <scheme val="minor"/>
      </rPr>
      <t xml:space="preserve"> ABRIL DE 2019</t>
    </r>
  </si>
  <si>
    <t>SEDOP/PA DATA BASE: ABRIL 2019</t>
  </si>
  <si>
    <t>SEDOP/PA</t>
  </si>
  <si>
    <t>Encaliçamento de telha ceramica (beiral e cumieira)</t>
  </si>
  <si>
    <t>Encaliçamento</t>
  </si>
  <si>
    <t>Lajota ceramica - PEI V -  (Padrão Alto)</t>
  </si>
  <si>
    <t>2.9.5</t>
  </si>
  <si>
    <t>74050/001</t>
  </si>
  <si>
    <t>Caixa sifonada de PVC c/ grelha - 100x100x50mm</t>
  </si>
  <si>
    <t>Quadro de mediçao monofasico (c/ disjuntor)</t>
  </si>
  <si>
    <t>Responsável Técnico Municipal</t>
  </si>
  <si>
    <t>_____________________________________________</t>
  </si>
  <si>
    <t>SINAPI/PA DATA BASE: JULHO 2019</t>
  </si>
  <si>
    <t>A cad.=</t>
  </si>
  <si>
    <t>A cad=</t>
  </si>
  <si>
    <t>Meio fio com linha d'água</t>
  </si>
  <si>
    <t>Meio fio em concreto com linha d'água</t>
  </si>
  <si>
    <t>Centro de distribuição p/ 03 disjuntores (s/ barramento)</t>
  </si>
  <si>
    <t>4.1.9</t>
  </si>
  <si>
    <t>4.1.10</t>
  </si>
  <si>
    <t>EXECUÇÃO DE IMPRIMAÇÃO COM ASFALTO DILUÍDO CM-30.</t>
  </si>
  <si>
    <t>IP=</t>
  </si>
  <si>
    <t>Construção de pavimentação com aplicação de concreto betuminoso usinado a quente (CBUQ), camada de rolamento, com espessurade 3,00cm - exclusive transporte.</t>
  </si>
  <si>
    <t>Banco em concreto c/2 mod.2,75x0,4m</t>
  </si>
  <si>
    <r>
      <t xml:space="preserve">LOCAL: </t>
    </r>
    <r>
      <rPr>
        <sz val="12"/>
        <rFont val="Calibri"/>
        <family val="2"/>
        <scheme val="minor"/>
      </rPr>
      <t>TRAVESSA MAJOR FERNANDES</t>
    </r>
    <r>
      <rPr>
        <b/>
        <sz val="12"/>
        <rFont val="Calibri"/>
        <family val="2"/>
        <scheme val="minor"/>
      </rPr>
      <t xml:space="preserve">,  </t>
    </r>
    <r>
      <rPr>
        <sz val="12"/>
        <rFont val="Calibri"/>
        <family val="2"/>
        <scheme val="minor"/>
      </rPr>
      <t>MUNICIPIO DE OURÉM - PA</t>
    </r>
  </si>
  <si>
    <t>Licenças e taxas da obra (acima de 500m2)</t>
  </si>
  <si>
    <t>1.3</t>
  </si>
  <si>
    <r>
      <t>OBRA:</t>
    </r>
    <r>
      <rPr>
        <sz val="12"/>
        <rFont val="Calibri"/>
        <family val="2"/>
        <scheme val="minor"/>
      </rPr>
      <t xml:space="preserve"> CONSTRUÇÃO DE UMA PRAÇA COM DOIS QUIOSQUES E ESTACIONAMENTO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</si>
</sst>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8" formatCode="&quot;R$&quot;\ #,##0.00;[Red]\-&quot;R$&quot;\ #,##0.00"/>
    <numFmt numFmtId="44" formatCode="_-&quot;R$&quot;\ * #,##0.00_-;\-&quot;R$&quot;\ * #,##0.00_-;_-&quot;R$&quot;\ * &quot;-&quot;??_-;_-@_-"/>
    <numFmt numFmtId="164" formatCode="&quot;R$ &quot;#,##0.00_);\(&quot;R$ &quot;#,##0.00\)"/>
    <numFmt numFmtId="165" formatCode="_(* #,##0.00_);_(* \(#,##0.00\);_(* &quot;-&quot;??_);_(@_)"/>
    <numFmt numFmtId="166" formatCode="&quot;R$&quot;\ #,##0.00"/>
    <numFmt numFmtId="167" formatCode="[$-416]mmmm\-yy;@"/>
    <numFmt numFmtId="168" formatCode="_-[$R$-416]\ * #,##0.00_-;\-[$R$-416]\ * #,##0.00_-;_-[$R$-416]\ * &quot;-&quot;??_-;_-@_-"/>
  </numFmts>
  <fonts count="3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name val="Calibri"/>
      <family val="2"/>
      <scheme val="minor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1"/>
      <color theme="1" tint="0.15000000596046448"/>
      <name val="Calibri"/>
      <family val="2"/>
      <scheme val="minor"/>
    </font>
    <font>
      <sz val="9"/>
      <color theme="1"/>
      <name val="Calibri"/>
      <family val="2"/>
      <scheme val="minor"/>
    </font>
    <font>
      <sz val="7.5"/>
      <color theme="1"/>
      <name val="Calibri"/>
      <family val="2"/>
      <scheme val="minor"/>
    </font>
    <font>
      <b/>
      <sz val="7.5"/>
      <name val="Calibri"/>
      <family val="2"/>
      <scheme val="minor"/>
    </font>
    <font>
      <sz val="7.5"/>
      <color theme="1" tint="0.15000000596046448"/>
      <name val="Calibri"/>
      <family val="2"/>
      <scheme val="minor"/>
    </font>
    <font>
      <b/>
      <sz val="7.5"/>
      <name val="Arial"/>
      <family val="2"/>
    </font>
    <font>
      <sz val="7.5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sz val="20"/>
      <name val="Arial"/>
      <family val="2"/>
    </font>
    <font>
      <b/>
      <i/>
      <sz val="12"/>
      <color theme="1"/>
      <name val="Arial"/>
      <family val="2"/>
    </font>
    <font>
      <b/>
      <i/>
      <sz val="14"/>
      <color theme="1"/>
      <name val="Arial"/>
      <family val="2"/>
    </font>
    <font>
      <i/>
      <sz val="9"/>
      <color theme="1"/>
      <name val="Arial"/>
      <family val="2"/>
    </font>
    <font>
      <sz val="10"/>
      <color theme="0"/>
      <name val="Arial"/>
      <family val="2"/>
    </font>
  </fonts>
  <fills count="9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3"/>
        <bgColor indexed="64"/>
      </patternFill>
    </fill>
  </fills>
  <borders count="81">
    <border>
      <left/>
      <right/>
      <top/>
      <bottom/>
      <diagonal/>
    </border>
    <border>
      <left style="medium"/>
      <right/>
      <top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hair"/>
      <bottom style="thin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/>
      <right/>
      <top style="thin"/>
      <bottom style="hair"/>
    </border>
    <border>
      <left/>
      <right/>
      <top style="hair"/>
      <bottom style="hair"/>
    </border>
    <border>
      <left/>
      <right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thin"/>
      <bottom/>
    </border>
    <border>
      <left style="thin"/>
      <right style="thin"/>
      <top style="medium"/>
      <bottom/>
    </border>
    <border>
      <left style="thin"/>
      <right style="thin"/>
      <top style="medium"/>
      <bottom style="hair"/>
    </border>
    <border>
      <left style="thin"/>
      <right style="thin"/>
      <top style="hair"/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/>
      <top/>
      <bottom style="medium"/>
    </border>
    <border>
      <left/>
      <right style="thin"/>
      <top style="hair"/>
      <bottom/>
    </border>
    <border>
      <left/>
      <right/>
      <top/>
      <bottom style="thin"/>
    </border>
    <border>
      <left/>
      <right style="thin"/>
      <top/>
      <bottom style="hair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 style="thin"/>
    </border>
    <border>
      <left/>
      <right/>
      <top style="hair"/>
      <bottom style="medium"/>
    </border>
    <border>
      <left style="thin"/>
      <right/>
      <top/>
      <bottom style="hair"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 style="thin"/>
      <right/>
      <top/>
      <bottom/>
    </border>
    <border>
      <left/>
      <right style="thin"/>
      <top/>
      <bottom/>
    </border>
    <border>
      <left style="medium"/>
      <right style="medium"/>
      <top style="medium"/>
      <bottom style="medium"/>
    </border>
    <border>
      <left/>
      <right style="thin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/>
      <top/>
      <bottom/>
    </border>
    <border>
      <left style="medium"/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/>
      <top/>
      <bottom style="medium">
        <color indexed="8"/>
      </bottom>
    </border>
    <border>
      <left/>
      <right/>
      <top style="medium">
        <color indexed="8"/>
      </top>
      <bottom/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 style="medium"/>
    </border>
    <border>
      <left style="thin"/>
      <right style="medium"/>
      <top/>
      <bottom style="thin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medium">
        <color indexed="8"/>
      </bottom>
    </border>
    <border>
      <left/>
      <right style="medium"/>
      <top/>
      <bottom style="medium">
        <color indexed="8"/>
      </bottom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23">
    <xf numFmtId="0" fontId="0" fillId="0" borderId="0" xfId="0"/>
    <xf numFmtId="0" fontId="1" fillId="0" borderId="0" xfId="0" applyNumberFormat="1" applyFont="1" applyFill="1" applyBorder="1" applyAlignment="1">
      <alignment vertical="center" wrapText="1"/>
    </xf>
    <xf numFmtId="40" fontId="1" fillId="0" borderId="0" xfId="0" applyNumberFormat="1" applyFont="1" applyFill="1" applyBorder="1" applyAlignment="1">
      <alignment horizontal="center" vertical="center" wrapText="1"/>
    </xf>
    <xf numFmtId="0" fontId="2" fillId="0" borderId="0" xfId="2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39" fontId="5" fillId="0" borderId="0" xfId="0" applyNumberFormat="1" applyFont="1" applyAlignment="1">
      <alignment horizontal="center" wrapText="1"/>
    </xf>
    <xf numFmtId="164" fontId="5" fillId="0" borderId="0" xfId="0" applyNumberFormat="1" applyFont="1" applyAlignment="1">
      <alignment wrapText="1"/>
    </xf>
    <xf numFmtId="0" fontId="0" fillId="0" borderId="1" xfId="0" applyBorder="1" applyAlignment="1">
      <alignment vertical="center"/>
    </xf>
    <xf numFmtId="40" fontId="1" fillId="2" borderId="0" xfId="25" applyNumberFormat="1" applyFill="1" applyAlignment="1">
      <alignment horizontal="center"/>
      <protection/>
    </xf>
    <xf numFmtId="40" fontId="2" fillId="2" borderId="0" xfId="25" applyNumberFormat="1" applyFont="1" applyFill="1" applyAlignment="1">
      <alignment horizontal="center"/>
      <protection/>
    </xf>
    <xf numFmtId="40" fontId="2" fillId="2" borderId="0" xfId="25" applyNumberFormat="1" applyFont="1" applyFill="1" applyAlignment="1">
      <alignment horizontal="left"/>
      <protection/>
    </xf>
    <xf numFmtId="40" fontId="7" fillId="2" borderId="0" xfId="25" applyNumberFormat="1" applyFont="1" applyFill="1" applyAlignment="1">
      <alignment horizontal="left"/>
      <protection/>
    </xf>
    <xf numFmtId="40" fontId="1" fillId="2" borderId="0" xfId="25" applyNumberFormat="1" applyFont="1" applyFill="1" applyAlignment="1">
      <alignment horizontal="center"/>
      <protection/>
    </xf>
    <xf numFmtId="38" fontId="2" fillId="2" borderId="0" xfId="25" applyNumberFormat="1" applyFont="1" applyFill="1" applyAlignment="1">
      <alignment horizontal="center"/>
      <protection/>
    </xf>
    <xf numFmtId="38" fontId="1" fillId="2" borderId="0" xfId="25" applyNumberFormat="1" applyFill="1" applyAlignment="1">
      <alignment horizontal="center"/>
      <protection/>
    </xf>
    <xf numFmtId="40" fontId="8" fillId="2" borderId="0" xfId="25" applyNumberFormat="1" applyFont="1" applyFill="1" applyAlignment="1">
      <alignment horizontal="left"/>
      <protection/>
    </xf>
    <xf numFmtId="40" fontId="1" fillId="2" borderId="0" xfId="25" applyNumberFormat="1" applyFont="1" applyFill="1" applyBorder="1" applyAlignment="1">
      <alignment horizontal="center"/>
      <protection/>
    </xf>
    <xf numFmtId="40" fontId="1" fillId="2" borderId="0" xfId="25" applyNumberFormat="1" applyFill="1" applyBorder="1" applyAlignment="1">
      <alignment horizontal="center"/>
      <protection/>
    </xf>
    <xf numFmtId="40" fontId="2" fillId="2" borderId="0" xfId="25" applyNumberFormat="1" applyFont="1" applyFill="1" applyBorder="1" applyAlignment="1">
      <alignment horizontal="left"/>
      <protection/>
    </xf>
    <xf numFmtId="40" fontId="9" fillId="2" borderId="0" xfId="25" applyNumberFormat="1" applyFont="1" applyFill="1" applyAlignment="1">
      <alignment horizontal="left"/>
      <protection/>
    </xf>
    <xf numFmtId="40" fontId="8" fillId="2" borderId="0" xfId="25" applyNumberFormat="1" applyFont="1" applyFill="1" applyAlignment="1">
      <alignment vertical="top" wrapText="1"/>
      <protection/>
    </xf>
    <xf numFmtId="40" fontId="1" fillId="2" borderId="0" xfId="25" applyNumberFormat="1" applyFont="1" applyFill="1" applyAlignment="1">
      <alignment horizontal="left"/>
      <protection/>
    </xf>
    <xf numFmtId="166" fontId="0" fillId="0" borderId="2" xfId="0" applyNumberFormat="1" applyFont="1" applyBorder="1" applyAlignment="1">
      <alignment horizontal="right" vertical="center"/>
    </xf>
    <xf numFmtId="40" fontId="1" fillId="3" borderId="3" xfId="25" applyNumberFormat="1" applyFill="1" applyBorder="1" applyAlignment="1">
      <alignment horizontal="center"/>
      <protection/>
    </xf>
    <xf numFmtId="40" fontId="1" fillId="3" borderId="4" xfId="25" applyNumberFormat="1" applyFont="1" applyFill="1" applyBorder="1" applyAlignment="1">
      <alignment horizontal="center"/>
      <protection/>
    </xf>
    <xf numFmtId="40" fontId="1" fillId="4" borderId="5" xfId="25" applyNumberFormat="1" applyFill="1" applyBorder="1" applyAlignment="1">
      <alignment horizontal="center"/>
      <protection/>
    </xf>
    <xf numFmtId="40" fontId="1" fillId="4" borderId="3" xfId="25" applyNumberFormat="1" applyFill="1" applyBorder="1" applyAlignment="1">
      <alignment horizontal="center"/>
      <protection/>
    </xf>
    <xf numFmtId="40" fontId="1" fillId="4" borderId="4" xfId="25" applyNumberFormat="1" applyFont="1" applyFill="1" applyBorder="1" applyAlignment="1">
      <alignment horizontal="center"/>
      <protection/>
    </xf>
    <xf numFmtId="0" fontId="12" fillId="4" borderId="6" xfId="0" applyNumberFormat="1" applyFont="1" applyFill="1" applyBorder="1" applyAlignment="1">
      <alignment horizontal="center" vertical="center" wrapText="1"/>
    </xf>
    <xf numFmtId="0" fontId="12" fillId="4" borderId="6" xfId="0" applyNumberFormat="1" applyFont="1" applyFill="1" applyBorder="1" applyAlignment="1">
      <alignment vertical="center" wrapText="1"/>
    </xf>
    <xf numFmtId="39" fontId="12" fillId="4" borderId="6" xfId="20" applyNumberFormat="1" applyFont="1" applyFill="1" applyBorder="1" applyAlignment="1">
      <alignment vertical="center" wrapText="1"/>
    </xf>
    <xf numFmtId="164" fontId="13" fillId="4" borderId="6" xfId="20" applyNumberFormat="1" applyFont="1" applyFill="1" applyBorder="1" applyAlignment="1">
      <alignment vertical="center" wrapText="1"/>
    </xf>
    <xf numFmtId="164" fontId="14" fillId="4" borderId="7" xfId="20" applyNumberFormat="1" applyFont="1" applyFill="1" applyBorder="1" applyAlignment="1">
      <alignment vertical="center" wrapText="1"/>
    </xf>
    <xf numFmtId="164" fontId="3" fillId="4" borderId="8" xfId="20" applyNumberFormat="1" applyFont="1" applyFill="1" applyBorder="1" applyAlignment="1">
      <alignment vertical="center" wrapText="1"/>
    </xf>
    <xf numFmtId="0" fontId="11" fillId="2" borderId="0" xfId="0" applyFont="1" applyFill="1" applyBorder="1" applyAlignment="1">
      <alignment horizontal="center" vertical="center" wrapText="1"/>
    </xf>
    <xf numFmtId="40" fontId="11" fillId="2" borderId="0" xfId="0" applyNumberFormat="1" applyFont="1" applyFill="1" applyBorder="1" applyAlignment="1">
      <alignment horizontal="center" vertical="center" wrapText="1"/>
    </xf>
    <xf numFmtId="8" fontId="11" fillId="2" borderId="0" xfId="0" applyNumberFormat="1" applyFont="1" applyFill="1" applyBorder="1" applyAlignment="1">
      <alignment horizontal="center" vertical="center" wrapText="1"/>
    </xf>
    <xf numFmtId="8" fontId="12" fillId="2" borderId="9" xfId="0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40" fontId="11" fillId="2" borderId="0" xfId="0" applyNumberFormat="1" applyFont="1" applyFill="1" applyBorder="1" applyAlignment="1">
      <alignment horizontal="center" vertical="center"/>
    </xf>
    <xf numFmtId="8" fontId="11" fillId="2" borderId="0" xfId="21" applyNumberFormat="1" applyFont="1" applyFill="1" applyBorder="1" applyAlignment="1">
      <alignment horizontal="center" vertical="center"/>
    </xf>
    <xf numFmtId="8" fontId="11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40" fontId="0" fillId="2" borderId="0" xfId="0" applyNumberFormat="1" applyFont="1" applyFill="1" applyBorder="1" applyAlignment="1">
      <alignment horizontal="center" vertical="center"/>
    </xf>
    <xf numFmtId="8" fontId="0" fillId="2" borderId="0" xfId="21" applyNumberFormat="1" applyFont="1" applyFill="1" applyBorder="1" applyAlignment="1">
      <alignment horizontal="center" vertical="center"/>
    </xf>
    <xf numFmtId="8" fontId="0" fillId="2" borderId="0" xfId="0" applyNumberFormat="1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40" fontId="0" fillId="2" borderId="10" xfId="0" applyNumberFormat="1" applyFont="1" applyFill="1" applyBorder="1" applyAlignment="1">
      <alignment horizontal="center" vertical="center"/>
    </xf>
    <xf numFmtId="8" fontId="0" fillId="2" borderId="10" xfId="21" applyNumberFormat="1" applyFont="1" applyFill="1" applyBorder="1" applyAlignment="1">
      <alignment horizontal="center" vertical="center"/>
    </xf>
    <xf numFmtId="8" fontId="0" fillId="2" borderId="10" xfId="0" applyNumberFormat="1" applyFont="1" applyFill="1" applyBorder="1" applyAlignment="1">
      <alignment horizontal="center" vertical="center"/>
    </xf>
    <xf numFmtId="8" fontId="12" fillId="2" borderId="11" xfId="0" applyNumberFormat="1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40" fontId="11" fillId="2" borderId="12" xfId="0" applyNumberFormat="1" applyFont="1" applyFill="1" applyBorder="1" applyAlignment="1">
      <alignment horizontal="center" vertical="center"/>
    </xf>
    <xf numFmtId="8" fontId="11" fillId="2" borderId="12" xfId="0" applyNumberFormat="1" applyFont="1" applyFill="1" applyBorder="1" applyAlignment="1">
      <alignment horizontal="center" vertical="center"/>
    </xf>
    <xf numFmtId="8" fontId="12" fillId="2" borderId="13" xfId="0" applyNumberFormat="1" applyFont="1" applyFill="1" applyBorder="1" applyAlignment="1">
      <alignment horizontal="center" vertical="center"/>
    </xf>
    <xf numFmtId="40" fontId="1" fillId="3" borderId="5" xfId="25" applyNumberFormat="1" applyFont="1" applyFill="1" applyBorder="1" applyAlignment="1">
      <alignment horizontal="center"/>
      <protection/>
    </xf>
    <xf numFmtId="40" fontId="1" fillId="4" borderId="5" xfId="25" applyNumberFormat="1" applyFont="1" applyFill="1" applyBorder="1" applyAlignment="1">
      <alignment horizontal="center"/>
      <protection/>
    </xf>
    <xf numFmtId="40" fontId="1" fillId="4" borderId="4" xfId="25" applyNumberFormat="1" applyFill="1" applyBorder="1" applyAlignment="1">
      <alignment horizontal="center"/>
      <protection/>
    </xf>
    <xf numFmtId="164" fontId="14" fillId="4" borderId="8" xfId="20" applyNumberFormat="1" applyFont="1" applyFill="1" applyBorder="1" applyAlignment="1">
      <alignment vertical="center" wrapText="1"/>
    </xf>
    <xf numFmtId="0" fontId="12" fillId="4" borderId="12" xfId="0" applyNumberFormat="1" applyFont="1" applyFill="1" applyBorder="1" applyAlignment="1">
      <alignment horizontal="center" vertical="center" wrapText="1"/>
    </xf>
    <xf numFmtId="0" fontId="12" fillId="4" borderId="12" xfId="0" applyNumberFormat="1" applyFont="1" applyFill="1" applyBorder="1" applyAlignment="1">
      <alignment vertical="center" wrapText="1"/>
    </xf>
    <xf numFmtId="39" fontId="12" fillId="4" borderId="12" xfId="20" applyNumberFormat="1" applyFont="1" applyFill="1" applyBorder="1" applyAlignment="1">
      <alignment vertical="center" wrapText="1"/>
    </xf>
    <xf numFmtId="164" fontId="13" fillId="4" borderId="12" xfId="20" applyNumberFormat="1" applyFont="1" applyFill="1" applyBorder="1" applyAlignment="1">
      <alignment vertical="center" wrapText="1"/>
    </xf>
    <xf numFmtId="164" fontId="14" fillId="4" borderId="13" xfId="20" applyNumberFormat="1" applyFont="1" applyFill="1" applyBorder="1" applyAlignment="1">
      <alignment vertical="center" wrapText="1"/>
    </xf>
    <xf numFmtId="0" fontId="4" fillId="5" borderId="0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164" fontId="13" fillId="4" borderId="6" xfId="20" applyNumberFormat="1" applyFont="1" applyFill="1" applyBorder="1" applyAlignment="1">
      <alignment horizontal="left" vertical="center" wrapText="1"/>
    </xf>
    <xf numFmtId="164" fontId="14" fillId="4" borderId="6" xfId="20" applyNumberFormat="1" applyFont="1" applyFill="1" applyBorder="1" applyAlignment="1">
      <alignment horizontal="left" vertical="center" wrapText="1"/>
    </xf>
    <xf numFmtId="0" fontId="13" fillId="4" borderId="6" xfId="0" applyNumberFormat="1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0" fontId="13" fillId="4" borderId="14" xfId="0" applyNumberFormat="1" applyFont="1" applyFill="1" applyBorder="1" applyAlignment="1">
      <alignment horizontal="center" vertical="center" wrapText="1"/>
    </xf>
    <xf numFmtId="0" fontId="2" fillId="4" borderId="15" xfId="22" applyFont="1" applyFill="1" applyBorder="1" applyAlignment="1">
      <alignment horizontal="center"/>
      <protection/>
    </xf>
    <xf numFmtId="0" fontId="1" fillId="2" borderId="0" xfId="22" applyFill="1">
      <alignment/>
      <protection/>
    </xf>
    <xf numFmtId="0" fontId="2" fillId="2" borderId="15" xfId="22" applyFont="1" applyFill="1" applyBorder="1" applyAlignment="1">
      <alignment horizontal="center"/>
      <protection/>
    </xf>
    <xf numFmtId="0" fontId="1" fillId="2" borderId="15" xfId="22" applyFill="1" applyBorder="1">
      <alignment/>
      <protection/>
    </xf>
    <xf numFmtId="0" fontId="1" fillId="2" borderId="16" xfId="22" applyFill="1" applyBorder="1">
      <alignment/>
      <protection/>
    </xf>
    <xf numFmtId="0" fontId="1" fillId="2" borderId="17" xfId="22" applyFill="1" applyBorder="1">
      <alignment/>
      <protection/>
    </xf>
    <xf numFmtId="0" fontId="1" fillId="2" borderId="16" xfId="22" applyFont="1" applyFill="1" applyBorder="1">
      <alignment/>
      <protection/>
    </xf>
    <xf numFmtId="0" fontId="1" fillId="2" borderId="0" xfId="22" applyFill="1" applyAlignment="1">
      <alignment horizontal="center"/>
      <protection/>
    </xf>
    <xf numFmtId="8" fontId="1" fillId="2" borderId="18" xfId="22" applyNumberFormat="1" applyFill="1" applyBorder="1" applyAlignment="1">
      <alignment horizontal="center"/>
      <protection/>
    </xf>
    <xf numFmtId="0" fontId="2" fillId="4" borderId="5" xfId="22" applyFont="1" applyFill="1" applyBorder="1" applyAlignment="1">
      <alignment horizontal="center"/>
      <protection/>
    </xf>
    <xf numFmtId="9" fontId="1" fillId="2" borderId="19" xfId="22" applyNumberFormat="1" applyFill="1" applyBorder="1" applyAlignment="1">
      <alignment horizontal="center"/>
      <protection/>
    </xf>
    <xf numFmtId="0" fontId="1" fillId="4" borderId="20" xfId="22" applyFill="1" applyBorder="1" applyAlignment="1">
      <alignment horizontal="center"/>
      <protection/>
    </xf>
    <xf numFmtId="0" fontId="1" fillId="2" borderId="20" xfId="22" applyFill="1" applyBorder="1" applyAlignment="1">
      <alignment horizontal="center"/>
      <protection/>
    </xf>
    <xf numFmtId="10" fontId="1" fillId="2" borderId="19" xfId="22" applyNumberFormat="1" applyFill="1" applyBorder="1" applyAlignment="1">
      <alignment horizontal="center"/>
      <protection/>
    </xf>
    <xf numFmtId="10" fontId="1" fillId="2" borderId="21" xfId="22" applyNumberFormat="1" applyFill="1" applyBorder="1" applyAlignment="1">
      <alignment horizontal="center"/>
      <protection/>
    </xf>
    <xf numFmtId="0" fontId="1" fillId="2" borderId="22" xfId="22" applyFill="1" applyBorder="1" applyAlignment="1">
      <alignment horizontal="center"/>
      <protection/>
    </xf>
    <xf numFmtId="8" fontId="1" fillId="2" borderId="23" xfId="22" applyNumberFormat="1" applyFill="1" applyBorder="1" applyAlignment="1">
      <alignment horizontal="center"/>
      <protection/>
    </xf>
    <xf numFmtId="9" fontId="1" fillId="2" borderId="24" xfId="22" applyNumberFormat="1" applyFill="1" applyBorder="1" applyAlignment="1">
      <alignment horizontal="center"/>
      <protection/>
    </xf>
    <xf numFmtId="0" fontId="1" fillId="4" borderId="25" xfId="22" applyFill="1" applyBorder="1" applyAlignment="1">
      <alignment horizontal="center"/>
      <protection/>
    </xf>
    <xf numFmtId="8" fontId="1" fillId="2" borderId="26" xfId="22" applyNumberFormat="1" applyFill="1" applyBorder="1" applyAlignment="1">
      <alignment horizontal="center"/>
      <protection/>
    </xf>
    <xf numFmtId="0" fontId="0" fillId="2" borderId="6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vertical="center" wrapText="1"/>
    </xf>
    <xf numFmtId="0" fontId="16" fillId="2" borderId="6" xfId="0" applyFont="1" applyFill="1" applyBorder="1" applyAlignment="1">
      <alignment horizontal="center" vertical="center" wrapText="1"/>
    </xf>
    <xf numFmtId="39" fontId="0" fillId="2" borderId="6" xfId="0" applyNumberFormat="1" applyFont="1" applyFill="1" applyBorder="1" applyAlignment="1">
      <alignment horizontal="center" vertical="center" wrapText="1"/>
    </xf>
    <xf numFmtId="164" fontId="0" fillId="2" borderId="6" xfId="0" applyNumberFormat="1" applyFont="1" applyFill="1" applyBorder="1" applyAlignment="1">
      <alignment vertical="center" wrapText="1"/>
    </xf>
    <xf numFmtId="164" fontId="0" fillId="2" borderId="6" xfId="0" applyNumberFormat="1" applyFont="1" applyFill="1" applyBorder="1" applyAlignment="1">
      <alignment horizontal="left" vertical="center" wrapText="1"/>
    </xf>
    <xf numFmtId="164" fontId="0" fillId="0" borderId="27" xfId="0" applyNumberFormat="1" applyFont="1" applyBorder="1" applyAlignment="1">
      <alignment vertical="center" wrapText="1"/>
    </xf>
    <xf numFmtId="0" fontId="0" fillId="0" borderId="25" xfId="0" applyFont="1" applyBorder="1" applyAlignment="1">
      <alignment horizontal="center" vertical="center" wrapText="1"/>
    </xf>
    <xf numFmtId="164" fontId="0" fillId="0" borderId="25" xfId="0" applyNumberFormat="1" applyFont="1" applyBorder="1" applyAlignment="1">
      <alignment vertical="center" wrapText="1"/>
    </xf>
    <xf numFmtId="0" fontId="0" fillId="0" borderId="2" xfId="0" applyFont="1" applyBorder="1" applyAlignment="1">
      <alignment horizontal="left"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24" xfId="0" applyFont="1" applyBorder="1" applyAlignment="1">
      <alignment vertical="center" wrapText="1"/>
    </xf>
    <xf numFmtId="0" fontId="16" fillId="0" borderId="24" xfId="0" applyFont="1" applyBorder="1" applyAlignment="1">
      <alignment horizontal="center" vertical="center" wrapText="1"/>
    </xf>
    <xf numFmtId="164" fontId="0" fillId="0" borderId="24" xfId="0" applyNumberFormat="1" applyFont="1" applyBorder="1" applyAlignment="1">
      <alignment vertical="center" wrapText="1"/>
    </xf>
    <xf numFmtId="39" fontId="12" fillId="4" borderId="14" xfId="20" applyNumberFormat="1" applyFont="1" applyFill="1" applyBorder="1" applyAlignment="1">
      <alignment vertical="center" wrapText="1"/>
    </xf>
    <xf numFmtId="0" fontId="0" fillId="0" borderId="28" xfId="0" applyFont="1" applyBorder="1" applyAlignment="1">
      <alignment vertical="center" wrapText="1"/>
    </xf>
    <xf numFmtId="0" fontId="16" fillId="0" borderId="28" xfId="0" applyFont="1" applyBorder="1" applyAlignment="1">
      <alignment horizontal="center" vertical="center" wrapText="1"/>
    </xf>
    <xf numFmtId="164" fontId="0" fillId="0" borderId="28" xfId="0" applyNumberFormat="1" applyFont="1" applyBorder="1" applyAlignment="1">
      <alignment vertical="center" wrapText="1"/>
    </xf>
    <xf numFmtId="8" fontId="1" fillId="2" borderId="29" xfId="22" applyNumberFormat="1" applyFill="1" applyBorder="1" applyAlignment="1">
      <alignment horizontal="center"/>
      <protection/>
    </xf>
    <xf numFmtId="40" fontId="1" fillId="2" borderId="0" xfId="25" applyNumberFormat="1" applyFill="1" applyAlignment="1">
      <alignment horizontal="center"/>
      <protection/>
    </xf>
    <xf numFmtId="40" fontId="1" fillId="2" borderId="0" xfId="25" applyNumberFormat="1" applyFill="1" applyAlignment="1">
      <alignment horizontal="center"/>
      <protection/>
    </xf>
    <xf numFmtId="0" fontId="16" fillId="0" borderId="25" xfId="0" applyFont="1" applyBorder="1" applyAlignment="1">
      <alignment horizontal="left" vertical="center" wrapText="1"/>
    </xf>
    <xf numFmtId="0" fontId="17" fillId="2" borderId="25" xfId="0" applyFont="1" applyFill="1" applyBorder="1" applyAlignment="1">
      <alignment horizontal="right" vertical="center" wrapText="1"/>
    </xf>
    <xf numFmtId="0" fontId="0" fillId="0" borderId="2" xfId="0" applyFont="1" applyBorder="1" applyAlignment="1">
      <alignment vertical="center" wrapText="1"/>
    </xf>
    <xf numFmtId="0" fontId="16" fillId="0" borderId="2" xfId="0" applyFont="1" applyBorder="1" applyAlignment="1">
      <alignment horizontal="center" vertical="center" wrapText="1"/>
    </xf>
    <xf numFmtId="164" fontId="0" fillId="0" borderId="2" xfId="0" applyNumberFormat="1" applyFont="1" applyBorder="1" applyAlignment="1">
      <alignment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40" fontId="2" fillId="2" borderId="0" xfId="25" applyNumberFormat="1" applyFont="1" applyFill="1" applyBorder="1" applyAlignment="1">
      <alignment horizontal="center"/>
      <protection/>
    </xf>
    <xf numFmtId="40" fontId="1" fillId="2" borderId="0" xfId="25" applyNumberFormat="1" applyFill="1" applyBorder="1" applyAlignment="1">
      <alignment horizontal="left"/>
      <protection/>
    </xf>
    <xf numFmtId="40" fontId="1" fillId="3" borderId="3" xfId="25" applyNumberFormat="1" applyFill="1" applyBorder="1" applyAlignment="1">
      <alignment horizontal="left"/>
      <protection/>
    </xf>
    <xf numFmtId="40" fontId="1" fillId="2" borderId="0" xfId="25" applyNumberFormat="1" applyFill="1" applyAlignment="1">
      <alignment horizontal="left"/>
      <protection/>
    </xf>
    <xf numFmtId="40" fontId="1" fillId="3" borderId="5" xfId="25" applyNumberFormat="1" applyFill="1" applyBorder="1" applyAlignment="1">
      <alignment horizontal="center"/>
      <protection/>
    </xf>
    <xf numFmtId="40" fontId="1" fillId="3" borderId="4" xfId="25" applyNumberFormat="1" applyFill="1" applyBorder="1" applyAlignment="1">
      <alignment horizontal="center"/>
      <protection/>
    </xf>
    <xf numFmtId="38" fontId="1" fillId="2" borderId="0" xfId="25" applyNumberFormat="1" applyFill="1" applyAlignment="1">
      <alignment horizontal="left"/>
      <protection/>
    </xf>
    <xf numFmtId="40" fontId="1" fillId="4" borderId="3" xfId="25" applyNumberFormat="1" applyFill="1" applyBorder="1" applyAlignment="1">
      <alignment horizontal="left"/>
      <protection/>
    </xf>
    <xf numFmtId="40" fontId="1" fillId="3" borderId="4" xfId="25" applyNumberFormat="1" applyFont="1" applyFill="1" applyBorder="1" applyAlignment="1">
      <alignment horizontal="left"/>
      <protection/>
    </xf>
    <xf numFmtId="40" fontId="8" fillId="2" borderId="0" xfId="25" applyNumberFormat="1" applyFont="1" applyFill="1" applyBorder="1" applyAlignment="1">
      <alignment horizontal="left"/>
      <protection/>
    </xf>
    <xf numFmtId="38" fontId="1" fillId="2" borderId="0" xfId="25" applyNumberFormat="1" applyFill="1" applyBorder="1" applyAlignment="1">
      <alignment horizontal="center"/>
      <protection/>
    </xf>
    <xf numFmtId="38" fontId="2" fillId="2" borderId="0" xfId="25" applyNumberFormat="1" applyFont="1" applyFill="1" applyBorder="1" applyAlignment="1">
      <alignment horizontal="center"/>
      <protection/>
    </xf>
    <xf numFmtId="40" fontId="8" fillId="2" borderId="0" xfId="25" applyNumberFormat="1" applyFont="1" applyFill="1" applyBorder="1" applyAlignment="1">
      <alignment horizontal="center"/>
      <protection/>
    </xf>
    <xf numFmtId="40" fontId="8" fillId="2" borderId="0" xfId="25" applyNumberFormat="1" applyFont="1" applyFill="1" applyBorder="1" applyAlignment="1">
      <alignment horizontal="right"/>
      <protection/>
    </xf>
    <xf numFmtId="40" fontId="8" fillId="2" borderId="0" xfId="25" applyNumberFormat="1" applyFont="1" applyFill="1" applyBorder="1" applyAlignment="1">
      <alignment vertical="top" wrapText="1"/>
      <protection/>
    </xf>
    <xf numFmtId="40" fontId="7" fillId="2" borderId="0" xfId="25" applyNumberFormat="1" applyFont="1" applyFill="1" applyBorder="1" applyAlignment="1">
      <alignment horizontal="left"/>
      <protection/>
    </xf>
    <xf numFmtId="40" fontId="1" fillId="2" borderId="0" xfId="25" applyNumberFormat="1" applyFont="1" applyFill="1" applyBorder="1" applyAlignment="1">
      <alignment horizontal="right"/>
      <protection/>
    </xf>
    <xf numFmtId="0" fontId="0" fillId="0" borderId="30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17" fillId="2" borderId="31" xfId="0" applyFont="1" applyFill="1" applyBorder="1" applyAlignment="1">
      <alignment horizontal="right" vertical="center"/>
    </xf>
    <xf numFmtId="0" fontId="17" fillId="2" borderId="25" xfId="0" applyFont="1" applyFill="1" applyBorder="1" applyAlignment="1">
      <alignment horizontal="right" vertical="center"/>
    </xf>
    <xf numFmtId="0" fontId="17" fillId="2" borderId="32" xfId="0" applyFont="1" applyFill="1" applyBorder="1" applyAlignment="1">
      <alignment horizontal="right" vertical="center"/>
    </xf>
    <xf numFmtId="166" fontId="0" fillId="0" borderId="30" xfId="0" applyNumberFormat="1" applyFont="1" applyBorder="1" applyAlignment="1">
      <alignment horizontal="right" vertical="center"/>
    </xf>
    <xf numFmtId="166" fontId="0" fillId="0" borderId="33" xfId="0" applyNumberFormat="1" applyFont="1" applyBorder="1" applyAlignment="1">
      <alignment horizontal="right" vertical="center"/>
    </xf>
    <xf numFmtId="40" fontId="8" fillId="2" borderId="0" xfId="25" applyNumberFormat="1" applyFont="1" applyFill="1" applyBorder="1" applyAlignment="1">
      <alignment horizontal="left" vertical="top" wrapText="1"/>
      <protection/>
    </xf>
    <xf numFmtId="0" fontId="0" fillId="0" borderId="30" xfId="0" applyFont="1" applyBorder="1" applyAlignment="1">
      <alignment horizontal="left" vertical="center"/>
    </xf>
    <xf numFmtId="0" fontId="0" fillId="0" borderId="34" xfId="0" applyFont="1" applyBorder="1" applyAlignment="1">
      <alignment vertical="center" wrapText="1"/>
    </xf>
    <xf numFmtId="0" fontId="0" fillId="0" borderId="30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/>
    </xf>
    <xf numFmtId="164" fontId="0" fillId="0" borderId="30" xfId="0" applyNumberFormat="1" applyFont="1" applyBorder="1" applyAlignment="1">
      <alignment vertical="center" wrapText="1"/>
    </xf>
    <xf numFmtId="0" fontId="0" fillId="0" borderId="27" xfId="0" applyFont="1" applyBorder="1" applyAlignment="1">
      <alignment horizontal="left" vertical="center" wrapText="1"/>
    </xf>
    <xf numFmtId="0" fontId="16" fillId="0" borderId="27" xfId="0" applyFont="1" applyBorder="1" applyAlignment="1">
      <alignment horizontal="center" vertical="center"/>
    </xf>
    <xf numFmtId="166" fontId="0" fillId="0" borderId="27" xfId="0" applyNumberFormat="1" applyFont="1" applyBorder="1" applyAlignment="1">
      <alignment horizontal="right" vertical="center"/>
    </xf>
    <xf numFmtId="0" fontId="0" fillId="0" borderId="33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left" vertical="center"/>
    </xf>
    <xf numFmtId="0" fontId="16" fillId="0" borderId="33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left" vertical="center"/>
    </xf>
    <xf numFmtId="0" fontId="16" fillId="0" borderId="34" xfId="0" applyFont="1" applyBorder="1" applyAlignment="1">
      <alignment horizontal="center" vertical="center"/>
    </xf>
    <xf numFmtId="166" fontId="0" fillId="0" borderId="34" xfId="0" applyNumberFormat="1" applyFont="1" applyBorder="1" applyAlignment="1">
      <alignment horizontal="right" vertical="center"/>
    </xf>
    <xf numFmtId="164" fontId="0" fillId="0" borderId="34" xfId="0" applyNumberFormat="1" applyFont="1" applyBorder="1" applyAlignment="1">
      <alignment vertical="center" wrapText="1"/>
    </xf>
    <xf numFmtId="0" fontId="0" fillId="0" borderId="34" xfId="0" applyFont="1" applyBorder="1" applyAlignment="1">
      <alignment horizontal="left" vertical="center" wrapText="1"/>
    </xf>
    <xf numFmtId="0" fontId="0" fillId="2" borderId="35" xfId="0" applyFont="1" applyFill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2" borderId="2" xfId="0" applyFont="1" applyFill="1" applyBorder="1" applyAlignment="1">
      <alignment horizontal="left" vertical="center" wrapText="1"/>
    </xf>
    <xf numFmtId="0" fontId="0" fillId="0" borderId="2" xfId="0" applyFont="1" applyBorder="1" applyAlignment="1">
      <alignment vertical="center"/>
    </xf>
    <xf numFmtId="0" fontId="15" fillId="0" borderId="2" xfId="22" applyFont="1" applyFill="1" applyBorder="1" applyAlignment="1" quotePrefix="1">
      <alignment vertical="center" wrapText="1"/>
      <protection/>
    </xf>
    <xf numFmtId="0" fontId="17" fillId="0" borderId="25" xfId="0" applyFont="1" applyBorder="1" applyAlignment="1">
      <alignment horizontal="right" vertical="center" wrapText="1"/>
    </xf>
    <xf numFmtId="0" fontId="0" fillId="0" borderId="36" xfId="0" applyFont="1" applyBorder="1" applyAlignment="1">
      <alignment horizontal="center" vertical="center" wrapText="1"/>
    </xf>
    <xf numFmtId="8" fontId="6" fillId="0" borderId="28" xfId="21" applyNumberFormat="1" applyFont="1" applyFill="1" applyBorder="1" applyAlignment="1" applyProtection="1">
      <alignment horizontal="right" vertical="center"/>
      <protection/>
    </xf>
    <xf numFmtId="0" fontId="17" fillId="2" borderId="24" xfId="0" applyFont="1" applyFill="1" applyBorder="1" applyAlignment="1">
      <alignment horizontal="right" vertical="center" wrapText="1"/>
    </xf>
    <xf numFmtId="164" fontId="5" fillId="0" borderId="37" xfId="0" applyNumberFormat="1" applyFont="1" applyBorder="1" applyAlignment="1">
      <alignment wrapText="1"/>
    </xf>
    <xf numFmtId="0" fontId="16" fillId="2" borderId="2" xfId="0" applyFont="1" applyFill="1" applyBorder="1" applyAlignment="1">
      <alignment horizontal="center" vertical="center"/>
    </xf>
    <xf numFmtId="0" fontId="0" fillId="0" borderId="38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 wrapText="1"/>
    </xf>
    <xf numFmtId="0" fontId="16" fillId="0" borderId="16" xfId="0" applyFont="1" applyBorder="1" applyAlignment="1">
      <alignment horizontal="center" vertical="center" wrapText="1"/>
    </xf>
    <xf numFmtId="8" fontId="6" fillId="0" borderId="27" xfId="21" applyNumberFormat="1" applyFont="1" applyFill="1" applyBorder="1" applyAlignment="1" applyProtection="1">
      <alignment horizontal="right" vertical="center"/>
      <protection/>
    </xf>
    <xf numFmtId="164" fontId="0" fillId="0" borderId="16" xfId="0" applyNumberFormat="1" applyFont="1" applyBorder="1" applyAlignment="1">
      <alignment vertical="center" wrapText="1"/>
    </xf>
    <xf numFmtId="8" fontId="6" fillId="0" borderId="2" xfId="21" applyNumberFormat="1" applyFont="1" applyFill="1" applyBorder="1" applyAlignment="1" applyProtection="1">
      <alignment horizontal="right" vertical="center"/>
      <protection/>
    </xf>
    <xf numFmtId="0" fontId="0" fillId="0" borderId="33" xfId="0" applyFont="1" applyBorder="1" applyAlignment="1">
      <alignment vertical="center" wrapText="1"/>
    </xf>
    <xf numFmtId="0" fontId="16" fillId="0" borderId="33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left" vertical="center"/>
    </xf>
    <xf numFmtId="166" fontId="0" fillId="0" borderId="27" xfId="0" applyNumberFormat="1" applyFont="1" applyBorder="1" applyAlignment="1">
      <alignment vertical="center"/>
    </xf>
    <xf numFmtId="166" fontId="0" fillId="0" borderId="2" xfId="0" applyNumberFormat="1" applyFont="1" applyBorder="1" applyAlignment="1">
      <alignment vertical="center"/>
    </xf>
    <xf numFmtId="0" fontId="0" fillId="0" borderId="39" xfId="0" applyFont="1" applyBorder="1" applyAlignment="1">
      <alignment horizontal="left" vertical="center"/>
    </xf>
    <xf numFmtId="166" fontId="6" fillId="0" borderId="2" xfId="24" applyNumberFormat="1" applyFont="1" applyBorder="1" applyAlignment="1">
      <alignment horizontal="right" vertical="center" wrapText="1"/>
      <protection/>
    </xf>
    <xf numFmtId="164" fontId="0" fillId="0" borderId="40" xfId="0" applyNumberFormat="1" applyFont="1" applyBorder="1" applyAlignment="1">
      <alignment vertical="center" wrapText="1"/>
    </xf>
    <xf numFmtId="164" fontId="0" fillId="0" borderId="41" xfId="0" applyNumberFormat="1" applyFont="1" applyBorder="1" applyAlignment="1">
      <alignment vertical="center" wrapText="1"/>
    </xf>
    <xf numFmtId="9" fontId="18" fillId="4" borderId="12" xfId="26" applyFont="1" applyFill="1" applyBorder="1" applyAlignment="1">
      <alignment horizontal="center" vertical="center" wrapText="1"/>
    </xf>
    <xf numFmtId="0" fontId="18" fillId="4" borderId="6" xfId="0" applyNumberFormat="1" applyFont="1" applyFill="1" applyBorder="1" applyAlignment="1">
      <alignment horizontal="center" vertical="center" wrapText="1"/>
    </xf>
    <xf numFmtId="0" fontId="17" fillId="2" borderId="32" xfId="0" applyFont="1" applyFill="1" applyBorder="1" applyAlignment="1">
      <alignment horizontal="right" vertical="center" wrapText="1"/>
    </xf>
    <xf numFmtId="0" fontId="17" fillId="2" borderId="6" xfId="0" applyFont="1" applyFill="1" applyBorder="1" applyAlignment="1">
      <alignment horizontal="right" vertical="center" wrapText="1"/>
    </xf>
    <xf numFmtId="0" fontId="18" fillId="4" borderId="6" xfId="0" applyNumberFormat="1" applyFont="1" applyFill="1" applyBorder="1" applyAlignment="1">
      <alignment horizontal="right" vertical="center" wrapText="1"/>
    </xf>
    <xf numFmtId="0" fontId="17" fillId="2" borderId="2" xfId="0" applyFont="1" applyFill="1" applyBorder="1" applyAlignment="1">
      <alignment horizontal="right" vertical="center"/>
    </xf>
    <xf numFmtId="0" fontId="17" fillId="2" borderId="28" xfId="0" applyFont="1" applyFill="1" applyBorder="1" applyAlignment="1">
      <alignment horizontal="right" vertical="center"/>
    </xf>
    <xf numFmtId="0" fontId="17" fillId="2" borderId="27" xfId="0" applyFont="1" applyFill="1" applyBorder="1" applyAlignment="1">
      <alignment horizontal="right" vertical="center"/>
    </xf>
    <xf numFmtId="0" fontId="17" fillId="2" borderId="42" xfId="0" applyFont="1" applyFill="1" applyBorder="1" applyAlignment="1">
      <alignment horizontal="right" vertical="center"/>
    </xf>
    <xf numFmtId="0" fontId="17" fillId="2" borderId="43" xfId="0" applyFont="1" applyFill="1" applyBorder="1" applyAlignment="1">
      <alignment horizontal="right" vertical="center" wrapText="1"/>
    </xf>
    <xf numFmtId="0" fontId="17" fillId="2" borderId="20" xfId="0" applyFont="1" applyFill="1" applyBorder="1" applyAlignment="1">
      <alignment horizontal="right" vertical="center" wrapText="1"/>
    </xf>
    <xf numFmtId="0" fontId="19" fillId="2" borderId="20" xfId="22" applyFont="1" applyFill="1" applyBorder="1" applyAlignment="1" quotePrefix="1">
      <alignment horizontal="right" vertical="center" wrapText="1"/>
      <protection/>
    </xf>
    <xf numFmtId="0" fontId="17" fillId="0" borderId="28" xfId="0" applyFont="1" applyBorder="1" applyAlignment="1">
      <alignment horizontal="right" vertical="center" wrapText="1"/>
    </xf>
    <xf numFmtId="0" fontId="17" fillId="0" borderId="26" xfId="0" applyFont="1" applyBorder="1" applyAlignment="1">
      <alignment horizontal="right" vertical="center" wrapText="1"/>
    </xf>
    <xf numFmtId="0" fontId="20" fillId="4" borderId="6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wrapText="1"/>
    </xf>
    <xf numFmtId="0" fontId="13" fillId="4" borderId="44" xfId="0" applyNumberFormat="1" applyFont="1" applyFill="1" applyBorder="1" applyAlignment="1">
      <alignment horizontal="center" vertical="center" wrapText="1"/>
    </xf>
    <xf numFmtId="0" fontId="13" fillId="4" borderId="45" xfId="0" applyNumberFormat="1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left" vertical="center" wrapText="1"/>
    </xf>
    <xf numFmtId="0" fontId="13" fillId="4" borderId="45" xfId="0" applyNumberFormat="1" applyFont="1" applyFill="1" applyBorder="1" applyAlignment="1">
      <alignment horizontal="left" vertical="center" wrapText="1"/>
    </xf>
    <xf numFmtId="0" fontId="16" fillId="0" borderId="27" xfId="0" applyFont="1" applyBorder="1" applyAlignment="1">
      <alignment horizontal="left" vertical="center" wrapText="1"/>
    </xf>
    <xf numFmtId="0" fontId="22" fillId="4" borderId="45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wrapText="1"/>
    </xf>
    <xf numFmtId="0" fontId="24" fillId="2" borderId="1" xfId="0" applyFont="1" applyFill="1" applyBorder="1" applyAlignment="1">
      <alignment horizontal="left" vertical="center"/>
    </xf>
    <xf numFmtId="0" fontId="24" fillId="2" borderId="0" xfId="0" applyFont="1" applyFill="1" applyBorder="1" applyAlignment="1">
      <alignment horizontal="left" vertical="center"/>
    </xf>
    <xf numFmtId="0" fontId="26" fillId="2" borderId="0" xfId="0" applyFont="1" applyFill="1" applyBorder="1" applyAlignment="1">
      <alignment vertical="center"/>
    </xf>
    <xf numFmtId="17" fontId="24" fillId="2" borderId="0" xfId="0" applyNumberFormat="1" applyFont="1" applyFill="1" applyBorder="1" applyAlignment="1">
      <alignment horizontal="left" vertical="center"/>
    </xf>
    <xf numFmtId="0" fontId="26" fillId="2" borderId="0" xfId="0" applyFont="1" applyFill="1" applyBorder="1" applyAlignment="1">
      <alignment horizontal="left" vertical="center"/>
    </xf>
    <xf numFmtId="0" fontId="25" fillId="2" borderId="1" xfId="0" applyFont="1" applyFill="1" applyBorder="1" applyAlignment="1">
      <alignment horizontal="left" vertical="center"/>
    </xf>
    <xf numFmtId="17" fontId="26" fillId="2" borderId="0" xfId="0" applyNumberFormat="1" applyFont="1" applyFill="1" applyBorder="1" applyAlignment="1">
      <alignment vertical="center"/>
    </xf>
    <xf numFmtId="9" fontId="26" fillId="2" borderId="10" xfId="26" applyNumberFormat="1" applyFont="1" applyFill="1" applyBorder="1" applyAlignment="1">
      <alignment horizontal="left" vertical="center"/>
    </xf>
    <xf numFmtId="0" fontId="26" fillId="2" borderId="10" xfId="0" applyFont="1" applyFill="1" applyBorder="1" applyAlignment="1">
      <alignment vertical="center"/>
    </xf>
    <xf numFmtId="0" fontId="1" fillId="2" borderId="0" xfId="22" applyFont="1" applyFill="1" applyBorder="1" applyAlignment="1">
      <alignment vertical="center"/>
      <protection/>
    </xf>
    <xf numFmtId="0" fontId="1" fillId="2" borderId="0" xfId="22" applyFill="1" applyBorder="1" applyAlignment="1">
      <alignment horizontal="center" vertical="center"/>
      <protection/>
    </xf>
    <xf numFmtId="0" fontId="1" fillId="2" borderId="0" xfId="22" applyFill="1" applyBorder="1" applyAlignment="1">
      <alignment horizontal="center"/>
      <protection/>
    </xf>
    <xf numFmtId="0" fontId="1" fillId="2" borderId="0" xfId="22" applyFill="1" applyBorder="1">
      <alignment/>
      <protection/>
    </xf>
    <xf numFmtId="0" fontId="1" fillId="2" borderId="15" xfId="22" applyFill="1" applyBorder="1" applyAlignment="1">
      <alignment horizontal="center"/>
      <protection/>
    </xf>
    <xf numFmtId="8" fontId="1" fillId="2" borderId="16" xfId="22" applyNumberFormat="1" applyFill="1" applyBorder="1" applyAlignment="1">
      <alignment horizontal="center"/>
      <protection/>
    </xf>
    <xf numFmtId="0" fontId="1" fillId="2" borderId="17" xfId="22" applyFill="1" applyBorder="1" applyAlignment="1">
      <alignment horizontal="center"/>
      <protection/>
    </xf>
    <xf numFmtId="8" fontId="2" fillId="2" borderId="15" xfId="22" applyNumberFormat="1" applyFont="1" applyFill="1" applyBorder="1" applyAlignment="1">
      <alignment horizontal="center"/>
      <protection/>
    </xf>
    <xf numFmtId="0" fontId="1" fillId="2" borderId="46" xfId="22" applyFont="1" applyFill="1" applyBorder="1" applyAlignment="1">
      <alignment vertical="center"/>
      <protection/>
    </xf>
    <xf numFmtId="0" fontId="1" fillId="2" borderId="47" xfId="22" applyFill="1" applyBorder="1">
      <alignment/>
      <protection/>
    </xf>
    <xf numFmtId="0" fontId="1" fillId="2" borderId="16" xfId="22" applyFill="1" applyBorder="1" applyAlignment="1">
      <alignment horizontal="center"/>
      <protection/>
    </xf>
    <xf numFmtId="0" fontId="1" fillId="2" borderId="25" xfId="22" applyFill="1" applyBorder="1" applyAlignment="1">
      <alignment horizontal="center"/>
      <protection/>
    </xf>
    <xf numFmtId="0" fontId="2" fillId="2" borderId="2" xfId="22" applyFont="1" applyFill="1" applyBorder="1" applyAlignment="1">
      <alignment horizontal="center"/>
      <protection/>
    </xf>
    <xf numFmtId="9" fontId="2" fillId="2" borderId="2" xfId="22" applyNumberFormat="1" applyFont="1" applyFill="1" applyBorder="1" applyAlignment="1">
      <alignment horizontal="center"/>
      <protection/>
    </xf>
    <xf numFmtId="9" fontId="1" fillId="2" borderId="5" xfId="26" applyFont="1" applyFill="1" applyBorder="1" applyAlignment="1">
      <alignment horizontal="center"/>
    </xf>
    <xf numFmtId="9" fontId="1" fillId="2" borderId="2" xfId="26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26" fillId="0" borderId="0" xfId="0" applyFont="1" applyBorder="1"/>
    <xf numFmtId="164" fontId="27" fillId="4" borderId="8" xfId="20" applyNumberFormat="1" applyFont="1" applyFill="1" applyBorder="1" applyAlignment="1">
      <alignment vertical="center" wrapText="1"/>
    </xf>
    <xf numFmtId="164" fontId="5" fillId="0" borderId="1" xfId="0" applyNumberFormat="1" applyFont="1" applyBorder="1" applyAlignment="1">
      <alignment horizontal="right" vertical="center" wrapText="1"/>
    </xf>
    <xf numFmtId="164" fontId="5" fillId="0" borderId="0" xfId="0" applyNumberFormat="1" applyFont="1" applyBorder="1" applyAlignment="1">
      <alignment horizontal="right" vertical="center" wrapText="1"/>
    </xf>
    <xf numFmtId="39" fontId="12" fillId="4" borderId="48" xfId="20" applyNumberFormat="1" applyFont="1" applyFill="1" applyBorder="1" applyAlignment="1">
      <alignment vertical="center" wrapText="1"/>
    </xf>
    <xf numFmtId="0" fontId="13" fillId="4" borderId="48" xfId="0" applyNumberFormat="1" applyFont="1" applyFill="1" applyBorder="1" applyAlignment="1">
      <alignment horizontal="center" vertical="center" wrapText="1"/>
    </xf>
    <xf numFmtId="164" fontId="13" fillId="4" borderId="48" xfId="20" applyNumberFormat="1" applyFont="1" applyFill="1" applyBorder="1" applyAlignment="1">
      <alignment horizontal="left" vertical="center" wrapText="1"/>
    </xf>
    <xf numFmtId="39" fontId="5" fillId="0" borderId="2" xfId="0" applyNumberFormat="1" applyFont="1" applyBorder="1" applyAlignment="1">
      <alignment horizontal="center" wrapText="1"/>
    </xf>
    <xf numFmtId="164" fontId="5" fillId="0" borderId="2" xfId="0" applyNumberFormat="1" applyFont="1" applyBorder="1" applyAlignment="1">
      <alignment wrapText="1"/>
    </xf>
    <xf numFmtId="2" fontId="1" fillId="2" borderId="0" xfId="25" applyNumberFormat="1" applyFill="1" applyAlignment="1">
      <alignment horizontal="left"/>
      <protection/>
    </xf>
    <xf numFmtId="0" fontId="17" fillId="2" borderId="27" xfId="0" applyFont="1" applyFill="1" applyBorder="1" applyAlignment="1">
      <alignment horizontal="right" vertical="center" wrapText="1"/>
    </xf>
    <xf numFmtId="0" fontId="16" fillId="2" borderId="12" xfId="0" applyFont="1" applyFill="1" applyBorder="1" applyAlignment="1">
      <alignment horizontal="left" vertical="center" wrapText="1"/>
    </xf>
    <xf numFmtId="0" fontId="17" fillId="2" borderId="12" xfId="0" applyFont="1" applyFill="1" applyBorder="1" applyAlignment="1">
      <alignment horizontal="right" vertical="center" wrapText="1"/>
    </xf>
    <xf numFmtId="0" fontId="0" fillId="2" borderId="12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vertical="center" wrapText="1"/>
    </xf>
    <xf numFmtId="0" fontId="16" fillId="2" borderId="12" xfId="0" applyFont="1" applyFill="1" applyBorder="1" applyAlignment="1">
      <alignment horizontal="center" vertical="center" wrapText="1"/>
    </xf>
    <xf numFmtId="39" fontId="0" fillId="2" borderId="12" xfId="0" applyNumberFormat="1" applyFont="1" applyFill="1" applyBorder="1" applyAlignment="1">
      <alignment horizontal="center" vertical="center" wrapText="1"/>
    </xf>
    <xf numFmtId="164" fontId="0" fillId="2" borderId="12" xfId="0" applyNumberFormat="1" applyFont="1" applyFill="1" applyBorder="1" applyAlignment="1">
      <alignment vertical="center" wrapText="1"/>
    </xf>
    <xf numFmtId="164" fontId="0" fillId="2" borderId="12" xfId="0" applyNumberFormat="1" applyFont="1" applyFill="1" applyBorder="1" applyAlignment="1">
      <alignment horizontal="left" vertical="center" wrapText="1"/>
    </xf>
    <xf numFmtId="0" fontId="13" fillId="4" borderId="5" xfId="0" applyNumberFormat="1" applyFont="1" applyFill="1" applyBorder="1" applyAlignment="1">
      <alignment horizontal="left" vertical="center" wrapText="1"/>
    </xf>
    <xf numFmtId="0" fontId="18" fillId="4" borderId="3" xfId="0" applyNumberFormat="1" applyFont="1" applyFill="1" applyBorder="1" applyAlignment="1">
      <alignment horizontal="right" vertical="center" wrapText="1"/>
    </xf>
    <xf numFmtId="0" fontId="12" fillId="4" borderId="3" xfId="0" applyNumberFormat="1" applyFont="1" applyFill="1" applyBorder="1" applyAlignment="1">
      <alignment horizontal="center" vertical="center" wrapText="1"/>
    </xf>
    <xf numFmtId="0" fontId="12" fillId="4" borderId="3" xfId="0" applyNumberFormat="1" applyFont="1" applyFill="1" applyBorder="1" applyAlignment="1">
      <alignment vertical="center" wrapText="1"/>
    </xf>
    <xf numFmtId="0" fontId="13" fillId="4" borderId="3" xfId="0" applyNumberFormat="1" applyFont="1" applyFill="1" applyBorder="1" applyAlignment="1">
      <alignment horizontal="center" vertical="center" wrapText="1"/>
    </xf>
    <xf numFmtId="39" fontId="12" fillId="4" borderId="3" xfId="20" applyNumberFormat="1" applyFont="1" applyFill="1" applyBorder="1" applyAlignment="1">
      <alignment vertical="center" wrapText="1"/>
    </xf>
    <xf numFmtId="164" fontId="13" fillId="4" borderId="3" xfId="20" applyNumberFormat="1" applyFont="1" applyFill="1" applyBorder="1" applyAlignment="1">
      <alignment horizontal="left" vertical="center" wrapText="1"/>
    </xf>
    <xf numFmtId="164" fontId="14" fillId="4" borderId="4" xfId="20" applyNumberFormat="1" applyFont="1" applyFill="1" applyBorder="1" applyAlignment="1">
      <alignment vertical="center" wrapText="1"/>
    </xf>
    <xf numFmtId="0" fontId="28" fillId="0" borderId="49" xfId="0" applyNumberFormat="1" applyFont="1" applyFill="1" applyBorder="1" applyAlignment="1">
      <alignment vertical="center" wrapText="1"/>
    </xf>
    <xf numFmtId="0" fontId="29" fillId="0" borderId="17" xfId="0" applyNumberFormat="1" applyFont="1" applyFill="1" applyBorder="1" applyAlignment="1">
      <alignment horizontal="center" vertical="center" wrapText="1"/>
    </xf>
    <xf numFmtId="166" fontId="28" fillId="0" borderId="17" xfId="20" applyNumberFormat="1" applyFont="1" applyFill="1" applyBorder="1" applyAlignment="1">
      <alignment vertical="center" wrapText="1"/>
    </xf>
    <xf numFmtId="40" fontId="1" fillId="0" borderId="0" xfId="25" applyNumberFormat="1" applyFill="1" applyBorder="1" applyAlignment="1">
      <alignment horizontal="center"/>
      <protection/>
    </xf>
    <xf numFmtId="40" fontId="1" fillId="0" borderId="0" xfId="25" applyNumberFormat="1" applyFill="1" applyBorder="1" applyAlignment="1">
      <alignment horizontal="left"/>
      <protection/>
    </xf>
    <xf numFmtId="0" fontId="0" fillId="2" borderId="2" xfId="0" applyFont="1" applyFill="1" applyBorder="1" applyAlignment="1">
      <alignment horizontal="left" vertical="center"/>
    </xf>
    <xf numFmtId="164" fontId="0" fillId="0" borderId="34" xfId="0" applyNumberFormat="1" applyFont="1" applyBorder="1" applyAlignment="1">
      <alignment horizontal="right" vertical="center" wrapText="1"/>
    </xf>
    <xf numFmtId="164" fontId="0" fillId="0" borderId="33" xfId="0" applyNumberFormat="1" applyFont="1" applyBorder="1" applyAlignment="1">
      <alignment horizontal="right" vertical="center" wrapText="1"/>
    </xf>
    <xf numFmtId="164" fontId="0" fillId="0" borderId="2" xfId="0" applyNumberFormat="1" applyFont="1" applyBorder="1" applyAlignment="1">
      <alignment horizontal="right" vertical="center" wrapText="1"/>
    </xf>
    <xf numFmtId="164" fontId="0" fillId="0" borderId="16" xfId="0" applyNumberFormat="1" applyFont="1" applyBorder="1" applyAlignment="1">
      <alignment horizontal="right" vertical="center" wrapText="1"/>
    </xf>
    <xf numFmtId="164" fontId="0" fillId="0" borderId="27" xfId="0" applyNumberFormat="1" applyFont="1" applyBorder="1" applyAlignment="1">
      <alignment horizontal="right" vertical="center" wrapText="1"/>
    </xf>
    <xf numFmtId="164" fontId="0" fillId="0" borderId="30" xfId="0" applyNumberFormat="1" applyFont="1" applyBorder="1" applyAlignment="1">
      <alignment horizontal="right" vertical="center" wrapText="1"/>
    </xf>
    <xf numFmtId="164" fontId="0" fillId="0" borderId="25" xfId="0" applyNumberFormat="1" applyFont="1" applyBorder="1" applyAlignment="1">
      <alignment horizontal="right" vertical="center" wrapText="1"/>
    </xf>
    <xf numFmtId="164" fontId="0" fillId="0" borderId="24" xfId="0" applyNumberFormat="1" applyFont="1" applyBorder="1" applyAlignment="1">
      <alignment horizontal="right" vertical="center" wrapText="1"/>
    </xf>
    <xf numFmtId="164" fontId="0" fillId="0" borderId="28" xfId="0" applyNumberFormat="1" applyFont="1" applyBorder="1" applyAlignment="1">
      <alignment horizontal="right" vertical="center" wrapText="1"/>
    </xf>
    <xf numFmtId="0" fontId="16" fillId="0" borderId="25" xfId="0" applyFont="1" applyFill="1" applyBorder="1" applyAlignment="1">
      <alignment horizontal="left" vertical="center" wrapText="1"/>
    </xf>
    <xf numFmtId="0" fontId="16" fillId="0" borderId="31" xfId="0" applyFont="1" applyFill="1" applyBorder="1" applyAlignment="1">
      <alignment horizontal="left" vertical="center" wrapText="1"/>
    </xf>
    <xf numFmtId="0" fontId="0" fillId="2" borderId="31" xfId="0" applyFont="1" applyFill="1" applyBorder="1" applyAlignment="1">
      <alignment horizontal="right" vertical="center"/>
    </xf>
    <xf numFmtId="164" fontId="6" fillId="0" borderId="2" xfId="0" applyNumberFormat="1" applyFont="1" applyBorder="1" applyAlignment="1">
      <alignment vertical="center" wrapText="1"/>
    </xf>
    <xf numFmtId="166" fontId="6" fillId="0" borderId="2" xfId="0" applyNumberFormat="1" applyFont="1" applyBorder="1" applyAlignment="1">
      <alignment horizontal="right" vertical="center"/>
    </xf>
    <xf numFmtId="166" fontId="6" fillId="0" borderId="30" xfId="0" applyNumberFormat="1" applyFont="1" applyBorder="1" applyAlignment="1">
      <alignment horizontal="right" vertical="center"/>
    </xf>
    <xf numFmtId="166" fontId="6" fillId="0" borderId="34" xfId="0" applyNumberFormat="1" applyFont="1" applyBorder="1" applyAlignment="1">
      <alignment horizontal="right" vertical="center"/>
    </xf>
    <xf numFmtId="164" fontId="6" fillId="0" borderId="16" xfId="0" applyNumberFormat="1" applyFont="1" applyBorder="1" applyAlignment="1">
      <alignment vertical="center" wrapText="1"/>
    </xf>
    <xf numFmtId="0" fontId="0" fillId="0" borderId="17" xfId="0" applyFont="1" applyBorder="1" applyAlignment="1">
      <alignment horizontal="center" vertical="center" wrapText="1"/>
    </xf>
    <xf numFmtId="0" fontId="1" fillId="4" borderId="20" xfId="22" applyFont="1" applyFill="1" applyBorder="1" applyAlignment="1">
      <alignment horizontal="center"/>
      <protection/>
    </xf>
    <xf numFmtId="0" fontId="1" fillId="0" borderId="20" xfId="22" applyFill="1" applyBorder="1" applyAlignment="1">
      <alignment horizontal="center"/>
      <protection/>
    </xf>
    <xf numFmtId="9" fontId="1" fillId="2" borderId="0" xfId="22" applyNumberFormat="1" applyFill="1">
      <alignment/>
      <protection/>
    </xf>
    <xf numFmtId="8" fontId="1" fillId="2" borderId="0" xfId="22" applyNumberFormat="1" applyFill="1">
      <alignment/>
      <protection/>
    </xf>
    <xf numFmtId="0" fontId="30" fillId="6" borderId="50" xfId="25" applyNumberFormat="1" applyFont="1" applyFill="1" applyBorder="1" applyAlignment="1">
      <alignment vertical="center"/>
      <protection/>
    </xf>
    <xf numFmtId="0" fontId="30" fillId="6" borderId="51" xfId="25" applyNumberFormat="1" applyFont="1" applyFill="1" applyBorder="1" applyAlignment="1">
      <alignment vertical="center"/>
      <protection/>
    </xf>
    <xf numFmtId="0" fontId="30" fillId="6" borderId="52" xfId="25" applyNumberFormat="1" applyFont="1" applyFill="1" applyBorder="1" applyAlignment="1">
      <alignment vertical="center"/>
      <protection/>
    </xf>
    <xf numFmtId="0" fontId="31" fillId="0" borderId="0" xfId="0" applyFont="1" applyBorder="1"/>
    <xf numFmtId="0" fontId="30" fillId="7" borderId="2" xfId="25" applyFont="1" applyFill="1" applyBorder="1" applyAlignment="1">
      <alignment vertical="center"/>
      <protection/>
    </xf>
    <xf numFmtId="168" fontId="30" fillId="7" borderId="53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/>
    <xf numFmtId="0" fontId="30" fillId="0" borderId="48" xfId="0" applyFont="1" applyBorder="1" applyAlignment="1">
      <alignment horizontal="center"/>
    </xf>
    <xf numFmtId="0" fontId="30" fillId="0" borderId="45" xfId="0" applyFont="1" applyBorder="1"/>
    <xf numFmtId="0" fontId="31" fillId="0" borderId="6" xfId="0" applyFont="1" applyBorder="1"/>
    <xf numFmtId="2" fontId="31" fillId="0" borderId="7" xfId="0" applyNumberFormat="1" applyFont="1" applyBorder="1"/>
    <xf numFmtId="1" fontId="31" fillId="0" borderId="54" xfId="0" applyNumberFormat="1" applyFont="1" applyBorder="1" applyAlignment="1">
      <alignment horizontal="center"/>
    </xf>
    <xf numFmtId="0" fontId="31" fillId="0" borderId="55" xfId="0" applyFont="1" applyBorder="1"/>
    <xf numFmtId="0" fontId="31" fillId="0" borderId="56" xfId="0" applyFont="1" applyBorder="1"/>
    <xf numFmtId="10" fontId="31" fillId="0" borderId="57" xfId="27" applyNumberFormat="1" applyFont="1" applyFill="1" applyBorder="1" applyAlignment="1" applyProtection="1">
      <alignment horizontal="center"/>
      <protection/>
    </xf>
    <xf numFmtId="10" fontId="31" fillId="0" borderId="57" xfId="0" applyNumberFormat="1" applyFont="1" applyBorder="1" applyAlignment="1">
      <alignment horizontal="center"/>
    </xf>
    <xf numFmtId="1" fontId="31" fillId="0" borderId="58" xfId="0" applyNumberFormat="1" applyFont="1" applyBorder="1" applyAlignment="1">
      <alignment horizontal="center"/>
    </xf>
    <xf numFmtId="0" fontId="31" fillId="0" borderId="59" xfId="0" applyFont="1" applyBorder="1"/>
    <xf numFmtId="0" fontId="31" fillId="0" borderId="60" xfId="0" applyFont="1" applyBorder="1"/>
    <xf numFmtId="0" fontId="31" fillId="0" borderId="61" xfId="0" applyFont="1" applyBorder="1"/>
    <xf numFmtId="10" fontId="31" fillId="8" borderId="62" xfId="27" applyNumberFormat="1" applyFont="1" applyFill="1" applyBorder="1" applyAlignment="1" applyProtection="1">
      <alignment horizontal="center"/>
      <protection/>
    </xf>
    <xf numFmtId="0" fontId="31" fillId="0" borderId="1" xfId="0" applyFont="1" applyBorder="1" applyAlignment="1">
      <alignment horizontal="center"/>
    </xf>
    <xf numFmtId="10" fontId="31" fillId="0" borderId="9" xfId="0" applyNumberFormat="1" applyFont="1" applyBorder="1"/>
    <xf numFmtId="0" fontId="30" fillId="0" borderId="6" xfId="0" applyFont="1" applyBorder="1"/>
    <xf numFmtId="10" fontId="31" fillId="0" borderId="7" xfId="0" applyNumberFormat="1" applyFont="1" applyBorder="1"/>
    <xf numFmtId="0" fontId="31" fillId="0" borderId="54" xfId="0" applyFont="1" applyBorder="1" applyAlignment="1">
      <alignment horizontal="center"/>
    </xf>
    <xf numFmtId="0" fontId="31" fillId="0" borderId="58" xfId="0" applyFont="1" applyBorder="1" applyAlignment="1">
      <alignment horizontal="center"/>
    </xf>
    <xf numFmtId="10" fontId="31" fillId="0" borderId="62" xfId="27" applyNumberFormat="1" applyFont="1" applyFill="1" applyBorder="1" applyAlignment="1" applyProtection="1">
      <alignment horizontal="center"/>
      <protection/>
    </xf>
    <xf numFmtId="0" fontId="31" fillId="0" borderId="1" xfId="0" applyFont="1" applyBorder="1"/>
    <xf numFmtId="0" fontId="31" fillId="0" borderId="63" xfId="0" applyFont="1" applyBorder="1" applyAlignment="1">
      <alignment/>
    </xf>
    <xf numFmtId="10" fontId="30" fillId="8" borderId="64" xfId="27" applyNumberFormat="1" applyFont="1" applyFill="1" applyBorder="1" applyAlignment="1" applyProtection="1">
      <alignment horizontal="center"/>
      <protection/>
    </xf>
    <xf numFmtId="0" fontId="31" fillId="0" borderId="65" xfId="0" applyFont="1" applyBorder="1" applyAlignment="1">
      <alignment/>
    </xf>
    <xf numFmtId="0" fontId="31" fillId="0" borderId="66" xfId="0" applyFont="1" applyBorder="1" applyAlignment="1">
      <alignment/>
    </xf>
    <xf numFmtId="0" fontId="31" fillId="0" borderId="67" xfId="0" applyFont="1" applyBorder="1" applyAlignment="1">
      <alignment/>
    </xf>
    <xf numFmtId="10" fontId="30" fillId="8" borderId="64" xfId="0" applyNumberFormat="1" applyFont="1" applyFill="1" applyBorder="1" applyAlignment="1">
      <alignment horizontal="center" vertical="center"/>
    </xf>
    <xf numFmtId="10" fontId="30" fillId="0" borderId="9" xfId="0" applyNumberFormat="1" applyFont="1" applyBorder="1" applyAlignment="1">
      <alignment horizontal="center"/>
    </xf>
    <xf numFmtId="0" fontId="30" fillId="0" borderId="1" xfId="0" applyFont="1" applyBorder="1"/>
    <xf numFmtId="0" fontId="31" fillId="0" borderId="9" xfId="0" applyFont="1" applyBorder="1"/>
    <xf numFmtId="0" fontId="31" fillId="0" borderId="68" xfId="0" applyFont="1" applyBorder="1" applyAlignment="1">
      <alignment vertical="center"/>
    </xf>
    <xf numFmtId="0" fontId="31" fillId="0" borderId="69" xfId="0" applyFont="1" applyBorder="1" applyAlignment="1">
      <alignment vertical="center"/>
    </xf>
    <xf numFmtId="0" fontId="31" fillId="0" borderId="70" xfId="0" applyFont="1" applyBorder="1" applyAlignment="1">
      <alignment vertical="center"/>
    </xf>
    <xf numFmtId="10" fontId="25" fillId="2" borderId="71" xfId="0" applyNumberFormat="1" applyFont="1" applyFill="1" applyBorder="1" applyAlignment="1">
      <alignment horizontal="left" vertical="center"/>
    </xf>
    <xf numFmtId="0" fontId="17" fillId="2" borderId="43" xfId="0" applyFont="1" applyFill="1" applyBorder="1" applyAlignment="1">
      <alignment horizontal="right" vertical="center"/>
    </xf>
    <xf numFmtId="164" fontId="0" fillId="0" borderId="17" xfId="0" applyNumberFormat="1" applyFont="1" applyBorder="1" applyAlignment="1">
      <alignment horizontal="right" vertical="center" wrapText="1"/>
    </xf>
    <xf numFmtId="166" fontId="6" fillId="0" borderId="35" xfId="0" applyNumberFormat="1" applyFont="1" applyBorder="1" applyAlignment="1">
      <alignment horizontal="right" vertical="center"/>
    </xf>
    <xf numFmtId="39" fontId="6" fillId="2" borderId="28" xfId="0" applyNumberFormat="1" applyFont="1" applyFill="1" applyBorder="1" applyAlignment="1">
      <alignment horizontal="center" vertical="center" wrapText="1"/>
    </xf>
    <xf numFmtId="39" fontId="6" fillId="0" borderId="2" xfId="0" applyNumberFormat="1" applyFont="1" applyBorder="1" applyAlignment="1">
      <alignment horizontal="center" vertical="center" wrapText="1"/>
    </xf>
    <xf numFmtId="39" fontId="6" fillId="0" borderId="16" xfId="0" applyNumberFormat="1" applyFont="1" applyBorder="1" applyAlignment="1">
      <alignment horizontal="center" vertical="center" wrapText="1"/>
    </xf>
    <xf numFmtId="39" fontId="6" fillId="2" borderId="24" xfId="0" applyNumberFormat="1" applyFont="1" applyFill="1" applyBorder="1" applyAlignment="1">
      <alignment horizontal="center" vertical="center" wrapText="1"/>
    </xf>
    <xf numFmtId="2" fontId="6" fillId="2" borderId="34" xfId="0" applyNumberFormat="1" applyFont="1" applyFill="1" applyBorder="1" applyAlignment="1">
      <alignment horizontal="center" vertical="center"/>
    </xf>
    <xf numFmtId="2" fontId="6" fillId="2" borderId="2" xfId="0" applyNumberFormat="1" applyFont="1" applyFill="1" applyBorder="1" applyAlignment="1">
      <alignment horizontal="center" vertical="center"/>
    </xf>
    <xf numFmtId="2" fontId="6" fillId="2" borderId="30" xfId="0" applyNumberFormat="1" applyFont="1" applyFill="1" applyBorder="1" applyAlignment="1">
      <alignment horizontal="center" vertical="center"/>
    </xf>
    <xf numFmtId="2" fontId="6" fillId="2" borderId="27" xfId="0" applyNumberFormat="1" applyFont="1" applyFill="1" applyBorder="1" applyAlignment="1">
      <alignment horizontal="center" vertical="center"/>
    </xf>
    <xf numFmtId="2" fontId="6" fillId="2" borderId="35" xfId="0" applyNumberFormat="1" applyFont="1" applyFill="1" applyBorder="1" applyAlignment="1">
      <alignment horizontal="center" vertical="center"/>
    </xf>
    <xf numFmtId="2" fontId="6" fillId="2" borderId="33" xfId="0" applyNumberFormat="1" applyFont="1" applyFill="1" applyBorder="1" applyAlignment="1">
      <alignment horizontal="center" vertical="center"/>
    </xf>
    <xf numFmtId="40" fontId="6" fillId="2" borderId="30" xfId="23" applyNumberFormat="1" applyFont="1" applyFill="1" applyBorder="1" applyAlignment="1">
      <alignment horizontal="center" vertical="center"/>
      <protection/>
    </xf>
    <xf numFmtId="39" fontId="6" fillId="2" borderId="2" xfId="0" applyNumberFormat="1" applyFont="1" applyFill="1" applyBorder="1" applyAlignment="1">
      <alignment horizontal="center" vertical="center" wrapText="1"/>
    </xf>
    <xf numFmtId="39" fontId="6" fillId="0" borderId="34" xfId="0" applyNumberFormat="1" applyFont="1" applyBorder="1" applyAlignment="1">
      <alignment horizontal="center" vertical="center" wrapText="1"/>
    </xf>
    <xf numFmtId="39" fontId="6" fillId="0" borderId="17" xfId="0" applyNumberFormat="1" applyFont="1" applyBorder="1" applyAlignment="1">
      <alignment horizontal="center" vertical="center" wrapText="1"/>
    </xf>
    <xf numFmtId="164" fontId="0" fillId="0" borderId="17" xfId="0" applyNumberFormat="1" applyFont="1" applyBorder="1" applyAlignment="1">
      <alignment vertical="center" wrapText="1"/>
    </xf>
    <xf numFmtId="0" fontId="22" fillId="4" borderId="0" xfId="0" applyNumberFormat="1" applyFont="1" applyFill="1" applyBorder="1" applyAlignment="1">
      <alignment horizontal="center" vertical="center" wrapText="1"/>
    </xf>
    <xf numFmtId="0" fontId="20" fillId="4" borderId="0" xfId="0" applyNumberFormat="1" applyFont="1" applyFill="1" applyBorder="1" applyAlignment="1">
      <alignment horizontal="center" vertical="center" wrapText="1"/>
    </xf>
    <xf numFmtId="0" fontId="2" fillId="4" borderId="0" xfId="0" applyNumberFormat="1" applyFont="1" applyFill="1" applyBorder="1" applyAlignment="1">
      <alignment horizontal="center" vertical="center" wrapText="1"/>
    </xf>
    <xf numFmtId="164" fontId="3" fillId="4" borderId="0" xfId="20" applyNumberFormat="1" applyFont="1" applyFill="1" applyBorder="1" applyAlignment="1">
      <alignment vertical="center" wrapText="1"/>
    </xf>
    <xf numFmtId="164" fontId="27" fillId="4" borderId="0" xfId="20" applyNumberFormat="1" applyFont="1" applyFill="1" applyBorder="1" applyAlignment="1">
      <alignment vertical="center" wrapText="1"/>
    </xf>
    <xf numFmtId="0" fontId="22" fillId="0" borderId="0" xfId="0" applyNumberFormat="1" applyFont="1" applyFill="1" applyBorder="1" applyAlignment="1">
      <alignment horizontal="center" vertical="center" wrapText="1"/>
    </xf>
    <xf numFmtId="0" fontId="20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164" fontId="3" fillId="0" borderId="0" xfId="20" applyNumberFormat="1" applyFont="1" applyFill="1" applyBorder="1" applyAlignment="1">
      <alignment vertical="center" wrapText="1"/>
    </xf>
    <xf numFmtId="0" fontId="34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40" fontId="37" fillId="2" borderId="0" xfId="25" applyNumberFormat="1" applyFont="1" applyFill="1" applyAlignment="1">
      <alignment horizontal="center"/>
      <protection/>
    </xf>
    <xf numFmtId="40" fontId="37" fillId="2" borderId="0" xfId="25" applyNumberFormat="1" applyFont="1" applyFill="1" applyBorder="1" applyAlignment="1">
      <alignment horizontal="center"/>
      <protection/>
    </xf>
    <xf numFmtId="40" fontId="37" fillId="2" borderId="0" xfId="25" applyNumberFormat="1" applyFont="1" applyFill="1" applyBorder="1" applyAlignment="1">
      <alignment horizontal="left"/>
      <protection/>
    </xf>
    <xf numFmtId="40" fontId="1" fillId="2" borderId="0" xfId="25" applyNumberFormat="1" applyFill="1" applyAlignment="1">
      <alignment horizontal="center"/>
      <protection/>
    </xf>
    <xf numFmtId="40" fontId="2" fillId="0" borderId="0" xfId="25" applyNumberFormat="1" applyFont="1" applyFill="1" applyAlignment="1">
      <alignment horizontal="center"/>
      <protection/>
    </xf>
    <xf numFmtId="40" fontId="1" fillId="0" borderId="0" xfId="25" applyNumberFormat="1" applyFont="1" applyFill="1" applyBorder="1" applyAlignment="1">
      <alignment horizontal="center"/>
      <protection/>
    </xf>
    <xf numFmtId="40" fontId="8" fillId="0" borderId="0" xfId="25" applyNumberFormat="1" applyFont="1" applyFill="1" applyAlignment="1">
      <alignment horizontal="left"/>
      <protection/>
    </xf>
    <xf numFmtId="40" fontId="1" fillId="0" borderId="0" xfId="25" applyNumberFormat="1" applyFill="1" applyAlignment="1">
      <alignment horizontal="center"/>
      <protection/>
    </xf>
    <xf numFmtId="40" fontId="1" fillId="0" borderId="0" xfId="25" applyNumberFormat="1" applyFill="1" applyAlignment="1">
      <alignment horizontal="left"/>
      <protection/>
    </xf>
    <xf numFmtId="0" fontId="0" fillId="2" borderId="10" xfId="0" applyFont="1" applyFill="1" applyBorder="1" applyAlignment="1">
      <alignment horizontal="center" vertical="center" wrapText="1"/>
    </xf>
    <xf numFmtId="0" fontId="4" fillId="0" borderId="0" xfId="25" applyFont="1" applyFill="1" applyBorder="1" applyAlignment="1">
      <alignment vertical="center"/>
      <protection/>
    </xf>
    <xf numFmtId="0" fontId="0" fillId="0" borderId="17" xfId="0" applyFont="1" applyBorder="1" applyAlignment="1">
      <alignment vertical="center" wrapText="1"/>
    </xf>
    <xf numFmtId="0" fontId="16" fillId="0" borderId="17" xfId="0" applyFont="1" applyBorder="1" applyAlignment="1">
      <alignment horizontal="center" vertical="center" wrapText="1"/>
    </xf>
    <xf numFmtId="164" fontId="0" fillId="0" borderId="72" xfId="0" applyNumberFormat="1" applyFont="1" applyBorder="1" applyAlignment="1">
      <alignment vertical="center" wrapText="1"/>
    </xf>
    <xf numFmtId="0" fontId="10" fillId="2" borderId="44" xfId="0" applyFont="1" applyFill="1" applyBorder="1" applyAlignment="1">
      <alignment horizontal="left" vertical="center"/>
    </xf>
    <xf numFmtId="0" fontId="10" fillId="2" borderId="12" xfId="0" applyFont="1" applyFill="1" applyBorder="1" applyAlignment="1">
      <alignment horizontal="left" vertical="center"/>
    </xf>
    <xf numFmtId="8" fontId="24" fillId="2" borderId="0" xfId="0" applyNumberFormat="1" applyFont="1" applyFill="1" applyBorder="1" applyAlignment="1">
      <alignment horizontal="left" vertical="center"/>
    </xf>
    <xf numFmtId="0" fontId="24" fillId="2" borderId="0" xfId="0" applyFont="1" applyFill="1" applyBorder="1" applyAlignment="1">
      <alignment horizontal="left" vertical="center"/>
    </xf>
    <xf numFmtId="0" fontId="2" fillId="4" borderId="6" xfId="0" applyNumberFormat="1" applyFont="1" applyFill="1" applyBorder="1" applyAlignment="1">
      <alignment horizontal="center" vertical="center" wrapText="1"/>
    </xf>
    <xf numFmtId="0" fontId="2" fillId="4" borderId="73" xfId="0" applyNumberFormat="1" applyFont="1" applyFill="1" applyBorder="1" applyAlignment="1">
      <alignment horizontal="center" vertical="center" wrapText="1"/>
    </xf>
    <xf numFmtId="40" fontId="1" fillId="2" borderId="0" xfId="25" applyNumberFormat="1" applyFill="1" applyAlignment="1">
      <alignment horizontal="center"/>
      <protection/>
    </xf>
    <xf numFmtId="40" fontId="2" fillId="2" borderId="0" xfId="25" applyNumberFormat="1" applyFont="1" applyFill="1" applyAlignment="1">
      <alignment horizontal="center" vertical="center"/>
      <protection/>
    </xf>
    <xf numFmtId="40" fontId="8" fillId="2" borderId="0" xfId="25" applyNumberFormat="1" applyFont="1" applyFill="1" applyBorder="1" applyAlignment="1">
      <alignment horizontal="right" vertical="center" wrapText="1"/>
      <protection/>
    </xf>
    <xf numFmtId="0" fontId="8" fillId="2" borderId="0" xfId="25" applyNumberFormat="1" applyFont="1" applyFill="1" applyBorder="1" applyAlignment="1">
      <alignment horizontal="left" wrapText="1"/>
      <protection/>
    </xf>
    <xf numFmtId="40" fontId="8" fillId="2" borderId="0" xfId="25" applyNumberFormat="1" applyFont="1" applyFill="1" applyBorder="1" applyAlignment="1">
      <alignment horizontal="right" wrapText="1"/>
      <protection/>
    </xf>
    <xf numFmtId="40" fontId="8" fillId="2" borderId="0" xfId="25" applyNumberFormat="1" applyFont="1" applyFill="1" applyBorder="1" applyAlignment="1">
      <alignment horizontal="right" vertical="top" wrapText="1"/>
      <protection/>
    </xf>
    <xf numFmtId="40" fontId="8" fillId="2" borderId="0" xfId="25" applyNumberFormat="1" applyFont="1" applyFill="1" applyBorder="1" applyAlignment="1">
      <alignment horizontal="left" vertical="center" wrapText="1"/>
      <protection/>
    </xf>
    <xf numFmtId="40" fontId="2" fillId="2" borderId="0" xfId="25" applyNumberFormat="1" applyFont="1" applyFill="1" applyAlignment="1">
      <alignment horizontal="left"/>
      <protection/>
    </xf>
    <xf numFmtId="0" fontId="1" fillId="2" borderId="0" xfId="22" applyFill="1" applyAlignment="1">
      <alignment horizontal="center"/>
      <protection/>
    </xf>
    <xf numFmtId="0" fontId="1" fillId="2" borderId="37" xfId="22" applyFill="1" applyBorder="1" applyAlignment="1">
      <alignment horizontal="center"/>
      <protection/>
    </xf>
    <xf numFmtId="0" fontId="33" fillId="2" borderId="5" xfId="22" applyFont="1" applyFill="1" applyBorder="1" applyAlignment="1">
      <alignment horizontal="center" vertical="center"/>
      <protection/>
    </xf>
    <xf numFmtId="0" fontId="33" fillId="2" borderId="3" xfId="22" applyFont="1" applyFill="1" applyBorder="1" applyAlignment="1">
      <alignment horizontal="center" vertical="center"/>
      <protection/>
    </xf>
    <xf numFmtId="0" fontId="33" fillId="2" borderId="4" xfId="22" applyFont="1" applyFill="1" applyBorder="1" applyAlignment="1">
      <alignment horizontal="center" vertical="center"/>
      <protection/>
    </xf>
    <xf numFmtId="0" fontId="30" fillId="2" borderId="74" xfId="25" applyNumberFormat="1" applyFont="1" applyFill="1" applyBorder="1" applyAlignment="1">
      <alignment horizontal="left" vertical="center"/>
      <protection/>
    </xf>
    <xf numFmtId="0" fontId="30" fillId="2" borderId="3" xfId="25" applyNumberFormat="1" applyFont="1" applyFill="1" applyBorder="1" applyAlignment="1">
      <alignment horizontal="left" vertical="center"/>
      <protection/>
    </xf>
    <xf numFmtId="0" fontId="30" fillId="2" borderId="75" xfId="25" applyNumberFormat="1" applyFont="1" applyFill="1" applyBorder="1" applyAlignment="1">
      <alignment horizontal="left" vertical="center"/>
      <protection/>
    </xf>
    <xf numFmtId="10" fontId="30" fillId="2" borderId="76" xfId="25" applyNumberFormat="1" applyFont="1" applyFill="1" applyBorder="1" applyAlignment="1">
      <alignment horizontal="left" vertical="center"/>
      <protection/>
    </xf>
    <xf numFmtId="10" fontId="30" fillId="2" borderId="2" xfId="25" applyNumberFormat="1" applyFont="1" applyFill="1" applyBorder="1" applyAlignment="1">
      <alignment horizontal="left" vertical="center"/>
      <protection/>
    </xf>
    <xf numFmtId="167" fontId="30" fillId="2" borderId="5" xfId="25" applyNumberFormat="1" applyFont="1" applyFill="1" applyBorder="1" applyAlignment="1">
      <alignment horizontal="center" vertical="center" wrapText="1"/>
      <protection/>
    </xf>
    <xf numFmtId="167" fontId="30" fillId="2" borderId="3" xfId="25" applyNumberFormat="1" applyFont="1" applyFill="1" applyBorder="1" applyAlignment="1">
      <alignment horizontal="center" vertical="center" wrapText="1"/>
      <protection/>
    </xf>
    <xf numFmtId="167" fontId="30" fillId="2" borderId="75" xfId="25" applyNumberFormat="1" applyFont="1" applyFill="1" applyBorder="1" applyAlignment="1">
      <alignment horizontal="center" vertical="center" wrapText="1"/>
      <protection/>
    </xf>
    <xf numFmtId="0" fontId="31" fillId="0" borderId="1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 wrapText="1"/>
    </xf>
    <xf numFmtId="0" fontId="31" fillId="0" borderId="9" xfId="0" applyFont="1" applyBorder="1" applyAlignment="1">
      <alignment horizontal="left" vertical="center" wrapText="1"/>
    </xf>
    <xf numFmtId="0" fontId="30" fillId="2" borderId="77" xfId="25" applyNumberFormat="1" applyFont="1" applyFill="1" applyBorder="1" applyAlignment="1">
      <alignment horizontal="left" vertical="center" wrapText="1"/>
      <protection/>
    </xf>
    <xf numFmtId="0" fontId="30" fillId="2" borderId="53" xfId="25" applyNumberFormat="1" applyFont="1" applyFill="1" applyBorder="1" applyAlignment="1">
      <alignment horizontal="left" vertical="center" wrapText="1"/>
      <protection/>
    </xf>
    <xf numFmtId="168" fontId="30" fillId="2" borderId="53" xfId="0" applyNumberFormat="1" applyFont="1" applyFill="1" applyBorder="1" applyAlignment="1" applyProtection="1">
      <alignment horizontal="left" vertical="center"/>
      <protection/>
    </xf>
    <xf numFmtId="168" fontId="30" fillId="2" borderId="78" xfId="0" applyNumberFormat="1" applyFont="1" applyFill="1" applyBorder="1" applyAlignment="1" applyProtection="1">
      <alignment horizontal="left" vertical="center"/>
      <protection/>
    </xf>
    <xf numFmtId="0" fontId="30" fillId="0" borderId="0" xfId="0" applyFont="1" applyBorder="1" applyAlignment="1" applyProtection="1">
      <alignment horizontal="center" vertical="center" wrapText="1"/>
      <protection/>
    </xf>
    <xf numFmtId="0" fontId="30" fillId="2" borderId="74" xfId="25" applyNumberFormat="1" applyFont="1" applyFill="1" applyBorder="1" applyAlignment="1">
      <alignment horizontal="left" vertical="center" wrapText="1"/>
      <protection/>
    </xf>
    <xf numFmtId="0" fontId="30" fillId="2" borderId="3" xfId="25" applyNumberFormat="1" applyFont="1" applyFill="1" applyBorder="1" applyAlignment="1">
      <alignment horizontal="left" vertical="center" wrapText="1"/>
      <protection/>
    </xf>
    <xf numFmtId="0" fontId="30" fillId="2" borderId="75" xfId="25" applyNumberFormat="1" applyFont="1" applyFill="1" applyBorder="1" applyAlignment="1">
      <alignment horizontal="left" vertical="center" wrapText="1"/>
      <protection/>
    </xf>
    <xf numFmtId="0" fontId="32" fillId="0" borderId="0" xfId="0" applyFont="1" applyBorder="1" applyAlignment="1">
      <alignment horizontal="center"/>
    </xf>
    <xf numFmtId="0" fontId="30" fillId="0" borderId="79" xfId="0" applyFont="1" applyBorder="1" applyAlignment="1">
      <alignment horizontal="center"/>
    </xf>
    <xf numFmtId="0" fontId="30" fillId="0" borderId="60" xfId="0" applyFont="1" applyBorder="1" applyAlignment="1">
      <alignment horizontal="center"/>
    </xf>
    <xf numFmtId="0" fontId="30" fillId="0" borderId="80" xfId="0" applyFont="1" applyBorder="1" applyAlignment="1">
      <alignment horizontal="center"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írgula" xfId="20"/>
    <cellStyle name="Moeda" xfId="21"/>
    <cellStyle name="Normal 2" xfId="22"/>
    <cellStyle name="Normal 7" xfId="23"/>
    <cellStyle name="Normal 3" xfId="24"/>
    <cellStyle name="Normal 17" xfId="25"/>
    <cellStyle name="Porcentagem" xfId="26"/>
    <cellStyle name="Porcentagem 2" xfId="2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3</xdr:col>
          <xdr:colOff>4219575</xdr:colOff>
          <xdr:row>2</xdr:row>
          <xdr:rowOff>76200</xdr:rowOff>
        </xdr:from>
        <xdr:to>
          <xdr:col>8</xdr:col>
          <xdr:colOff>990600</xdr:colOff>
          <xdr:row>9</xdr:row>
          <xdr:rowOff>85725</xdr:rowOff>
        </xdr:to>
        <xdr:sp macro="" textlink="">
          <xdr:nvSpPr>
            <xdr:cNvPr id="1025" name="Object 1" hidden="1">
              <a:extLst xmlns:a="http://schemas.openxmlformats.org/drawingml/2006/main"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FFFF" mc:Ignorable="a14" a14:legacySpreadsheetColorIndex="65"/>
            </a:solidFill>
            <a:ln xmlns:a="http://schemas.openxmlformats.org/drawingml/2006/main"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94</xdr:row>
      <xdr:rowOff>76200</xdr:rowOff>
    </xdr:from>
    <xdr:to>
      <xdr:col>1</xdr:col>
      <xdr:colOff>180975</xdr:colOff>
      <xdr:row>94</xdr:row>
      <xdr:rowOff>85725</xdr:rowOff>
    </xdr:to>
    <xdr:cxnSp macro="">
      <xdr:nvCxnSpPr>
        <xdr:cNvPr id="6" name="Conector de seta reta 5"/>
        <xdr:cNvCxnSpPr/>
      </xdr:nvCxnSpPr>
      <xdr:spPr>
        <a:xfrm>
          <a:off x="476250" y="18068925"/>
          <a:ext cx="161925" cy="9525"/>
        </a:xfrm>
        <a:prstGeom prst="straightConnector1">
          <a:avLst/>
        </a:prstGeom>
        <a:ln>
          <a:solidFill>
            <a:sysClr val="windowText" lastClr="000000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209550</xdr:colOff>
      <xdr:row>94</xdr:row>
      <xdr:rowOff>85725</xdr:rowOff>
    </xdr:from>
    <xdr:to>
      <xdr:col>13</xdr:col>
      <xdr:colOff>9525</xdr:colOff>
      <xdr:row>94</xdr:row>
      <xdr:rowOff>95250</xdr:rowOff>
    </xdr:to>
    <xdr:cxnSp macro="">
      <xdr:nvCxnSpPr>
        <xdr:cNvPr id="7" name="Conector de seta reta 6"/>
        <xdr:cNvCxnSpPr/>
      </xdr:nvCxnSpPr>
      <xdr:spPr>
        <a:xfrm flipH="1">
          <a:off x="6000750" y="18078450"/>
          <a:ext cx="209550" cy="9525"/>
        </a:xfrm>
        <a:prstGeom prst="straightConnector1">
          <a:avLst/>
        </a:prstGeom>
        <a:ln>
          <a:solidFill>
            <a:sysClr val="windowText" lastClr="000000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352425</xdr:colOff>
      <xdr:row>179</xdr:row>
      <xdr:rowOff>152400</xdr:rowOff>
    </xdr:from>
    <xdr:to>
      <xdr:col>14</xdr:col>
      <xdr:colOff>352425</xdr:colOff>
      <xdr:row>180</xdr:row>
      <xdr:rowOff>142875</xdr:rowOff>
    </xdr:to>
    <xdr:cxnSp macro="">
      <xdr:nvCxnSpPr>
        <xdr:cNvPr id="8" name="Conector de seta reta 7"/>
        <xdr:cNvCxnSpPr/>
      </xdr:nvCxnSpPr>
      <xdr:spPr>
        <a:xfrm>
          <a:off x="6962775" y="34394775"/>
          <a:ext cx="0" cy="180975"/>
        </a:xfrm>
        <a:prstGeom prst="straightConnector1">
          <a:avLst/>
        </a:prstGeom>
        <a:ln>
          <a:solidFill>
            <a:sysClr val="windowText" lastClr="000000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19050</xdr:colOff>
      <xdr:row>181</xdr:row>
      <xdr:rowOff>85725</xdr:rowOff>
    </xdr:from>
    <xdr:to>
      <xdr:col>1</xdr:col>
      <xdr:colOff>161925</xdr:colOff>
      <xdr:row>181</xdr:row>
      <xdr:rowOff>85725</xdr:rowOff>
    </xdr:to>
    <xdr:cxnSp macro="">
      <xdr:nvCxnSpPr>
        <xdr:cNvPr id="9" name="Conector de seta reta 8"/>
        <xdr:cNvCxnSpPr/>
      </xdr:nvCxnSpPr>
      <xdr:spPr>
        <a:xfrm>
          <a:off x="476250" y="34709100"/>
          <a:ext cx="142875" cy="0"/>
        </a:xfrm>
        <a:prstGeom prst="straightConnector1">
          <a:avLst/>
        </a:prstGeom>
        <a:ln>
          <a:solidFill>
            <a:sysClr val="windowText" lastClr="000000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24</xdr:row>
      <xdr:rowOff>104775</xdr:rowOff>
    </xdr:from>
    <xdr:to>
      <xdr:col>5</xdr:col>
      <xdr:colOff>171450</xdr:colOff>
      <xdr:row>24</xdr:row>
      <xdr:rowOff>581025</xdr:rowOff>
    </xdr:to>
    <xdr:pic>
      <xdr:nvPicPr>
        <xdr:cNvPr id="2" name="Picture 1" descr="image00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28675" y="5248275"/>
          <a:ext cx="3409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5" Type="http://schemas.openxmlformats.org/officeDocument/2006/relationships/image" Target="../media/image1.emf" /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116"/>
  <sheetViews>
    <sheetView tabSelected="1" view="pageBreakPreview" zoomScale="91" zoomScaleSheetLayoutView="91" workbookViewId="0" topLeftCell="A1">
      <selection activeCell="G13" sqref="G13"/>
    </sheetView>
  </sheetViews>
  <sheetFormatPr defaultColWidth="9.140625" defaultRowHeight="15"/>
  <cols>
    <col min="1" max="1" width="8.00390625" style="213" customWidth="1"/>
    <col min="2" max="2" width="10.421875" style="206" customWidth="1"/>
    <col min="3" max="3" width="8.140625" style="6" customWidth="1"/>
    <col min="4" max="4" width="64.421875" style="5" customWidth="1"/>
    <col min="5" max="5" width="7.140625" style="5" customWidth="1"/>
    <col min="6" max="6" width="9.00390625" style="7" customWidth="1"/>
    <col min="7" max="7" width="13.8515625" style="7" customWidth="1"/>
    <col min="8" max="8" width="15.421875" style="8" customWidth="1"/>
    <col min="9" max="9" width="16.421875" style="8" customWidth="1"/>
    <col min="10" max="10" width="18.8515625" style="5" customWidth="1"/>
    <col min="11" max="11" width="18.57421875" style="5" customWidth="1"/>
    <col min="12" max="12" width="19.140625" style="5" customWidth="1"/>
    <col min="13" max="16384" width="9.140625" style="5" customWidth="1"/>
  </cols>
  <sheetData>
    <row r="1" spans="1:10" ht="15.75">
      <c r="A1" s="381" t="s">
        <v>28</v>
      </c>
      <c r="B1" s="382"/>
      <c r="C1" s="382"/>
      <c r="D1" s="382"/>
      <c r="E1" s="53"/>
      <c r="F1" s="54"/>
      <c r="G1" s="55"/>
      <c r="H1" s="55"/>
      <c r="I1" s="56"/>
      <c r="J1" s="9"/>
    </row>
    <row r="2" spans="1:10" ht="15" customHeight="1">
      <c r="A2" s="214" t="s">
        <v>331</v>
      </c>
      <c r="B2" s="215"/>
      <c r="C2" s="216"/>
      <c r="D2" s="216"/>
      <c r="E2" s="36"/>
      <c r="F2" s="37"/>
      <c r="G2" s="38"/>
      <c r="H2" s="38"/>
      <c r="I2" s="39"/>
      <c r="J2" s="9"/>
    </row>
    <row r="3" spans="1:10" ht="15.75">
      <c r="A3" s="214" t="s">
        <v>304</v>
      </c>
      <c r="B3" s="217"/>
      <c r="C3" s="216"/>
      <c r="D3" s="216"/>
      <c r="E3" s="40"/>
      <c r="F3" s="41"/>
      <c r="G3" s="42"/>
      <c r="H3" s="43"/>
      <c r="I3" s="39"/>
      <c r="J3" s="9"/>
    </row>
    <row r="4" spans="1:10" ht="15.75">
      <c r="A4" s="214" t="s">
        <v>328</v>
      </c>
      <c r="B4" s="215"/>
      <c r="C4" s="216"/>
      <c r="D4" s="216"/>
      <c r="E4" s="40"/>
      <c r="F4" s="41"/>
      <c r="G4" s="43"/>
      <c r="H4" s="43"/>
      <c r="I4" s="39"/>
      <c r="J4" s="9"/>
    </row>
    <row r="5" spans="1:10" ht="15.75">
      <c r="A5" s="214" t="s">
        <v>211</v>
      </c>
      <c r="B5" s="383">
        <f>I97</f>
        <v>184709.597168088</v>
      </c>
      <c r="C5" s="384"/>
      <c r="D5" s="384"/>
      <c r="E5" s="40"/>
      <c r="F5" s="41"/>
      <c r="G5" s="43"/>
      <c r="H5" s="43"/>
      <c r="I5" s="39"/>
      <c r="J5" s="9"/>
    </row>
    <row r="6" spans="1:10" ht="15.75">
      <c r="A6" s="214" t="s">
        <v>212</v>
      </c>
      <c r="B6" s="216" t="s">
        <v>246</v>
      </c>
      <c r="C6" s="216"/>
      <c r="D6" s="216"/>
      <c r="E6" s="44"/>
      <c r="F6" s="45"/>
      <c r="G6" s="46"/>
      <c r="H6" s="47"/>
      <c r="I6" s="39"/>
      <c r="J6" s="9"/>
    </row>
    <row r="7" spans="1:10" ht="15.75">
      <c r="A7" s="214" t="s">
        <v>234</v>
      </c>
      <c r="B7" s="218"/>
      <c r="C7" s="216"/>
      <c r="D7" s="216"/>
      <c r="E7" s="44"/>
      <c r="F7" s="45"/>
      <c r="G7" s="46"/>
      <c r="H7" s="47"/>
      <c r="I7" s="39"/>
      <c r="J7" s="9"/>
    </row>
    <row r="8" spans="1:10" ht="15.75">
      <c r="A8" s="219" t="s">
        <v>316</v>
      </c>
      <c r="B8" s="218"/>
      <c r="C8" s="216"/>
      <c r="D8" s="216"/>
      <c r="E8" s="44"/>
      <c r="F8" s="45"/>
      <c r="G8" s="46"/>
      <c r="H8" s="47"/>
      <c r="I8" s="39"/>
      <c r="J8" s="9"/>
    </row>
    <row r="9" spans="1:10" ht="15.75">
      <c r="A9" s="219" t="s">
        <v>305</v>
      </c>
      <c r="B9" s="218"/>
      <c r="C9" s="220"/>
      <c r="D9" s="216"/>
      <c r="E9" s="44"/>
      <c r="F9" s="45"/>
      <c r="G9" s="46"/>
      <c r="H9" s="47"/>
      <c r="I9" s="39"/>
      <c r="J9" s="9"/>
    </row>
    <row r="10" spans="1:10" ht="16.5" thickBot="1">
      <c r="A10" s="336">
        <f>BDI!I25</f>
        <v>0.305</v>
      </c>
      <c r="B10" s="221"/>
      <c r="C10" s="222"/>
      <c r="D10" s="222"/>
      <c r="E10" s="48"/>
      <c r="F10" s="49"/>
      <c r="G10" s="50"/>
      <c r="H10" s="51"/>
      <c r="I10" s="52"/>
      <c r="J10" s="9">
        <v>1.305</v>
      </c>
    </row>
    <row r="11" spans="1:14" s="4" customFormat="1" ht="13.5" customHeight="1" thickBot="1">
      <c r="A11" s="207" t="s">
        <v>23</v>
      </c>
      <c r="B11" s="191" t="s">
        <v>24</v>
      </c>
      <c r="C11" s="61" t="s">
        <v>0</v>
      </c>
      <c r="D11" s="62" t="s">
        <v>1</v>
      </c>
      <c r="E11" s="61" t="s">
        <v>2</v>
      </c>
      <c r="F11" s="63" t="s">
        <v>3</v>
      </c>
      <c r="G11" s="63" t="s">
        <v>25</v>
      </c>
      <c r="H11" s="64" t="s">
        <v>26</v>
      </c>
      <c r="I11" s="65" t="s">
        <v>27</v>
      </c>
      <c r="J11" s="3"/>
      <c r="K11" s="1"/>
      <c r="L11" s="2"/>
      <c r="M11" s="1"/>
      <c r="N11" s="1"/>
    </row>
    <row r="12" spans="1:9" s="66" customFormat="1" ht="15.75" thickBot="1">
      <c r="A12" s="208"/>
      <c r="B12" s="192"/>
      <c r="C12" s="30">
        <v>1</v>
      </c>
      <c r="D12" s="31" t="s">
        <v>5</v>
      </c>
      <c r="E12" s="30"/>
      <c r="F12" s="32"/>
      <c r="G12" s="32"/>
      <c r="H12" s="33"/>
      <c r="I12" s="34">
        <f>SUM(I13:I15)</f>
        <v>22600.839032999997</v>
      </c>
    </row>
    <row r="13" spans="1:9" s="66" customFormat="1" ht="24">
      <c r="A13" s="211" t="s">
        <v>306</v>
      </c>
      <c r="B13" s="250">
        <v>10000</v>
      </c>
      <c r="C13" s="158" t="s">
        <v>4</v>
      </c>
      <c r="D13" s="147" t="s">
        <v>329</v>
      </c>
      <c r="E13" s="183" t="s">
        <v>6</v>
      </c>
      <c r="F13" s="352">
        <v>1</v>
      </c>
      <c r="G13" s="162">
        <v>11544.46</v>
      </c>
      <c r="H13" s="273">
        <f>G13*$J$10</f>
        <v>15065.520299999998</v>
      </c>
      <c r="I13" s="190">
        <f>H13*F13</f>
        <v>15065.520299999998</v>
      </c>
    </row>
    <row r="14" spans="1:9" s="67" customFormat="1" ht="24">
      <c r="A14" s="211" t="s">
        <v>306</v>
      </c>
      <c r="B14" s="250">
        <v>10004</v>
      </c>
      <c r="C14" s="290" t="s">
        <v>182</v>
      </c>
      <c r="D14" s="378" t="s">
        <v>209</v>
      </c>
      <c r="E14" s="379" t="s">
        <v>6</v>
      </c>
      <c r="F14" s="353">
        <f>'memória de cálculo'!C7</f>
        <v>6</v>
      </c>
      <c r="G14" s="354">
        <v>380.15</v>
      </c>
      <c r="H14" s="338">
        <f>G14*$J$10</f>
        <v>496.09574999999995</v>
      </c>
      <c r="I14" s="380">
        <f>H14*F14</f>
        <v>2976.5744999999997</v>
      </c>
    </row>
    <row r="15" spans="1:9" s="67" customFormat="1" ht="21.75" customHeight="1" thickBot="1">
      <c r="A15" s="211" t="s">
        <v>306</v>
      </c>
      <c r="B15" s="193">
        <v>10009</v>
      </c>
      <c r="C15" s="154" t="s">
        <v>330</v>
      </c>
      <c r="D15" s="181" t="s">
        <v>33</v>
      </c>
      <c r="E15" s="182" t="s">
        <v>6</v>
      </c>
      <c r="F15" s="353">
        <f>'memória de cálculo'!C12</f>
        <v>843.79</v>
      </c>
      <c r="G15" s="157">
        <v>4.14</v>
      </c>
      <c r="H15" s="274">
        <f>G15*$J$10</f>
        <v>5.402699999999999</v>
      </c>
      <c r="I15" s="189">
        <f>H15*F15</f>
        <v>4558.744232999999</v>
      </c>
    </row>
    <row r="16" spans="1:9" s="67" customFormat="1" ht="3.75" customHeight="1">
      <c r="A16" s="251"/>
      <c r="B16" s="252"/>
      <c r="C16" s="253"/>
      <c r="D16" s="254"/>
      <c r="E16" s="255"/>
      <c r="F16" s="256"/>
      <c r="G16" s="257"/>
      <c r="H16" s="258"/>
      <c r="I16" s="257"/>
    </row>
    <row r="17" spans="1:9" s="67" customFormat="1" ht="15">
      <c r="A17" s="259"/>
      <c r="B17" s="260"/>
      <c r="C17" s="261">
        <v>2</v>
      </c>
      <c r="D17" s="262" t="s">
        <v>29</v>
      </c>
      <c r="E17" s="263"/>
      <c r="F17" s="264"/>
      <c r="G17" s="264"/>
      <c r="H17" s="265"/>
      <c r="I17" s="266">
        <f>SUM(I18:I24)</f>
        <v>70746.14865923999</v>
      </c>
    </row>
    <row r="18" spans="1:9" s="67" customFormat="1" ht="17.25" customHeight="1">
      <c r="A18" s="211" t="s">
        <v>306</v>
      </c>
      <c r="B18" s="200">
        <v>130492</v>
      </c>
      <c r="C18" s="103" t="s">
        <v>34</v>
      </c>
      <c r="D18" s="267" t="s">
        <v>238</v>
      </c>
      <c r="E18" s="268" t="s">
        <v>6</v>
      </c>
      <c r="F18" s="351">
        <f>'memória de cálculo'!C18</f>
        <v>123.6</v>
      </c>
      <c r="G18" s="269">
        <v>79.74</v>
      </c>
      <c r="H18" s="275">
        <f>G18*$J$10</f>
        <v>104.06069999999998</v>
      </c>
      <c r="I18" s="118">
        <f aca="true" t="shared" si="0" ref="I18:I23">H18*F18</f>
        <v>12861.902519999998</v>
      </c>
    </row>
    <row r="19" spans="1:9" ht="27.75" customHeight="1">
      <c r="A19" s="211" t="s">
        <v>306</v>
      </c>
      <c r="B19" s="250">
        <v>260728</v>
      </c>
      <c r="C19" s="103" t="s">
        <v>160</v>
      </c>
      <c r="D19" s="116" t="s">
        <v>166</v>
      </c>
      <c r="E19" s="117" t="s">
        <v>6</v>
      </c>
      <c r="F19" s="351">
        <f>'memória de cálculo'!C23</f>
        <v>252.74</v>
      </c>
      <c r="G19" s="118">
        <v>79.99</v>
      </c>
      <c r="H19" s="275">
        <f aca="true" t="shared" si="1" ref="H19:H24">G19*$J$10</f>
        <v>104.38694999999998</v>
      </c>
      <c r="I19" s="118">
        <f t="shared" si="0"/>
        <v>26382.757743</v>
      </c>
    </row>
    <row r="20" spans="1:9" ht="51.75" customHeight="1">
      <c r="A20" s="211" t="s">
        <v>32</v>
      </c>
      <c r="B20" s="250">
        <v>95990</v>
      </c>
      <c r="C20" s="103" t="s">
        <v>177</v>
      </c>
      <c r="D20" s="176" t="s">
        <v>326</v>
      </c>
      <c r="E20" s="177" t="s">
        <v>7</v>
      </c>
      <c r="F20" s="351">
        <f>'memória de cálculo'!C28</f>
        <v>13.6851</v>
      </c>
      <c r="G20" s="179">
        <v>958.68</v>
      </c>
      <c r="H20" s="275">
        <f aca="true" t="shared" si="2" ref="H20">G20*$J$10</f>
        <v>1251.0774</v>
      </c>
      <c r="I20" s="118">
        <f t="shared" si="0"/>
        <v>17121.119326739998</v>
      </c>
    </row>
    <row r="21" spans="1:9" ht="24">
      <c r="A21" s="211" t="s">
        <v>306</v>
      </c>
      <c r="B21" s="115">
        <v>260519</v>
      </c>
      <c r="C21" s="103" t="s">
        <v>35</v>
      </c>
      <c r="D21" s="116" t="s">
        <v>173</v>
      </c>
      <c r="E21" s="117" t="s">
        <v>37</v>
      </c>
      <c r="F21" s="351">
        <f>'memória de cálculo'!C35</f>
        <v>108.49000000000001</v>
      </c>
      <c r="G21" s="118">
        <v>24.46</v>
      </c>
      <c r="H21" s="275">
        <f>G21*$J$10</f>
        <v>31.9203</v>
      </c>
      <c r="I21" s="118">
        <f t="shared" si="0"/>
        <v>3463.0333470000005</v>
      </c>
    </row>
    <row r="22" spans="1:9" ht="15">
      <c r="A22" s="211"/>
      <c r="B22" s="115">
        <v>260523</v>
      </c>
      <c r="C22" s="103" t="s">
        <v>36</v>
      </c>
      <c r="D22" s="116" t="s">
        <v>320</v>
      </c>
      <c r="E22" s="117" t="s">
        <v>37</v>
      </c>
      <c r="F22" s="351">
        <f>'memória de cálculo'!C40</f>
        <v>143.91</v>
      </c>
      <c r="G22" s="118">
        <v>40.71</v>
      </c>
      <c r="H22" s="275">
        <f>G22*$J$10</f>
        <v>53.12655</v>
      </c>
      <c r="I22" s="118">
        <f t="shared" si="0"/>
        <v>7645.4418105</v>
      </c>
    </row>
    <row r="23" spans="1:9" ht="21.75" customHeight="1">
      <c r="A23" s="211" t="s">
        <v>306</v>
      </c>
      <c r="B23" s="115">
        <v>150654</v>
      </c>
      <c r="C23" s="103" t="s">
        <v>174</v>
      </c>
      <c r="D23" s="116" t="s">
        <v>245</v>
      </c>
      <c r="E23" s="117" t="s">
        <v>6</v>
      </c>
      <c r="F23" s="351">
        <f>'memória de cálculo'!C46</f>
        <v>50.480000000000004</v>
      </c>
      <c r="G23" s="118">
        <v>7.08</v>
      </c>
      <c r="H23" s="275">
        <f>G23*$J$10</f>
        <v>9.2394</v>
      </c>
      <c r="I23" s="118">
        <f t="shared" si="0"/>
        <v>466.404912</v>
      </c>
    </row>
    <row r="24" spans="1:9" ht="24" customHeight="1" thickBot="1">
      <c r="A24" s="282" t="s">
        <v>32</v>
      </c>
      <c r="B24" s="115">
        <v>98516</v>
      </c>
      <c r="C24" s="103" t="s">
        <v>237</v>
      </c>
      <c r="D24" s="116" t="s">
        <v>259</v>
      </c>
      <c r="E24" s="117" t="s">
        <v>30</v>
      </c>
      <c r="F24" s="351">
        <v>10</v>
      </c>
      <c r="G24" s="285">
        <v>214.98</v>
      </c>
      <c r="H24" s="275">
        <f t="shared" si="1"/>
        <v>280.54889999999995</v>
      </c>
      <c r="I24" s="118">
        <f aca="true" t="shared" si="3" ref="I24:I52">H24*F24</f>
        <v>2805.4889999999996</v>
      </c>
    </row>
    <row r="25" spans="1:9" s="67" customFormat="1" ht="3.75" customHeight="1" thickBot="1">
      <c r="A25" s="209"/>
      <c r="B25" s="194"/>
      <c r="C25" s="93"/>
      <c r="D25" s="94"/>
      <c r="E25" s="95"/>
      <c r="F25" s="96"/>
      <c r="G25" s="97"/>
      <c r="H25" s="98"/>
      <c r="I25" s="97"/>
    </row>
    <row r="26" spans="1:9" ht="15" thickBot="1">
      <c r="A26" s="210"/>
      <c r="B26" s="195"/>
      <c r="C26" s="30">
        <v>3</v>
      </c>
      <c r="D26" s="31" t="s">
        <v>60</v>
      </c>
      <c r="E26" s="245" t="s">
        <v>61</v>
      </c>
      <c r="F26" s="244">
        <v>2</v>
      </c>
      <c r="G26" s="32"/>
      <c r="H26" s="246">
        <f>SUM(I27,I33,I36,I38,I45,I50,I53,I57,I59,I66)</f>
        <v>28505.330020674002</v>
      </c>
      <c r="I26" s="34">
        <f>H26*F26</f>
        <v>57010.660041348005</v>
      </c>
    </row>
    <row r="27" spans="1:9" ht="15" thickBot="1">
      <c r="A27" s="210"/>
      <c r="B27" s="195"/>
      <c r="C27" s="30" t="s">
        <v>8</v>
      </c>
      <c r="D27" s="31" t="s">
        <v>62</v>
      </c>
      <c r="E27" s="70"/>
      <c r="F27" s="32"/>
      <c r="G27" s="32"/>
      <c r="H27" s="68"/>
      <c r="I27" s="34">
        <f>SUM(I28:I32)</f>
        <v>2257.1390282940006</v>
      </c>
    </row>
    <row r="28" spans="1:9" ht="20.25" customHeight="1">
      <c r="A28" s="211" t="s">
        <v>306</v>
      </c>
      <c r="B28" s="172">
        <v>30010</v>
      </c>
      <c r="C28" s="148" t="s">
        <v>38</v>
      </c>
      <c r="D28" s="146" t="s">
        <v>207</v>
      </c>
      <c r="E28" s="149" t="s">
        <v>63</v>
      </c>
      <c r="F28" s="350">
        <f>'memória de cálculo'!C56</f>
        <v>1.497</v>
      </c>
      <c r="G28" s="143">
        <v>41.34</v>
      </c>
      <c r="H28" s="278">
        <f>G28*$J$10</f>
        <v>53.9487</v>
      </c>
      <c r="I28" s="150">
        <f t="shared" si="3"/>
        <v>80.76120390000001</v>
      </c>
    </row>
    <row r="29" spans="1:9" ht="21" customHeight="1">
      <c r="A29" s="211" t="s">
        <v>306</v>
      </c>
      <c r="B29" s="141">
        <v>40257</v>
      </c>
      <c r="C29" s="120" t="s">
        <v>39</v>
      </c>
      <c r="D29" s="139" t="s">
        <v>208</v>
      </c>
      <c r="E29" s="71" t="s">
        <v>7</v>
      </c>
      <c r="F29" s="345">
        <f>'memória de cálculo'!C61</f>
        <v>0.08982</v>
      </c>
      <c r="G29" s="24">
        <v>483.74</v>
      </c>
      <c r="H29" s="275">
        <f>G29*$J$10</f>
        <v>631.2807</v>
      </c>
      <c r="I29" s="118">
        <f t="shared" si="3"/>
        <v>56.701632474</v>
      </c>
    </row>
    <row r="30" spans="1:9" ht="20.25" customHeight="1">
      <c r="A30" s="211" t="s">
        <v>306</v>
      </c>
      <c r="B30" s="141">
        <v>40285</v>
      </c>
      <c r="C30" s="120" t="s">
        <v>40</v>
      </c>
      <c r="D30" s="139" t="s">
        <v>261</v>
      </c>
      <c r="E30" s="71" t="s">
        <v>63</v>
      </c>
      <c r="F30" s="345">
        <f>'memória de cálculo'!C66</f>
        <v>1.1976000000000002</v>
      </c>
      <c r="G30" s="24">
        <v>1057.89</v>
      </c>
      <c r="H30" s="275">
        <f>G30*$J$10</f>
        <v>1380.54645</v>
      </c>
      <c r="I30" s="118">
        <f t="shared" si="3"/>
        <v>1653.3424285200003</v>
      </c>
    </row>
    <row r="31" spans="1:9" ht="24">
      <c r="A31" s="211" t="s">
        <v>306</v>
      </c>
      <c r="B31" s="141">
        <v>80293</v>
      </c>
      <c r="C31" s="120" t="s">
        <v>41</v>
      </c>
      <c r="D31" s="139" t="s">
        <v>167</v>
      </c>
      <c r="E31" s="71" t="s">
        <v>54</v>
      </c>
      <c r="F31" s="345">
        <f>'memória de cálculo'!C71</f>
        <v>5.988</v>
      </c>
      <c r="G31" s="24">
        <v>54.17</v>
      </c>
      <c r="H31" s="275">
        <f>G31*$J$10</f>
        <v>70.69185</v>
      </c>
      <c r="I31" s="118">
        <f t="shared" si="3"/>
        <v>423.30279780000006</v>
      </c>
    </row>
    <row r="32" spans="1:9" ht="21" customHeight="1" thickBot="1">
      <c r="A32" s="211" t="s">
        <v>306</v>
      </c>
      <c r="B32" s="141">
        <v>50037</v>
      </c>
      <c r="C32" s="120" t="s">
        <v>82</v>
      </c>
      <c r="D32" s="139" t="s">
        <v>64</v>
      </c>
      <c r="E32" s="71" t="s">
        <v>54</v>
      </c>
      <c r="F32" s="345">
        <f>'memória de cálculo'!C76</f>
        <v>7.984000000000001</v>
      </c>
      <c r="G32" s="24">
        <v>4.13</v>
      </c>
      <c r="H32" s="275">
        <f>G32*$J$10</f>
        <v>5.38965</v>
      </c>
      <c r="I32" s="118">
        <f t="shared" si="3"/>
        <v>43.0309656</v>
      </c>
    </row>
    <row r="33" spans="1:9" ht="15" thickBot="1">
      <c r="A33" s="210"/>
      <c r="B33" s="195"/>
      <c r="C33" s="30" t="s">
        <v>9</v>
      </c>
      <c r="D33" s="31" t="s">
        <v>65</v>
      </c>
      <c r="E33" s="70"/>
      <c r="F33" s="32"/>
      <c r="G33" s="32"/>
      <c r="H33" s="68"/>
      <c r="I33" s="34">
        <f>SUM(I34:I35)</f>
        <v>3608.52028542</v>
      </c>
    </row>
    <row r="34" spans="1:9" ht="21.75" customHeight="1">
      <c r="A34" s="211" t="s">
        <v>306</v>
      </c>
      <c r="B34" s="140">
        <v>50729</v>
      </c>
      <c r="C34" s="158" t="s">
        <v>42</v>
      </c>
      <c r="D34" s="159" t="s">
        <v>66</v>
      </c>
      <c r="E34" s="160" t="s">
        <v>63</v>
      </c>
      <c r="F34" s="344">
        <f>'memória de cálculo'!C82</f>
        <v>0.568</v>
      </c>
      <c r="G34" s="161">
        <v>2196.15</v>
      </c>
      <c r="H34" s="273">
        <f>G34*$J$10</f>
        <v>2865.97575</v>
      </c>
      <c r="I34" s="162">
        <f t="shared" si="3"/>
        <v>1627.874226</v>
      </c>
    </row>
    <row r="35" spans="1:9" ht="22.5" customHeight="1" thickBot="1">
      <c r="A35" s="211" t="s">
        <v>306</v>
      </c>
      <c r="B35" s="142">
        <v>50757</v>
      </c>
      <c r="C35" s="154" t="s">
        <v>43</v>
      </c>
      <c r="D35" s="155" t="s">
        <v>67</v>
      </c>
      <c r="E35" s="156" t="s">
        <v>63</v>
      </c>
      <c r="F35" s="349">
        <f>'memória de cálculo'!C87</f>
        <v>0.5988000000000001</v>
      </c>
      <c r="G35" s="144">
        <v>2534.63</v>
      </c>
      <c r="H35" s="274">
        <f>G35*$J$10</f>
        <v>3307.69215</v>
      </c>
      <c r="I35" s="157">
        <f t="shared" si="3"/>
        <v>1980.6460594200003</v>
      </c>
    </row>
    <row r="36" spans="1:9" ht="15" thickBot="1">
      <c r="A36" s="210"/>
      <c r="B36" s="195"/>
      <c r="C36" s="30" t="s">
        <v>10</v>
      </c>
      <c r="D36" s="31" t="s">
        <v>68</v>
      </c>
      <c r="E36" s="70"/>
      <c r="F36" s="32"/>
      <c r="G36" s="32"/>
      <c r="H36" s="68"/>
      <c r="I36" s="34">
        <f>SUM(I37)</f>
        <v>1626.410016</v>
      </c>
    </row>
    <row r="37" spans="1:9" ht="19.5" customHeight="1" thickBot="1">
      <c r="A37" s="211" t="s">
        <v>306</v>
      </c>
      <c r="B37" s="196">
        <v>60045</v>
      </c>
      <c r="C37" s="100" t="s">
        <v>135</v>
      </c>
      <c r="D37" s="102" t="s">
        <v>168</v>
      </c>
      <c r="E37" s="71" t="s">
        <v>54</v>
      </c>
      <c r="F37" s="345">
        <f>'memória de cálculo'!C98</f>
        <v>19.67</v>
      </c>
      <c r="G37" s="24">
        <v>63.36</v>
      </c>
      <c r="H37" s="279">
        <f>G37*$J$10</f>
        <v>82.6848</v>
      </c>
      <c r="I37" s="101">
        <f t="shared" si="3"/>
        <v>1626.410016</v>
      </c>
    </row>
    <row r="38" spans="1:9" ht="15" thickBot="1">
      <c r="A38" s="210"/>
      <c r="B38" s="195"/>
      <c r="C38" s="30" t="s">
        <v>126</v>
      </c>
      <c r="D38" s="31" t="s">
        <v>15</v>
      </c>
      <c r="E38" s="70"/>
      <c r="F38" s="32"/>
      <c r="G38" s="32"/>
      <c r="H38" s="68"/>
      <c r="I38" s="34">
        <f>SUM(I39:I44)</f>
        <v>4196.367046259999</v>
      </c>
    </row>
    <row r="39" spans="1:9" ht="21.75" customHeight="1">
      <c r="A39" s="211" t="s">
        <v>306</v>
      </c>
      <c r="B39" s="140">
        <v>70052</v>
      </c>
      <c r="C39" s="148" t="s">
        <v>44</v>
      </c>
      <c r="D39" s="146" t="s">
        <v>69</v>
      </c>
      <c r="E39" s="149" t="s">
        <v>54</v>
      </c>
      <c r="F39" s="346">
        <f>'memória de cálculo'!C104</f>
        <v>17.4312</v>
      </c>
      <c r="G39" s="284">
        <v>71.84</v>
      </c>
      <c r="H39" s="278">
        <f>G39*$J$10</f>
        <v>93.7512</v>
      </c>
      <c r="I39" s="150">
        <f t="shared" si="3"/>
        <v>1634.19591744</v>
      </c>
    </row>
    <row r="40" spans="1:9" ht="21.75" customHeight="1">
      <c r="A40" s="211" t="s">
        <v>306</v>
      </c>
      <c r="B40" s="141">
        <v>70058</v>
      </c>
      <c r="C40" s="120" t="s">
        <v>45</v>
      </c>
      <c r="D40" s="139" t="s">
        <v>71</v>
      </c>
      <c r="E40" s="71" t="s">
        <v>54</v>
      </c>
      <c r="F40" s="345">
        <f>'memória de cálculo'!C104</f>
        <v>17.4312</v>
      </c>
      <c r="G40" s="24">
        <v>54.92</v>
      </c>
      <c r="H40" s="275">
        <f>G40*$J$10</f>
        <v>71.6706</v>
      </c>
      <c r="I40" s="118">
        <f>H40*F40</f>
        <v>1249.30456272</v>
      </c>
    </row>
    <row r="41" spans="1:9" ht="21.75" customHeight="1">
      <c r="A41" s="211" t="s">
        <v>306</v>
      </c>
      <c r="B41" s="141">
        <v>70287</v>
      </c>
      <c r="C41" s="120" t="s">
        <v>46</v>
      </c>
      <c r="D41" s="102" t="s">
        <v>70</v>
      </c>
      <c r="E41" s="71" t="s">
        <v>53</v>
      </c>
      <c r="F41" s="345">
        <f>'memória de cálculo'!C109</f>
        <v>12.56</v>
      </c>
      <c r="G41" s="24">
        <v>19.4</v>
      </c>
      <c r="H41" s="275">
        <f aca="true" t="shared" si="4" ref="H41:H71">G41*$J$10</f>
        <v>25.316999999999997</v>
      </c>
      <c r="I41" s="118">
        <f t="shared" si="3"/>
        <v>317.98152</v>
      </c>
    </row>
    <row r="42" spans="1:9" ht="21.75" customHeight="1">
      <c r="A42" s="211" t="s">
        <v>306</v>
      </c>
      <c r="B42" s="197">
        <v>70241</v>
      </c>
      <c r="C42" s="120" t="s">
        <v>137</v>
      </c>
      <c r="D42" s="139" t="s">
        <v>307</v>
      </c>
      <c r="E42" s="71" t="s">
        <v>63</v>
      </c>
      <c r="F42" s="345">
        <f>'memória de cálculo'!C115</f>
        <v>34</v>
      </c>
      <c r="G42" s="286">
        <v>10.05</v>
      </c>
      <c r="H42" s="275">
        <f>G42*$J$10</f>
        <v>13.11525</v>
      </c>
      <c r="I42" s="118">
        <f>H42*F42</f>
        <v>445.9185</v>
      </c>
    </row>
    <row r="43" spans="1:9" ht="21.75" customHeight="1">
      <c r="A43" s="211" t="s">
        <v>306</v>
      </c>
      <c r="B43" s="141">
        <v>140348</v>
      </c>
      <c r="C43" s="120" t="s">
        <v>138</v>
      </c>
      <c r="D43" s="139" t="s">
        <v>248</v>
      </c>
      <c r="E43" s="71" t="s">
        <v>54</v>
      </c>
      <c r="F43" s="345">
        <f>'memória de cálculo'!C120</f>
        <v>6.762</v>
      </c>
      <c r="G43" s="24">
        <v>38.33</v>
      </c>
      <c r="H43" s="275">
        <f>G43*$J$10</f>
        <v>50.020649999999996</v>
      </c>
      <c r="I43" s="118">
        <f>H43*F43</f>
        <v>338.2396353</v>
      </c>
    </row>
    <row r="44" spans="1:9" ht="21" customHeight="1" thickBot="1">
      <c r="A44" s="211" t="s">
        <v>306</v>
      </c>
      <c r="B44" s="141">
        <v>141336</v>
      </c>
      <c r="C44" s="120" t="s">
        <v>162</v>
      </c>
      <c r="D44" s="151" t="s">
        <v>249</v>
      </c>
      <c r="E44" s="152" t="s">
        <v>54</v>
      </c>
      <c r="F44" s="347">
        <f>'memória de cálculo'!C125</f>
        <v>6.762</v>
      </c>
      <c r="G44" s="153">
        <v>23.88</v>
      </c>
      <c r="H44" s="277">
        <f t="shared" si="4"/>
        <v>31.163399999999996</v>
      </c>
      <c r="I44" s="99">
        <f t="shared" si="3"/>
        <v>210.72691079999996</v>
      </c>
    </row>
    <row r="45" spans="1:9" ht="15" thickBot="1">
      <c r="A45" s="210"/>
      <c r="B45" s="195"/>
      <c r="C45" s="30" t="s">
        <v>127</v>
      </c>
      <c r="D45" s="31" t="s">
        <v>16</v>
      </c>
      <c r="E45" s="70"/>
      <c r="F45" s="32"/>
      <c r="G45" s="32"/>
      <c r="H45" s="68"/>
      <c r="I45" s="34">
        <f>SUM(I46:I49)</f>
        <v>4363.646472</v>
      </c>
    </row>
    <row r="46" spans="1:9" ht="22.5" customHeight="1">
      <c r="A46" s="211" t="s">
        <v>306</v>
      </c>
      <c r="B46" s="140">
        <v>110143</v>
      </c>
      <c r="C46" s="148" t="s">
        <v>139</v>
      </c>
      <c r="D46" s="146" t="s">
        <v>169</v>
      </c>
      <c r="E46" s="149" t="s">
        <v>54</v>
      </c>
      <c r="F46" s="346">
        <f>'memória de cálculo'!C131</f>
        <v>39.34</v>
      </c>
      <c r="G46" s="143">
        <v>8.58</v>
      </c>
      <c r="H46" s="278">
        <f t="shared" si="4"/>
        <v>11.1969</v>
      </c>
      <c r="I46" s="150">
        <f t="shared" si="3"/>
        <v>440.486046</v>
      </c>
    </row>
    <row r="47" spans="1:9" ht="20.25" customHeight="1">
      <c r="A47" s="211" t="s">
        <v>306</v>
      </c>
      <c r="B47" s="141">
        <v>110762</v>
      </c>
      <c r="C47" s="120" t="s">
        <v>140</v>
      </c>
      <c r="D47" s="102" t="s">
        <v>170</v>
      </c>
      <c r="E47" s="71" t="s">
        <v>54</v>
      </c>
      <c r="F47" s="345">
        <f>'memória de cálculo'!C131</f>
        <v>39.34</v>
      </c>
      <c r="G47" s="188">
        <v>29.53</v>
      </c>
      <c r="H47" s="275">
        <f t="shared" si="4"/>
        <v>38.53665</v>
      </c>
      <c r="I47" s="118">
        <f t="shared" si="3"/>
        <v>1516.0318110000003</v>
      </c>
    </row>
    <row r="48" spans="1:9" ht="18.75" customHeight="1">
      <c r="A48" s="211" t="s">
        <v>306</v>
      </c>
      <c r="B48" s="141">
        <v>110644</v>
      </c>
      <c r="C48" s="120" t="s">
        <v>141</v>
      </c>
      <c r="D48" s="102" t="s">
        <v>251</v>
      </c>
      <c r="E48" s="71" t="s">
        <v>54</v>
      </c>
      <c r="F48" s="345">
        <f>'memória de cálculo'!C139</f>
        <v>14.79</v>
      </c>
      <c r="G48" s="24">
        <v>61.06</v>
      </c>
      <c r="H48" s="275">
        <f t="shared" si="4"/>
        <v>79.6833</v>
      </c>
      <c r="I48" s="118">
        <f t="shared" si="3"/>
        <v>1178.516007</v>
      </c>
    </row>
    <row r="49" spans="1:9" ht="21.75" customHeight="1" thickBot="1">
      <c r="A49" s="211" t="s">
        <v>306</v>
      </c>
      <c r="B49" s="142">
        <v>110653</v>
      </c>
      <c r="C49" s="154" t="s">
        <v>136</v>
      </c>
      <c r="D49" s="187" t="s">
        <v>72</v>
      </c>
      <c r="E49" s="156" t="s">
        <v>54</v>
      </c>
      <c r="F49" s="345">
        <f>'memória de cálculo'!C144</f>
        <v>2.56</v>
      </c>
      <c r="G49" s="144">
        <v>367.76</v>
      </c>
      <c r="H49" s="274">
        <f t="shared" si="4"/>
        <v>479.92679999999996</v>
      </c>
      <c r="I49" s="157">
        <f t="shared" si="3"/>
        <v>1228.612608</v>
      </c>
    </row>
    <row r="50" spans="1:9" ht="15" thickBot="1">
      <c r="A50" s="210"/>
      <c r="B50" s="195"/>
      <c r="C50" s="30" t="s">
        <v>128</v>
      </c>
      <c r="D50" s="31" t="s">
        <v>17</v>
      </c>
      <c r="E50" s="70"/>
      <c r="F50" s="32"/>
      <c r="G50" s="32"/>
      <c r="H50" s="68"/>
      <c r="I50" s="34">
        <f>SUM(I51:I52)</f>
        <v>1178.3234672999997</v>
      </c>
    </row>
    <row r="51" spans="1:9" ht="30">
      <c r="A51" s="283" t="s">
        <v>32</v>
      </c>
      <c r="B51" s="140">
        <v>87702</v>
      </c>
      <c r="C51" s="158" t="s">
        <v>142</v>
      </c>
      <c r="D51" s="138" t="s">
        <v>201</v>
      </c>
      <c r="E51" s="149" t="s">
        <v>54</v>
      </c>
      <c r="F51" s="346">
        <f>'memória de cálculo'!C160</f>
        <v>6.762</v>
      </c>
      <c r="G51" s="287">
        <v>46.17</v>
      </c>
      <c r="H51" s="278">
        <f t="shared" si="4"/>
        <v>60.25185</v>
      </c>
      <c r="I51" s="150">
        <f t="shared" si="3"/>
        <v>407.42300969999997</v>
      </c>
    </row>
    <row r="52" spans="1:9" ht="22.5" customHeight="1" thickBot="1">
      <c r="A52" s="211" t="s">
        <v>306</v>
      </c>
      <c r="B52" s="141">
        <v>130725</v>
      </c>
      <c r="C52" s="120" t="s">
        <v>143</v>
      </c>
      <c r="D52" s="139" t="s">
        <v>309</v>
      </c>
      <c r="E52" s="71" t="s">
        <v>54</v>
      </c>
      <c r="F52" s="345">
        <f>'memória de cálculo'!C150</f>
        <v>6.762</v>
      </c>
      <c r="G52" s="24">
        <v>87.36</v>
      </c>
      <c r="H52" s="275">
        <f t="shared" si="4"/>
        <v>114.00479999999999</v>
      </c>
      <c r="I52" s="118">
        <f t="shared" si="3"/>
        <v>770.9004575999999</v>
      </c>
    </row>
    <row r="53" spans="1:9" ht="15" thickBot="1">
      <c r="A53" s="210"/>
      <c r="B53" s="195"/>
      <c r="C53" s="30" t="s">
        <v>129</v>
      </c>
      <c r="D53" s="31" t="s">
        <v>73</v>
      </c>
      <c r="E53" s="70"/>
      <c r="F53" s="32"/>
      <c r="G53" s="32"/>
      <c r="H53" s="68"/>
      <c r="I53" s="34">
        <f>SUM(I54:I56)</f>
        <v>4761.5247899999995</v>
      </c>
    </row>
    <row r="54" spans="1:9" ht="21" customHeight="1">
      <c r="A54" s="211" t="s">
        <v>306</v>
      </c>
      <c r="B54" s="140">
        <v>90070</v>
      </c>
      <c r="C54" s="148" t="s">
        <v>145</v>
      </c>
      <c r="D54" s="146" t="s">
        <v>74</v>
      </c>
      <c r="E54" s="149" t="s">
        <v>54</v>
      </c>
      <c r="F54" s="346">
        <f>'memória de cálculo'!C166</f>
        <v>6.959999999999999</v>
      </c>
      <c r="G54" s="143">
        <v>399.76</v>
      </c>
      <c r="H54" s="278">
        <f t="shared" si="4"/>
        <v>521.6868</v>
      </c>
      <c r="I54" s="150">
        <f>H54*F54</f>
        <v>3630.9401279999993</v>
      </c>
    </row>
    <row r="55" spans="1:9" ht="30">
      <c r="A55" s="211" t="s">
        <v>306</v>
      </c>
      <c r="B55" s="141">
        <v>91500</v>
      </c>
      <c r="C55" s="120" t="s">
        <v>146</v>
      </c>
      <c r="D55" s="166" t="s">
        <v>250</v>
      </c>
      <c r="E55" s="174" t="s">
        <v>54</v>
      </c>
      <c r="F55" s="345">
        <f>'memória de cálculo'!C171</f>
        <v>0.9199999999999999</v>
      </c>
      <c r="G55" s="24">
        <v>729.27</v>
      </c>
      <c r="H55" s="275">
        <f t="shared" si="4"/>
        <v>951.6973499999999</v>
      </c>
      <c r="I55" s="118">
        <f>H55*F55</f>
        <v>875.5615619999999</v>
      </c>
    </row>
    <row r="56" spans="1:9" ht="21.75" customHeight="1" thickBot="1">
      <c r="A56" s="211" t="s">
        <v>306</v>
      </c>
      <c r="B56" s="141">
        <v>100821</v>
      </c>
      <c r="C56" s="120" t="s">
        <v>147</v>
      </c>
      <c r="D56" s="166" t="s">
        <v>75</v>
      </c>
      <c r="E56" s="174" t="s">
        <v>61</v>
      </c>
      <c r="F56" s="345">
        <v>6</v>
      </c>
      <c r="G56" s="24">
        <v>32.57</v>
      </c>
      <c r="H56" s="275">
        <f t="shared" si="4"/>
        <v>42.50385</v>
      </c>
      <c r="I56" s="118">
        <f>H56*F56</f>
        <v>255.0231</v>
      </c>
    </row>
    <row r="57" spans="1:9" ht="15" thickBot="1">
      <c r="A57" s="210"/>
      <c r="B57" s="195"/>
      <c r="C57" s="30" t="s">
        <v>130</v>
      </c>
      <c r="D57" s="31" t="s">
        <v>18</v>
      </c>
      <c r="E57" s="70"/>
      <c r="F57" s="32"/>
      <c r="G57" s="32"/>
      <c r="H57" s="68"/>
      <c r="I57" s="34">
        <f>SUM(I58)</f>
        <v>900.8679653999999</v>
      </c>
    </row>
    <row r="58" spans="1:9" ht="15.75" thickBot="1">
      <c r="A58" s="114" t="s">
        <v>31</v>
      </c>
      <c r="B58" s="196">
        <v>150253</v>
      </c>
      <c r="C58" s="100" t="s">
        <v>149</v>
      </c>
      <c r="D58" s="102" t="s">
        <v>76</v>
      </c>
      <c r="E58" s="71" t="s">
        <v>54</v>
      </c>
      <c r="F58" s="345">
        <f>'memória de cálculo'!C185</f>
        <v>21.156</v>
      </c>
      <c r="G58" s="24">
        <v>32.63</v>
      </c>
      <c r="H58" s="279">
        <f t="shared" si="4"/>
        <v>42.58215</v>
      </c>
      <c r="I58" s="101">
        <f>H58*F58</f>
        <v>900.8679653999999</v>
      </c>
    </row>
    <row r="59" spans="1:9" ht="15" thickBot="1">
      <c r="A59" s="210"/>
      <c r="B59" s="195"/>
      <c r="C59" s="30" t="s">
        <v>131</v>
      </c>
      <c r="D59" s="31" t="s">
        <v>77</v>
      </c>
      <c r="E59" s="70"/>
      <c r="F59" s="32"/>
      <c r="G59" s="32"/>
      <c r="H59" s="68"/>
      <c r="I59" s="34">
        <f>SUM(I60:I65)</f>
        <v>3390.7031999999995</v>
      </c>
    </row>
    <row r="60" spans="1:9" ht="22.5" customHeight="1">
      <c r="A60" s="211" t="s">
        <v>306</v>
      </c>
      <c r="B60" s="198">
        <v>170081</v>
      </c>
      <c r="C60" s="120" t="s">
        <v>150</v>
      </c>
      <c r="D60" s="165" t="s">
        <v>230</v>
      </c>
      <c r="E60" s="71" t="s">
        <v>78</v>
      </c>
      <c r="F60" s="345">
        <v>10</v>
      </c>
      <c r="G60" s="24">
        <v>174.4</v>
      </c>
      <c r="H60" s="275">
        <f t="shared" si="4"/>
        <v>227.59199999999998</v>
      </c>
      <c r="I60" s="118">
        <f aca="true" t="shared" si="5" ref="I60:I65">H60*F60</f>
        <v>2275.92</v>
      </c>
    </row>
    <row r="61" spans="1:9" ht="21.75" customHeight="1">
      <c r="A61" s="211" t="s">
        <v>306</v>
      </c>
      <c r="B61" s="141">
        <v>170874</v>
      </c>
      <c r="C61" s="120" t="s">
        <v>151</v>
      </c>
      <c r="D61" s="102" t="s">
        <v>301</v>
      </c>
      <c r="E61" s="71" t="s">
        <v>61</v>
      </c>
      <c r="F61" s="345">
        <v>1</v>
      </c>
      <c r="G61" s="24">
        <v>6.44</v>
      </c>
      <c r="H61" s="275">
        <f t="shared" si="4"/>
        <v>8.4042</v>
      </c>
      <c r="I61" s="118">
        <f t="shared" si="5"/>
        <v>8.4042</v>
      </c>
    </row>
    <row r="62" spans="1:9" ht="22.5" customHeight="1">
      <c r="A62" s="211" t="s">
        <v>306</v>
      </c>
      <c r="B62" s="141">
        <v>170334</v>
      </c>
      <c r="C62" s="120" t="s">
        <v>152</v>
      </c>
      <c r="D62" s="102" t="s">
        <v>302</v>
      </c>
      <c r="E62" s="71" t="s">
        <v>61</v>
      </c>
      <c r="F62" s="345">
        <v>1</v>
      </c>
      <c r="G62" s="24">
        <v>26.2</v>
      </c>
      <c r="H62" s="275">
        <f t="shared" si="4"/>
        <v>34.190999999999995</v>
      </c>
      <c r="I62" s="118">
        <f t="shared" si="5"/>
        <v>34.190999999999995</v>
      </c>
    </row>
    <row r="63" spans="1:9" ht="21" customHeight="1">
      <c r="A63" s="211" t="s">
        <v>306</v>
      </c>
      <c r="B63" s="141">
        <v>171523</v>
      </c>
      <c r="C63" s="120" t="s">
        <v>153</v>
      </c>
      <c r="D63" s="102" t="s">
        <v>79</v>
      </c>
      <c r="E63" s="71" t="s">
        <v>61</v>
      </c>
      <c r="F63" s="345">
        <v>5</v>
      </c>
      <c r="G63" s="24">
        <v>20.24</v>
      </c>
      <c r="H63" s="275">
        <f t="shared" si="4"/>
        <v>26.413199999999996</v>
      </c>
      <c r="I63" s="118">
        <f t="shared" si="5"/>
        <v>132.06599999999997</v>
      </c>
    </row>
    <row r="64" spans="1:9" ht="21" customHeight="1">
      <c r="A64" s="211" t="s">
        <v>306</v>
      </c>
      <c r="B64" s="141" t="s">
        <v>256</v>
      </c>
      <c r="C64" s="120" t="s">
        <v>310</v>
      </c>
      <c r="D64" s="272" t="s">
        <v>255</v>
      </c>
      <c r="E64" s="71" t="s">
        <v>61</v>
      </c>
      <c r="F64" s="345">
        <v>3</v>
      </c>
      <c r="G64" s="286">
        <v>144.08</v>
      </c>
      <c r="H64" s="275">
        <f t="shared" si="4"/>
        <v>188.0244</v>
      </c>
      <c r="I64" s="118">
        <f t="shared" si="5"/>
        <v>564.0732</v>
      </c>
    </row>
    <row r="65" spans="1:9" ht="21" customHeight="1" thickBot="1">
      <c r="A65" s="211" t="s">
        <v>306</v>
      </c>
      <c r="B65" s="199" t="s">
        <v>256</v>
      </c>
      <c r="C65" s="154" t="s">
        <v>154</v>
      </c>
      <c r="D65" s="164" t="s">
        <v>257</v>
      </c>
      <c r="E65" s="156" t="s">
        <v>61</v>
      </c>
      <c r="F65" s="348">
        <v>1</v>
      </c>
      <c r="G65" s="339">
        <v>288.16</v>
      </c>
      <c r="H65" s="274">
        <f t="shared" si="4"/>
        <v>376.0488</v>
      </c>
      <c r="I65" s="157">
        <f t="shared" si="5"/>
        <v>376.0488</v>
      </c>
    </row>
    <row r="66" spans="1:9" ht="15" thickBot="1">
      <c r="A66" s="210"/>
      <c r="B66" s="195"/>
      <c r="C66" s="30" t="s">
        <v>132</v>
      </c>
      <c r="D66" s="31" t="s">
        <v>80</v>
      </c>
      <c r="E66" s="70"/>
      <c r="F66" s="32"/>
      <c r="G66" s="32"/>
      <c r="H66" s="68"/>
      <c r="I66" s="34">
        <f>SUM(I67:I71)</f>
        <v>2221.82775</v>
      </c>
    </row>
    <row r="67" spans="1:9" ht="21.75" customHeight="1">
      <c r="A67" s="211" t="s">
        <v>306</v>
      </c>
      <c r="B67" s="140">
        <v>80414</v>
      </c>
      <c r="C67" s="148" t="s">
        <v>155</v>
      </c>
      <c r="D67" s="146" t="s">
        <v>253</v>
      </c>
      <c r="E67" s="149" t="s">
        <v>61</v>
      </c>
      <c r="F67" s="346">
        <v>2</v>
      </c>
      <c r="G67" s="143">
        <v>131.48</v>
      </c>
      <c r="H67" s="278">
        <f t="shared" si="4"/>
        <v>171.58139999999997</v>
      </c>
      <c r="I67" s="150">
        <f>H67*F67</f>
        <v>343.16279999999995</v>
      </c>
    </row>
    <row r="68" spans="1:9" ht="21" customHeight="1">
      <c r="A68" s="211" t="s">
        <v>306</v>
      </c>
      <c r="B68" s="141">
        <v>180299</v>
      </c>
      <c r="C68" s="120" t="s">
        <v>156</v>
      </c>
      <c r="D68" s="102" t="s">
        <v>81</v>
      </c>
      <c r="E68" s="71" t="s">
        <v>61</v>
      </c>
      <c r="F68" s="345">
        <v>1</v>
      </c>
      <c r="G68" s="24">
        <v>311.81</v>
      </c>
      <c r="H68" s="275">
        <f t="shared" si="4"/>
        <v>406.91204999999997</v>
      </c>
      <c r="I68" s="118">
        <f>H68*F68</f>
        <v>406.91204999999997</v>
      </c>
    </row>
    <row r="69" spans="1:9" ht="18" customHeight="1">
      <c r="A69" s="114" t="s">
        <v>32</v>
      </c>
      <c r="B69" s="141" t="s">
        <v>311</v>
      </c>
      <c r="C69" s="120" t="s">
        <v>157</v>
      </c>
      <c r="D69" s="102" t="s">
        <v>252</v>
      </c>
      <c r="E69" s="71" t="s">
        <v>61</v>
      </c>
      <c r="F69" s="345">
        <v>1</v>
      </c>
      <c r="G69" s="24">
        <v>526.33</v>
      </c>
      <c r="H69" s="275">
        <f t="shared" si="4"/>
        <v>686.86065</v>
      </c>
      <c r="I69" s="118">
        <f>H69*F69</f>
        <v>686.86065</v>
      </c>
    </row>
    <row r="70" spans="1:9" ht="18.75" customHeight="1">
      <c r="A70" s="282" t="s">
        <v>32</v>
      </c>
      <c r="B70" s="141">
        <v>89482</v>
      </c>
      <c r="C70" s="120" t="s">
        <v>158</v>
      </c>
      <c r="D70" s="139" t="s">
        <v>312</v>
      </c>
      <c r="E70" s="71" t="s">
        <v>61</v>
      </c>
      <c r="F70" s="345">
        <v>1</v>
      </c>
      <c r="G70" s="186">
        <v>17.75</v>
      </c>
      <c r="H70" s="275">
        <f t="shared" si="4"/>
        <v>23.16375</v>
      </c>
      <c r="I70" s="118">
        <f>H70*F70</f>
        <v>23.16375</v>
      </c>
    </row>
    <row r="71" spans="1:9" ht="21" customHeight="1" thickBot="1">
      <c r="A71" s="211" t="s">
        <v>306</v>
      </c>
      <c r="B71" s="141">
        <v>180214</v>
      </c>
      <c r="C71" s="119" t="s">
        <v>159</v>
      </c>
      <c r="D71" s="184" t="s">
        <v>210</v>
      </c>
      <c r="E71" s="152" t="s">
        <v>61</v>
      </c>
      <c r="F71" s="347">
        <v>2</v>
      </c>
      <c r="G71" s="185">
        <v>291.85</v>
      </c>
      <c r="H71" s="277">
        <f t="shared" si="4"/>
        <v>380.86425</v>
      </c>
      <c r="I71" s="99">
        <f>H71*F71</f>
        <v>761.7285</v>
      </c>
    </row>
    <row r="72" spans="1:9" s="67" customFormat="1" ht="3.75" customHeight="1" thickBot="1">
      <c r="A72" s="209"/>
      <c r="B72" s="194"/>
      <c r="C72" s="93"/>
      <c r="D72" s="94"/>
      <c r="E72" s="95"/>
      <c r="F72" s="96"/>
      <c r="G72" s="97"/>
      <c r="H72" s="98"/>
      <c r="I72" s="97"/>
    </row>
    <row r="73" spans="1:9" ht="15" thickBot="1">
      <c r="A73" s="210"/>
      <c r="B73" s="195"/>
      <c r="C73" s="30">
        <v>4</v>
      </c>
      <c r="D73" s="31" t="s">
        <v>11</v>
      </c>
      <c r="E73" s="70"/>
      <c r="F73" s="32"/>
      <c r="G73" s="32"/>
      <c r="H73" s="68"/>
      <c r="I73" s="34">
        <f>I74</f>
        <v>22848.1488</v>
      </c>
    </row>
    <row r="74" spans="1:9" ht="15" thickBot="1">
      <c r="A74" s="210"/>
      <c r="B74" s="195"/>
      <c r="C74" s="30" t="s">
        <v>47</v>
      </c>
      <c r="D74" s="31" t="s">
        <v>12</v>
      </c>
      <c r="E74" s="70"/>
      <c r="F74" s="32"/>
      <c r="G74" s="32"/>
      <c r="H74" s="68"/>
      <c r="I74" s="34">
        <f>SUM(I75:I88)</f>
        <v>22848.1488</v>
      </c>
    </row>
    <row r="75" spans="1:9" ht="24">
      <c r="A75" s="211" t="s">
        <v>306</v>
      </c>
      <c r="B75" s="140">
        <v>170866</v>
      </c>
      <c r="C75" s="290" t="s">
        <v>220</v>
      </c>
      <c r="D75" s="163" t="s">
        <v>321</v>
      </c>
      <c r="E75" s="71" t="s">
        <v>2</v>
      </c>
      <c r="F75" s="344">
        <v>1</v>
      </c>
      <c r="G75" s="288">
        <v>40.68</v>
      </c>
      <c r="H75" s="273">
        <f>G75*$J$10</f>
        <v>53.087399999999995</v>
      </c>
      <c r="I75" s="162">
        <f aca="true" t="shared" si="6" ref="I75:I86">H75*F75</f>
        <v>53.087399999999995</v>
      </c>
    </row>
    <row r="76" spans="1:9" ht="24" customHeight="1">
      <c r="A76" s="211" t="s">
        <v>306</v>
      </c>
      <c r="B76" s="337">
        <v>170072</v>
      </c>
      <c r="C76" s="120" t="s">
        <v>221</v>
      </c>
      <c r="D76" s="139" t="s">
        <v>313</v>
      </c>
      <c r="E76" s="71" t="s">
        <v>2</v>
      </c>
      <c r="F76" s="345">
        <v>2</v>
      </c>
      <c r="G76" s="286">
        <v>221.49</v>
      </c>
      <c r="H76" s="338">
        <f>G76*$J$10</f>
        <v>289.04445</v>
      </c>
      <c r="I76" s="118">
        <f t="shared" si="6"/>
        <v>578.0889</v>
      </c>
    </row>
    <row r="77" spans="1:9" ht="21" customHeight="1">
      <c r="A77" s="211" t="s">
        <v>306</v>
      </c>
      <c r="B77" s="200">
        <v>170656</v>
      </c>
      <c r="C77" s="120" t="s">
        <v>222</v>
      </c>
      <c r="D77" s="176" t="s">
        <v>260</v>
      </c>
      <c r="E77" s="177" t="s">
        <v>2</v>
      </c>
      <c r="F77" s="342">
        <v>5</v>
      </c>
      <c r="G77" s="289">
        <v>1798.91</v>
      </c>
      <c r="H77" s="276">
        <f>G77*$J$10</f>
        <v>2347.57755</v>
      </c>
      <c r="I77" s="118">
        <f t="shared" si="6"/>
        <v>11737.88775</v>
      </c>
    </row>
    <row r="78" spans="1:9" ht="45">
      <c r="A78" s="114" t="s">
        <v>32</v>
      </c>
      <c r="B78" s="201" t="s">
        <v>264</v>
      </c>
      <c r="C78" s="120" t="s">
        <v>223</v>
      </c>
      <c r="D78" s="116" t="s">
        <v>266</v>
      </c>
      <c r="E78" s="117" t="s">
        <v>2</v>
      </c>
      <c r="F78" s="341">
        <v>5</v>
      </c>
      <c r="G78" s="285">
        <v>120.97</v>
      </c>
      <c r="H78" s="275">
        <f aca="true" t="shared" si="7" ref="H78:H88">G78*$J$10</f>
        <v>157.86585</v>
      </c>
      <c r="I78" s="118">
        <f t="shared" si="6"/>
        <v>789.32925</v>
      </c>
    </row>
    <row r="79" spans="1:9" ht="23.25" customHeight="1">
      <c r="A79" s="211" t="s">
        <v>306</v>
      </c>
      <c r="B79" s="201">
        <v>171003</v>
      </c>
      <c r="C79" s="120" t="s">
        <v>224</v>
      </c>
      <c r="D79" s="167" t="s">
        <v>267</v>
      </c>
      <c r="E79" s="117" t="s">
        <v>2</v>
      </c>
      <c r="F79" s="341">
        <v>5</v>
      </c>
      <c r="G79" s="285">
        <v>30.02</v>
      </c>
      <c r="H79" s="275">
        <f t="shared" si="7"/>
        <v>39.1761</v>
      </c>
      <c r="I79" s="118">
        <f t="shared" si="6"/>
        <v>195.88049999999998</v>
      </c>
    </row>
    <row r="80" spans="1:9" ht="20.25" customHeight="1">
      <c r="A80" s="114" t="s">
        <v>32</v>
      </c>
      <c r="B80" s="201">
        <v>72282</v>
      </c>
      <c r="C80" s="120" t="s">
        <v>225</v>
      </c>
      <c r="D80" s="116" t="s">
        <v>268</v>
      </c>
      <c r="E80" s="117" t="s">
        <v>2</v>
      </c>
      <c r="F80" s="341">
        <v>5</v>
      </c>
      <c r="G80" s="285">
        <v>135.33</v>
      </c>
      <c r="H80" s="275">
        <f t="shared" si="7"/>
        <v>176.60565</v>
      </c>
      <c r="I80" s="118">
        <f t="shared" si="6"/>
        <v>883.02825</v>
      </c>
    </row>
    <row r="81" spans="1:9" ht="21.75" customHeight="1">
      <c r="A81" s="114" t="s">
        <v>32</v>
      </c>
      <c r="B81" s="201">
        <v>83399</v>
      </c>
      <c r="C81" s="120" t="s">
        <v>226</v>
      </c>
      <c r="D81" s="116" t="s">
        <v>269</v>
      </c>
      <c r="E81" s="117" t="s">
        <v>2</v>
      </c>
      <c r="F81" s="341">
        <v>5</v>
      </c>
      <c r="G81" s="285">
        <v>27.83</v>
      </c>
      <c r="H81" s="275">
        <f t="shared" si="7"/>
        <v>36.318149999999996</v>
      </c>
      <c r="I81" s="118">
        <f t="shared" si="6"/>
        <v>181.59074999999999</v>
      </c>
    </row>
    <row r="82" spans="1:9" ht="20.25" customHeight="1">
      <c r="A82" s="211" t="s">
        <v>306</v>
      </c>
      <c r="B82" s="201">
        <v>170081</v>
      </c>
      <c r="C82" s="120" t="s">
        <v>322</v>
      </c>
      <c r="D82" s="116" t="s">
        <v>262</v>
      </c>
      <c r="E82" s="117" t="s">
        <v>2</v>
      </c>
      <c r="F82" s="341">
        <v>5</v>
      </c>
      <c r="G82" s="285">
        <v>174.4</v>
      </c>
      <c r="H82" s="275">
        <f t="shared" si="7"/>
        <v>227.59199999999998</v>
      </c>
      <c r="I82" s="118">
        <f t="shared" si="6"/>
        <v>1137.96</v>
      </c>
    </row>
    <row r="83" spans="1:9" ht="21.75" customHeight="1">
      <c r="A83" s="211" t="s">
        <v>306</v>
      </c>
      <c r="B83" s="201">
        <v>170320</v>
      </c>
      <c r="C83" s="120" t="s">
        <v>323</v>
      </c>
      <c r="D83" s="168" t="s">
        <v>217</v>
      </c>
      <c r="E83" s="117" t="s">
        <v>37</v>
      </c>
      <c r="F83" s="341">
        <v>160</v>
      </c>
      <c r="G83" s="285">
        <v>12.63</v>
      </c>
      <c r="H83" s="275">
        <f>G83*$J$10</f>
        <v>16.48215</v>
      </c>
      <c r="I83" s="118">
        <f t="shared" si="6"/>
        <v>2637.1440000000002</v>
      </c>
    </row>
    <row r="84" spans="1:9" ht="19.5" customHeight="1">
      <c r="A84" s="211" t="s">
        <v>306</v>
      </c>
      <c r="B84" s="201">
        <v>170319</v>
      </c>
      <c r="C84" s="120" t="s">
        <v>227</v>
      </c>
      <c r="D84" s="168" t="s">
        <v>171</v>
      </c>
      <c r="E84" s="117" t="s">
        <v>37</v>
      </c>
      <c r="F84" s="341">
        <v>240</v>
      </c>
      <c r="G84" s="285">
        <v>9.54</v>
      </c>
      <c r="H84" s="275">
        <f t="shared" si="7"/>
        <v>12.449699999999998</v>
      </c>
      <c r="I84" s="354">
        <f t="shared" si="6"/>
        <v>2987.9279999999994</v>
      </c>
    </row>
    <row r="85" spans="1:9" ht="17.25" customHeight="1">
      <c r="A85" s="211" t="s">
        <v>306</v>
      </c>
      <c r="B85" s="202">
        <v>170418</v>
      </c>
      <c r="C85" s="120" t="s">
        <v>228</v>
      </c>
      <c r="D85" s="168" t="s">
        <v>303</v>
      </c>
      <c r="E85" s="117" t="s">
        <v>37</v>
      </c>
      <c r="F85" s="341">
        <v>200</v>
      </c>
      <c r="G85" s="285">
        <v>4.65</v>
      </c>
      <c r="H85" s="275">
        <f>G85*$J$10</f>
        <v>6.06825</v>
      </c>
      <c r="I85" s="118">
        <f t="shared" si="6"/>
        <v>1213.65</v>
      </c>
    </row>
    <row r="86" spans="1:9" ht="20.25" customHeight="1">
      <c r="A86" s="211" t="s">
        <v>306</v>
      </c>
      <c r="B86" s="202">
        <v>171161</v>
      </c>
      <c r="C86" s="120" t="s">
        <v>229</v>
      </c>
      <c r="D86" s="168" t="s">
        <v>172</v>
      </c>
      <c r="E86" s="117" t="s">
        <v>2</v>
      </c>
      <c r="F86" s="341">
        <v>3</v>
      </c>
      <c r="G86" s="285">
        <v>94.39</v>
      </c>
      <c r="H86" s="275">
        <f>G86*$J$10</f>
        <v>123.17895</v>
      </c>
      <c r="I86" s="118">
        <f t="shared" si="6"/>
        <v>369.53685</v>
      </c>
    </row>
    <row r="87" spans="1:9" ht="17.25" customHeight="1">
      <c r="A87" s="211" t="s">
        <v>306</v>
      </c>
      <c r="B87" s="202">
        <v>170326</v>
      </c>
      <c r="C87" s="120" t="s">
        <v>263</v>
      </c>
      <c r="D87" s="168" t="s">
        <v>218</v>
      </c>
      <c r="E87" s="117" t="s">
        <v>2</v>
      </c>
      <c r="F87" s="341">
        <v>1</v>
      </c>
      <c r="G87" s="285">
        <v>16.16</v>
      </c>
      <c r="H87" s="275">
        <f t="shared" si="7"/>
        <v>21.0888</v>
      </c>
      <c r="I87" s="118">
        <f aca="true" t="shared" si="8" ref="I87:I88">H87*F87</f>
        <v>21.0888</v>
      </c>
    </row>
    <row r="88" spans="1:9" ht="18" customHeight="1" thickBot="1">
      <c r="A88" s="211" t="s">
        <v>306</v>
      </c>
      <c r="B88" s="202">
        <v>170362</v>
      </c>
      <c r="C88" s="120" t="s">
        <v>265</v>
      </c>
      <c r="D88" s="168" t="s">
        <v>219</v>
      </c>
      <c r="E88" s="117" t="s">
        <v>2</v>
      </c>
      <c r="F88" s="341">
        <v>1</v>
      </c>
      <c r="G88" s="285">
        <v>47.47</v>
      </c>
      <c r="H88" s="275">
        <f t="shared" si="7"/>
        <v>61.94835</v>
      </c>
      <c r="I88" s="118">
        <f t="shared" si="8"/>
        <v>61.94835</v>
      </c>
    </row>
    <row r="89" spans="1:9" s="67" customFormat="1" ht="3" customHeight="1" thickBot="1">
      <c r="A89" s="209"/>
      <c r="B89" s="194"/>
      <c r="C89" s="376"/>
      <c r="D89" s="94"/>
      <c r="E89" s="95"/>
      <c r="F89" s="96"/>
      <c r="G89" s="97"/>
      <c r="H89" s="98"/>
      <c r="I89" s="97"/>
    </row>
    <row r="90" spans="1:9" ht="15" thickBot="1">
      <c r="A90" s="210"/>
      <c r="B90" s="195"/>
      <c r="C90" s="30">
        <v>5</v>
      </c>
      <c r="D90" s="31" t="s">
        <v>19</v>
      </c>
      <c r="E90" s="70"/>
      <c r="F90" s="32"/>
      <c r="G90" s="32"/>
      <c r="H90" s="68"/>
      <c r="I90" s="34">
        <f>I91</f>
        <v>1382.7779999999998</v>
      </c>
    </row>
    <row r="91" spans="1:9" ht="15" thickBot="1">
      <c r="A91" s="210"/>
      <c r="B91" s="195"/>
      <c r="C91" s="30" t="s">
        <v>48</v>
      </c>
      <c r="D91" s="31" t="s">
        <v>161</v>
      </c>
      <c r="E91" s="72"/>
      <c r="F91" s="107"/>
      <c r="G91" s="32"/>
      <c r="H91" s="69"/>
      <c r="I91" s="60">
        <f>I92</f>
        <v>1382.7779999999998</v>
      </c>
    </row>
    <row r="92" spans="1:9" ht="21.75" customHeight="1" thickBot="1">
      <c r="A92" s="211" t="s">
        <v>306</v>
      </c>
      <c r="B92" s="172">
        <v>250532</v>
      </c>
      <c r="C92" s="103" t="s">
        <v>13</v>
      </c>
      <c r="D92" s="104" t="s">
        <v>327</v>
      </c>
      <c r="E92" s="105" t="s">
        <v>61</v>
      </c>
      <c r="F92" s="343">
        <v>4</v>
      </c>
      <c r="G92" s="106">
        <v>264.9</v>
      </c>
      <c r="H92" s="280">
        <f>G92*$J$10</f>
        <v>345.69449999999995</v>
      </c>
      <c r="I92" s="106">
        <f>H92*F92</f>
        <v>1382.7779999999998</v>
      </c>
    </row>
    <row r="93" spans="1:9" ht="15" thickBot="1">
      <c r="A93" s="210"/>
      <c r="B93" s="195"/>
      <c r="C93" s="30">
        <v>6</v>
      </c>
      <c r="D93" s="31" t="s">
        <v>20</v>
      </c>
      <c r="E93" s="70"/>
      <c r="F93" s="32"/>
      <c r="G93" s="32"/>
      <c r="H93" s="68"/>
      <c r="I93" s="34">
        <f>SUM(I94:I96)</f>
        <v>10121.0226345</v>
      </c>
    </row>
    <row r="94" spans="1:9" ht="29.25" customHeight="1">
      <c r="A94" s="211" t="s">
        <v>306</v>
      </c>
      <c r="B94" s="169">
        <v>241317</v>
      </c>
      <c r="C94" s="170" t="s">
        <v>133</v>
      </c>
      <c r="D94" s="108" t="s">
        <v>21</v>
      </c>
      <c r="E94" s="109" t="s">
        <v>2</v>
      </c>
      <c r="F94" s="340">
        <v>1</v>
      </c>
      <c r="G94" s="171">
        <v>1868.57</v>
      </c>
      <c r="H94" s="281">
        <f>G94*$J$10</f>
        <v>2438.4838499999996</v>
      </c>
      <c r="I94" s="110">
        <f>H94*F94</f>
        <v>2438.4838499999996</v>
      </c>
    </row>
    <row r="95" spans="1:9" ht="20.25" customHeight="1">
      <c r="A95" s="211" t="s">
        <v>306</v>
      </c>
      <c r="B95" s="203">
        <v>251511</v>
      </c>
      <c r="C95" s="120" t="s">
        <v>49</v>
      </c>
      <c r="D95" s="116" t="s">
        <v>50</v>
      </c>
      <c r="E95" s="117" t="s">
        <v>2</v>
      </c>
      <c r="F95" s="341">
        <v>4</v>
      </c>
      <c r="G95" s="180">
        <v>309.43</v>
      </c>
      <c r="H95" s="275">
        <f>G95*$J$10</f>
        <v>403.80615</v>
      </c>
      <c r="I95" s="118">
        <f>H95*F95</f>
        <v>1615.2246</v>
      </c>
    </row>
    <row r="96" spans="1:11" ht="18.75" customHeight="1" thickBot="1">
      <c r="A96" s="211" t="s">
        <v>306</v>
      </c>
      <c r="B96" s="204">
        <v>270220</v>
      </c>
      <c r="C96" s="175" t="s">
        <v>134</v>
      </c>
      <c r="D96" s="176" t="s">
        <v>258</v>
      </c>
      <c r="E96" s="177" t="s">
        <v>6</v>
      </c>
      <c r="F96" s="353">
        <f>'memória de cálculo'!C12</f>
        <v>843.79</v>
      </c>
      <c r="G96" s="178">
        <v>5.51</v>
      </c>
      <c r="H96" s="276">
        <f>G96*$J$10</f>
        <v>7.190549999999999</v>
      </c>
      <c r="I96" s="179">
        <f>H96*F96</f>
        <v>6067.314184499999</v>
      </c>
      <c r="K96" s="5" t="s">
        <v>232</v>
      </c>
    </row>
    <row r="97" spans="1:12" ht="25.5" customHeight="1" thickBot="1">
      <c r="A97" s="212"/>
      <c r="B97" s="205"/>
      <c r="C97" s="385" t="s">
        <v>22</v>
      </c>
      <c r="D97" s="385"/>
      <c r="E97" s="385"/>
      <c r="F97" s="385"/>
      <c r="G97" s="385"/>
      <c r="H97" s="386"/>
      <c r="I97" s="35">
        <f>I12+I17+I73+I90+I93+I26</f>
        <v>184709.597168088</v>
      </c>
      <c r="J97" s="241">
        <v>75000</v>
      </c>
      <c r="K97" s="241">
        <f>I97-J97</f>
        <v>109709.59716808799</v>
      </c>
      <c r="L97" s="242">
        <f>K97/4</f>
        <v>27427.399292021997</v>
      </c>
    </row>
    <row r="98" spans="1:12" ht="33.75" customHeight="1">
      <c r="A98" s="360"/>
      <c r="B98" s="361"/>
      <c r="C98" s="362"/>
      <c r="D98" s="362"/>
      <c r="E98" s="362"/>
      <c r="F98" s="362"/>
      <c r="G98" s="362"/>
      <c r="H98" s="362"/>
      <c r="I98" s="363"/>
      <c r="J98" s="359"/>
      <c r="K98" s="359"/>
      <c r="L98" s="243"/>
    </row>
    <row r="99" spans="1:12" ht="33.75" customHeight="1">
      <c r="A99" s="360"/>
      <c r="B99" s="361"/>
      <c r="C99" s="362"/>
      <c r="D99" s="362"/>
      <c r="E99" s="362"/>
      <c r="F99" s="362"/>
      <c r="G99" s="362"/>
      <c r="H99" s="362"/>
      <c r="I99" s="363"/>
      <c r="J99" s="359"/>
      <c r="K99" s="359"/>
      <c r="L99" s="243"/>
    </row>
    <row r="100" spans="1:12" ht="20.25" customHeight="1">
      <c r="A100" s="360"/>
      <c r="B100" s="361"/>
      <c r="C100" s="362"/>
      <c r="D100" s="364" t="s">
        <v>315</v>
      </c>
      <c r="E100" s="362"/>
      <c r="F100" s="362"/>
      <c r="G100" s="362"/>
      <c r="H100" s="362"/>
      <c r="I100" s="363"/>
      <c r="J100" s="359"/>
      <c r="K100" s="359"/>
      <c r="L100" s="243"/>
    </row>
    <row r="101" spans="1:12" ht="15.75" customHeight="1">
      <c r="A101" s="360"/>
      <c r="B101" s="361"/>
      <c r="C101" s="362"/>
      <c r="D101" s="365" t="s">
        <v>298</v>
      </c>
      <c r="E101" s="362"/>
      <c r="F101" s="362"/>
      <c r="G101" s="362"/>
      <c r="H101" s="362"/>
      <c r="I101" s="363"/>
      <c r="J101" s="359"/>
      <c r="K101" s="359"/>
      <c r="L101" s="243"/>
    </row>
    <row r="102" spans="1:12" ht="17.25" customHeight="1">
      <c r="A102" s="360"/>
      <c r="B102" s="361"/>
      <c r="C102" s="362"/>
      <c r="D102" s="366" t="s">
        <v>314</v>
      </c>
      <c r="E102" s="362"/>
      <c r="F102" s="362"/>
      <c r="G102" s="362"/>
      <c r="H102" s="362"/>
      <c r="I102" s="363"/>
      <c r="J102" s="359"/>
      <c r="K102" s="359"/>
      <c r="L102" s="243"/>
    </row>
    <row r="103" spans="1:12" ht="33.75" customHeight="1">
      <c r="A103" s="360"/>
      <c r="B103" s="361"/>
      <c r="C103" s="362"/>
      <c r="D103" s="362"/>
      <c r="E103" s="362"/>
      <c r="F103" s="362"/>
      <c r="G103" s="362"/>
      <c r="H103" s="362"/>
      <c r="I103" s="363"/>
      <c r="J103" s="359"/>
      <c r="K103" s="359"/>
      <c r="L103" s="243"/>
    </row>
    <row r="104" spans="1:12" ht="33.75" customHeight="1">
      <c r="A104" s="360"/>
      <c r="B104" s="361"/>
      <c r="C104" s="362"/>
      <c r="D104" s="362"/>
      <c r="E104" s="362"/>
      <c r="F104" s="362"/>
      <c r="G104" s="362"/>
      <c r="H104" s="362"/>
      <c r="I104" s="363"/>
      <c r="J104" s="359"/>
      <c r="K104" s="359"/>
      <c r="L104" s="243"/>
    </row>
    <row r="105" spans="1:12" ht="33.75" customHeight="1">
      <c r="A105" s="355"/>
      <c r="B105" s="356"/>
      <c r="C105" s="357"/>
      <c r="D105" s="357"/>
      <c r="E105" s="357"/>
      <c r="F105" s="357"/>
      <c r="G105" s="357"/>
      <c r="H105" s="357"/>
      <c r="I105" s="358"/>
      <c r="J105" s="359"/>
      <c r="K105" s="359"/>
      <c r="L105" s="243"/>
    </row>
    <row r="106" spans="1:12" ht="33.75" customHeight="1">
      <c r="A106" s="355"/>
      <c r="B106" s="356"/>
      <c r="C106" s="357"/>
      <c r="D106" s="357"/>
      <c r="E106" s="357"/>
      <c r="F106" s="357"/>
      <c r="G106" s="357"/>
      <c r="H106" s="357"/>
      <c r="I106" s="358"/>
      <c r="J106" s="359"/>
      <c r="K106" s="359"/>
      <c r="L106" s="243"/>
    </row>
    <row r="107" spans="1:12" ht="33.75" customHeight="1">
      <c r="A107" s="355"/>
      <c r="B107" s="356"/>
      <c r="C107" s="357"/>
      <c r="D107" s="357"/>
      <c r="E107" s="357"/>
      <c r="F107" s="357"/>
      <c r="G107" s="357"/>
      <c r="H107" s="357"/>
      <c r="I107" s="358"/>
      <c r="J107" s="359"/>
      <c r="K107" s="359"/>
      <c r="L107" s="243"/>
    </row>
    <row r="109" spans="9:12" ht="15">
      <c r="I109" s="173">
        <v>105999.57</v>
      </c>
      <c r="J109" s="239" t="s">
        <v>231</v>
      </c>
      <c r="L109" s="243">
        <f>18750+L97</f>
        <v>46177.399292022</v>
      </c>
    </row>
    <row r="110" ht="15">
      <c r="I110" s="8">
        <f>I109-I97</f>
        <v>-78710.02716808798</v>
      </c>
    </row>
    <row r="114" spans="6:9" ht="15">
      <c r="F114" s="247"/>
      <c r="G114" s="247"/>
      <c r="H114" s="248"/>
      <c r="I114" s="248"/>
    </row>
    <row r="115" spans="6:9" ht="15">
      <c r="F115" s="247"/>
      <c r="G115" s="247"/>
      <c r="H115" s="248"/>
      <c r="I115" s="248"/>
    </row>
    <row r="116" spans="6:9" ht="15">
      <c r="F116" s="247"/>
      <c r="G116" s="247"/>
      <c r="H116" s="248"/>
      <c r="I116" s="248"/>
    </row>
  </sheetData>
  <mergeCells count="3">
    <mergeCell ref="A1:D1"/>
    <mergeCell ref="B5:D5"/>
    <mergeCell ref="C97:H97"/>
  </mergeCells>
  <printOptions/>
  <pageMargins left="0.25" right="0.25" top="0.75" bottom="0.75" header="0.3" footer="0.3"/>
  <pageSetup fitToHeight="0" fitToWidth="1" horizontalDpi="300" verticalDpi="300" orientation="portrait" paperSize="9" scale="64" r:id="rId4"/>
  <rowBreaks count="1" manualBreakCount="1">
    <brk id="59" max="16383" man="1"/>
  </rowBreaks>
  <drawing r:id="rId3"/>
  <legacyDrawing r:id="rId2"/>
  <oleObjects>
    <mc:AlternateContent xmlns:mc="http://schemas.openxmlformats.org/markup-compatibility/2006">
      <mc:Choice Requires="x14">
        <oleObject progId="Word.Document.12" shapeId="1025" r:id="rId1">
          <objectPr r:id="rId5">
            <anchor>
              <from>
                <xdr:col>3</xdr:col>
                <xdr:colOff>4219575</xdr:colOff>
                <xdr:row>2</xdr:row>
                <xdr:rowOff>76200</xdr:rowOff>
              </from>
              <to>
                <xdr:col>8</xdr:col>
                <xdr:colOff>990600</xdr:colOff>
                <xdr:row>9</xdr:row>
                <xdr:rowOff>85725</xdr:rowOff>
              </to>
            </anchor>
          </objectPr>
        </oleObject>
      </mc:Choice>
      <mc:Fallback>
        <oleObject progId="Word.Document.12" shapeId="1025" r:id="rId1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0"/>
  <sheetViews>
    <sheetView workbookViewId="0" topLeftCell="A1">
      <selection activeCell="C38" sqref="C38"/>
    </sheetView>
  </sheetViews>
  <sheetFormatPr defaultColWidth="9.140625" defaultRowHeight="15"/>
  <cols>
    <col min="1" max="1" width="6.8515625" style="11" customWidth="1"/>
    <col min="2" max="2" width="8.140625" style="10" customWidth="1"/>
    <col min="3" max="3" width="9.140625" style="10" customWidth="1"/>
    <col min="4" max="4" width="6.421875" style="124" customWidth="1"/>
    <col min="5" max="5" width="6.28125" style="10" customWidth="1"/>
    <col min="6" max="6" width="9.140625" style="10" customWidth="1"/>
    <col min="7" max="7" width="9.00390625" style="124" customWidth="1"/>
    <col min="8" max="8" width="5.7109375" style="10" customWidth="1"/>
    <col min="9" max="9" width="8.00390625" style="10" customWidth="1"/>
    <col min="10" max="10" width="5.57421875" style="124" customWidth="1"/>
    <col min="11" max="12" width="6.28125" style="10" customWidth="1"/>
    <col min="13" max="13" width="6.140625" style="113" customWidth="1"/>
    <col min="14" max="14" width="6.140625" style="10" customWidth="1"/>
    <col min="15" max="15" width="10.00390625" style="10" customWidth="1"/>
    <col min="16" max="16" width="6.57421875" style="10" customWidth="1"/>
    <col min="17" max="17" width="5.8515625" style="10" customWidth="1"/>
    <col min="18" max="18" width="6.28125" style="10" customWidth="1"/>
    <col min="19" max="16384" width="9.140625" style="10" customWidth="1"/>
  </cols>
  <sheetData>
    <row r="1" spans="1:15" ht="23.25" customHeight="1">
      <c r="A1" s="388" t="s">
        <v>83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388"/>
    </row>
    <row r="2" spans="1:15" s="113" customFormat="1" ht="12.75" customHeight="1">
      <c r="A2" s="388" t="str">
        <f>Orçamento!A1</f>
        <v>PREFEITURA MUNICIPAL DE OUREM /PA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  <c r="N2" s="388"/>
      <c r="O2" s="388"/>
    </row>
    <row r="3" spans="1:15" s="113" customFormat="1" ht="12.75" customHeight="1">
      <c r="A3" s="388" t="str">
        <f>Orçamento!A2</f>
        <v>OBRA: CONSTRUÇÃO DE UMA PRAÇA COM DOIS QUIOSQUES E ESTACIONAMENTO</v>
      </c>
      <c r="B3" s="388"/>
      <c r="C3" s="388"/>
      <c r="D3" s="388"/>
      <c r="E3" s="388"/>
      <c r="F3" s="388"/>
      <c r="G3" s="388"/>
      <c r="H3" s="388"/>
      <c r="I3" s="388"/>
      <c r="J3" s="388"/>
      <c r="K3" s="388"/>
      <c r="L3" s="388"/>
      <c r="M3" s="388"/>
      <c r="N3" s="388"/>
      <c r="O3" s="388"/>
    </row>
    <row r="4" spans="1:19" s="11" customFormat="1" ht="14.25" customHeight="1">
      <c r="A4" s="121" t="s">
        <v>182</v>
      </c>
      <c r="B4" s="20" t="s">
        <v>180</v>
      </c>
      <c r="C4" s="121"/>
      <c r="D4" s="20"/>
      <c r="E4" s="121"/>
      <c r="F4" s="121"/>
      <c r="G4" s="20"/>
      <c r="H4" s="121"/>
      <c r="I4" s="121"/>
      <c r="J4" s="20"/>
      <c r="K4" s="121"/>
      <c r="L4" s="121"/>
      <c r="M4" s="20"/>
      <c r="N4" s="121"/>
      <c r="O4" s="121"/>
      <c r="P4" s="20"/>
      <c r="Q4" s="121"/>
      <c r="R4" s="121"/>
      <c r="S4" s="121"/>
    </row>
    <row r="5" spans="1:19" s="11" customFormat="1" ht="14.25" customHeight="1">
      <c r="A5" s="121"/>
      <c r="B5" s="20"/>
      <c r="C5" s="121"/>
      <c r="D5" s="20"/>
      <c r="E5" s="121"/>
      <c r="F5" s="121"/>
      <c r="G5" s="20"/>
      <c r="H5" s="121"/>
      <c r="I5" s="121"/>
      <c r="J5" s="20"/>
      <c r="K5" s="121"/>
      <c r="L5" s="121"/>
      <c r="M5" s="20"/>
      <c r="N5" s="121"/>
      <c r="O5" s="121"/>
      <c r="P5" s="20"/>
      <c r="Q5" s="121"/>
      <c r="R5" s="121"/>
      <c r="S5" s="121"/>
    </row>
    <row r="6" spans="1:19" s="113" customFormat="1" ht="14.25" customHeight="1">
      <c r="A6" s="121"/>
      <c r="B6" s="18" t="s">
        <v>181</v>
      </c>
      <c r="C6" s="19">
        <v>3</v>
      </c>
      <c r="D6" s="122" t="s">
        <v>37</v>
      </c>
      <c r="E6" s="18" t="s">
        <v>85</v>
      </c>
      <c r="F6" s="19">
        <v>2</v>
      </c>
      <c r="G6" s="122" t="s">
        <v>37</v>
      </c>
      <c r="H6" s="18"/>
      <c r="I6" s="19"/>
      <c r="J6" s="122"/>
      <c r="K6" s="19"/>
      <c r="L6" s="19"/>
      <c r="M6" s="122"/>
      <c r="N6" s="19"/>
      <c r="O6" s="19"/>
      <c r="P6" s="122"/>
      <c r="Q6" s="19"/>
      <c r="R6" s="19"/>
      <c r="S6" s="19"/>
    </row>
    <row r="7" spans="1:19" s="113" customFormat="1" ht="15">
      <c r="A7" s="121"/>
      <c r="B7" s="57" t="s">
        <v>181</v>
      </c>
      <c r="C7" s="25">
        <f>C6*F6</f>
        <v>6</v>
      </c>
      <c r="D7" s="123"/>
      <c r="E7" s="26" t="s">
        <v>6</v>
      </c>
      <c r="F7" s="19"/>
      <c r="G7" s="122"/>
      <c r="H7" s="19"/>
      <c r="I7" s="19"/>
      <c r="J7" s="122"/>
      <c r="K7" s="19"/>
      <c r="L7" s="19"/>
      <c r="M7" s="122"/>
      <c r="N7" s="19"/>
      <c r="O7" s="19"/>
      <c r="P7" s="122"/>
      <c r="Q7" s="19"/>
      <c r="R7" s="19"/>
      <c r="S7" s="19"/>
    </row>
    <row r="8" spans="1:19" s="113" customFormat="1" ht="15">
      <c r="A8" s="121"/>
      <c r="B8" s="18"/>
      <c r="C8" s="19"/>
      <c r="D8" s="122"/>
      <c r="E8" s="18"/>
      <c r="F8" s="19"/>
      <c r="G8" s="122"/>
      <c r="H8" s="19"/>
      <c r="I8" s="19"/>
      <c r="J8" s="122"/>
      <c r="K8" s="19"/>
      <c r="L8" s="19"/>
      <c r="M8" s="122"/>
      <c r="N8" s="19"/>
      <c r="O8" s="19"/>
      <c r="P8" s="122"/>
      <c r="Q8" s="19"/>
      <c r="R8" s="19"/>
      <c r="S8" s="19"/>
    </row>
    <row r="9" spans="1:10" s="11" customFormat="1" ht="15">
      <c r="A9" s="11" t="s">
        <v>330</v>
      </c>
      <c r="B9" s="12" t="s">
        <v>214</v>
      </c>
      <c r="D9" s="12"/>
      <c r="G9" s="13" t="s">
        <v>84</v>
      </c>
      <c r="J9" s="12"/>
    </row>
    <row r="10" spans="2:4" ht="18.75" customHeight="1">
      <c r="B10" s="10" t="s">
        <v>317</v>
      </c>
      <c r="C10" s="10">
        <v>843.79</v>
      </c>
      <c r="D10" s="124" t="s">
        <v>6</v>
      </c>
    </row>
    <row r="11" ht="15">
      <c r="E11" s="14"/>
    </row>
    <row r="12" spans="2:7" ht="15">
      <c r="B12" s="10" t="s">
        <v>165</v>
      </c>
      <c r="C12" s="10">
        <f>C10</f>
        <v>843.79</v>
      </c>
      <c r="D12" s="124" t="s">
        <v>6</v>
      </c>
      <c r="E12" s="14"/>
      <c r="F12" s="16"/>
      <c r="G12" s="249"/>
    </row>
    <row r="14" spans="1:2" ht="15">
      <c r="A14" s="15">
        <v>2</v>
      </c>
      <c r="B14" s="12" t="s">
        <v>29</v>
      </c>
    </row>
    <row r="15" spans="1:10" s="113" customFormat="1" ht="15">
      <c r="A15" s="15"/>
      <c r="B15" s="12"/>
      <c r="D15" s="124"/>
      <c r="G15" s="124"/>
      <c r="J15" s="124"/>
    </row>
    <row r="16" spans="1:10" s="113" customFormat="1" ht="15">
      <c r="A16" s="15" t="s">
        <v>34</v>
      </c>
      <c r="B16" s="12" t="s">
        <v>239</v>
      </c>
      <c r="D16" s="124"/>
      <c r="G16" s="124"/>
      <c r="J16" s="124"/>
    </row>
    <row r="17" spans="1:19" s="113" customFormat="1" ht="15">
      <c r="A17" s="15"/>
      <c r="B17" s="23" t="s">
        <v>318</v>
      </c>
      <c r="C17" s="113">
        <v>123.6</v>
      </c>
      <c r="D17" s="23"/>
      <c r="F17" s="14"/>
      <c r="G17" s="124"/>
      <c r="J17" s="124"/>
      <c r="L17" s="367" t="s">
        <v>240</v>
      </c>
      <c r="M17" s="367">
        <v>13.9</v>
      </c>
      <c r="N17" s="367" t="s">
        <v>241</v>
      </c>
      <c r="O17" s="367">
        <v>10.15</v>
      </c>
      <c r="P17" s="367" t="s">
        <v>242</v>
      </c>
      <c r="Q17" s="367">
        <v>13.9</v>
      </c>
      <c r="R17" s="367" t="s">
        <v>243</v>
      </c>
      <c r="S17" s="367">
        <v>34.23</v>
      </c>
    </row>
    <row r="18" spans="2:15" ht="15">
      <c r="B18" s="11" t="s">
        <v>96</v>
      </c>
      <c r="C18" s="10">
        <f>C17</f>
        <v>123.6</v>
      </c>
      <c r="D18" s="124" t="s">
        <v>6</v>
      </c>
      <c r="H18" s="113"/>
      <c r="I18" s="113"/>
      <c r="J18" s="113"/>
      <c r="K18" s="113"/>
      <c r="L18" s="113"/>
      <c r="N18" s="113"/>
      <c r="O18" s="113"/>
    </row>
    <row r="19" spans="1:10" s="11" customFormat="1" ht="14.25" customHeight="1">
      <c r="A19" s="11" t="s">
        <v>160</v>
      </c>
      <c r="B19" s="12" t="s">
        <v>164</v>
      </c>
      <c r="D19" s="12"/>
      <c r="G19" s="12"/>
      <c r="J19" s="12"/>
    </row>
    <row r="20" spans="2:7" ht="36" customHeight="1">
      <c r="B20" s="10" t="s">
        <v>235</v>
      </c>
      <c r="C20" s="10">
        <v>125.53</v>
      </c>
      <c r="D20" s="124" t="s">
        <v>97</v>
      </c>
      <c r="E20" s="10">
        <v>140.85</v>
      </c>
      <c r="F20" s="10" t="s">
        <v>86</v>
      </c>
      <c r="G20" s="124">
        <f>SUM(C20+E20)</f>
        <v>266.38</v>
      </c>
    </row>
    <row r="21" spans="2:7" ht="15">
      <c r="B21" s="14" t="s">
        <v>236</v>
      </c>
      <c r="C21" s="10">
        <v>6.82</v>
      </c>
      <c r="D21" s="124" t="s">
        <v>85</v>
      </c>
      <c r="E21" s="14">
        <v>2</v>
      </c>
      <c r="F21" s="10" t="s">
        <v>86</v>
      </c>
      <c r="G21" s="124">
        <f>SUM(C21*E21)</f>
        <v>13.64</v>
      </c>
    </row>
    <row r="22" spans="2:7" ht="15">
      <c r="B22" s="14" t="s">
        <v>247</v>
      </c>
      <c r="C22" s="10">
        <f>SUM(G20-G21)</f>
        <v>252.74</v>
      </c>
      <c r="E22" s="14"/>
      <c r="F22" s="16"/>
      <c r="G22" s="127"/>
    </row>
    <row r="23" spans="2:5" ht="15">
      <c r="B23" s="58" t="s">
        <v>184</v>
      </c>
      <c r="C23" s="28">
        <f>C22</f>
        <v>252.74</v>
      </c>
      <c r="D23" s="128"/>
      <c r="E23" s="29" t="s">
        <v>6</v>
      </c>
    </row>
    <row r="25" spans="1:10" s="370" customFormat="1" ht="15">
      <c r="A25" s="11" t="s">
        <v>177</v>
      </c>
      <c r="B25" s="394" t="s">
        <v>324</v>
      </c>
      <c r="C25" s="394"/>
      <c r="D25" s="394"/>
      <c r="E25" s="394"/>
      <c r="F25" s="394"/>
      <c r="G25" s="394"/>
      <c r="H25" s="394"/>
      <c r="I25" s="394"/>
      <c r="J25" s="394"/>
    </row>
    <row r="26" spans="1:10" s="370" customFormat="1" ht="15">
      <c r="A26" s="11"/>
      <c r="D26" s="124"/>
      <c r="G26" s="124"/>
      <c r="J26" s="124"/>
    </row>
    <row r="27" spans="1:10" s="370" customFormat="1" ht="15">
      <c r="A27" s="11"/>
      <c r="B27" s="14" t="s">
        <v>325</v>
      </c>
      <c r="C27" s="124">
        <v>456.17</v>
      </c>
      <c r="D27" s="124" t="s">
        <v>85</v>
      </c>
      <c r="E27" s="370">
        <v>0.03</v>
      </c>
      <c r="F27" s="370" t="s">
        <v>86</v>
      </c>
      <c r="G27" s="124">
        <f>SUM(C27*E27)</f>
        <v>13.6851</v>
      </c>
      <c r="J27" s="124"/>
    </row>
    <row r="28" spans="1:10" s="370" customFormat="1" ht="15">
      <c r="A28" s="11"/>
      <c r="B28" s="57" t="s">
        <v>183</v>
      </c>
      <c r="C28" s="25">
        <f>G27</f>
        <v>13.6851</v>
      </c>
      <c r="D28" s="123"/>
      <c r="E28" s="26" t="s">
        <v>7</v>
      </c>
      <c r="F28" s="17"/>
      <c r="G28" s="17"/>
      <c r="J28" s="124"/>
    </row>
    <row r="29" spans="1:10" s="370" customFormat="1" ht="15">
      <c r="A29" s="11"/>
      <c r="D29" s="124"/>
      <c r="G29" s="124"/>
      <c r="J29" s="124"/>
    </row>
    <row r="30" spans="1:10" s="370" customFormat="1" ht="15">
      <c r="A30" s="11"/>
      <c r="D30" s="124"/>
      <c r="G30" s="124"/>
      <c r="J30" s="124"/>
    </row>
    <row r="31" spans="1:10" s="370" customFormat="1" ht="15">
      <c r="A31" s="11"/>
      <c r="D31" s="124"/>
      <c r="G31" s="124"/>
      <c r="J31" s="124"/>
    </row>
    <row r="32" spans="1:10" s="11" customFormat="1" ht="15">
      <c r="A32" s="15" t="s">
        <v>177</v>
      </c>
      <c r="B32" s="12" t="s">
        <v>244</v>
      </c>
      <c r="D32" s="12"/>
      <c r="G32" s="12"/>
      <c r="J32" s="12"/>
    </row>
    <row r="33" spans="2:9" ht="13.5" customHeight="1">
      <c r="B33" s="112"/>
      <c r="C33" s="112"/>
      <c r="E33" s="112"/>
      <c r="F33" s="112"/>
      <c r="H33" s="112"/>
      <c r="I33" s="112"/>
    </row>
    <row r="34" spans="1:15" s="113" customFormat="1" ht="13.5" customHeight="1">
      <c r="A34" s="11"/>
      <c r="B34" s="14" t="s">
        <v>183</v>
      </c>
      <c r="C34" s="124">
        <v>5.61</v>
      </c>
      <c r="D34" s="124">
        <v>6.69</v>
      </c>
      <c r="E34" s="113">
        <v>82.4</v>
      </c>
      <c r="F34" s="113">
        <v>7.32</v>
      </c>
      <c r="G34" s="124">
        <v>6.47</v>
      </c>
      <c r="H34" s="113" t="s">
        <v>37</v>
      </c>
      <c r="J34" s="23"/>
      <c r="L34" s="14"/>
      <c r="M34" s="124"/>
      <c r="O34" s="124"/>
    </row>
    <row r="35" spans="2:9" ht="15">
      <c r="B35" s="57" t="s">
        <v>183</v>
      </c>
      <c r="C35" s="25">
        <f>SUM(C34,D34,E34,F34,G34)</f>
        <v>108.49000000000001</v>
      </c>
      <c r="D35" s="123"/>
      <c r="E35" s="26" t="s">
        <v>37</v>
      </c>
      <c r="F35" s="17"/>
      <c r="G35" s="17"/>
      <c r="H35" s="112"/>
      <c r="I35" s="112"/>
    </row>
    <row r="36" spans="1:10" s="374" customFormat="1" ht="15">
      <c r="A36" s="371"/>
      <c r="B36" s="372"/>
      <c r="C36" s="270"/>
      <c r="D36" s="271"/>
      <c r="E36" s="372"/>
      <c r="F36" s="373"/>
      <c r="G36" s="373"/>
      <c r="J36" s="375"/>
    </row>
    <row r="37" spans="1:10" s="374" customFormat="1" ht="15">
      <c r="A37" s="15" t="s">
        <v>35</v>
      </c>
      <c r="B37" s="12" t="s">
        <v>319</v>
      </c>
      <c r="C37" s="11"/>
      <c r="D37" s="12"/>
      <c r="E37" s="11"/>
      <c r="F37" s="11"/>
      <c r="G37" s="12"/>
      <c r="H37" s="11"/>
      <c r="J37" s="375"/>
    </row>
    <row r="38" spans="1:10" s="374" customFormat="1" ht="15">
      <c r="A38" s="11"/>
      <c r="B38" s="370"/>
      <c r="C38" s="370"/>
      <c r="D38" s="124"/>
      <c r="E38" s="370"/>
      <c r="F38" s="370"/>
      <c r="G38" s="124"/>
      <c r="H38" s="370"/>
      <c r="J38" s="375"/>
    </row>
    <row r="39" spans="1:10" s="374" customFormat="1" ht="15">
      <c r="A39" s="11"/>
      <c r="B39" s="14" t="s">
        <v>183</v>
      </c>
      <c r="C39" s="124">
        <v>15.63</v>
      </c>
      <c r="D39" s="124">
        <v>112.5</v>
      </c>
      <c r="E39" s="370">
        <v>15.78</v>
      </c>
      <c r="F39" s="370"/>
      <c r="G39" s="124"/>
      <c r="H39" s="370"/>
      <c r="J39" s="375"/>
    </row>
    <row r="40" spans="1:10" s="374" customFormat="1" ht="15">
      <c r="A40" s="11"/>
      <c r="B40" s="57" t="s">
        <v>183</v>
      </c>
      <c r="C40" s="25">
        <f>SUM(C39,D39,E39)</f>
        <v>143.91</v>
      </c>
      <c r="D40" s="123"/>
      <c r="E40" s="26" t="s">
        <v>37</v>
      </c>
      <c r="F40" s="17"/>
      <c r="G40" s="17"/>
      <c r="H40" s="370"/>
      <c r="J40" s="375"/>
    </row>
    <row r="41" spans="1:10" s="374" customFormat="1" ht="15">
      <c r="A41" s="371"/>
      <c r="B41" s="372"/>
      <c r="C41" s="270"/>
      <c r="D41" s="271"/>
      <c r="E41" s="372"/>
      <c r="F41" s="373"/>
      <c r="G41" s="373"/>
      <c r="J41" s="375"/>
    </row>
    <row r="42" spans="2:5" ht="15">
      <c r="B42" s="18"/>
      <c r="C42" s="19"/>
      <c r="D42" s="122"/>
      <c r="E42" s="18"/>
    </row>
    <row r="43" spans="1:19" s="11" customFormat="1" ht="14.25" customHeight="1">
      <c r="A43" s="121" t="s">
        <v>36</v>
      </c>
      <c r="B43" s="20" t="s">
        <v>179</v>
      </c>
      <c r="C43" s="121"/>
      <c r="D43" s="20"/>
      <c r="E43" s="121"/>
      <c r="F43" s="121"/>
      <c r="G43" s="20"/>
      <c r="H43" s="121"/>
      <c r="I43" s="121"/>
      <c r="J43" s="20"/>
      <c r="K43" s="121"/>
      <c r="L43" s="121"/>
      <c r="M43" s="20"/>
      <c r="N43" s="121"/>
      <c r="O43" s="121"/>
      <c r="P43" s="20"/>
      <c r="Q43" s="121"/>
      <c r="R43" s="121"/>
      <c r="S43" s="121"/>
    </row>
    <row r="44" spans="1:19" s="11" customFormat="1" ht="14.25" customHeight="1">
      <c r="A44" s="121"/>
      <c r="B44" s="20"/>
      <c r="C44" s="121"/>
      <c r="D44" s="20"/>
      <c r="E44" s="121"/>
      <c r="F44" s="121"/>
      <c r="G44" s="20"/>
      <c r="H44" s="121"/>
      <c r="I44" s="121"/>
      <c r="J44" s="20"/>
      <c r="K44" s="121"/>
      <c r="L44" s="121"/>
      <c r="M44" s="20"/>
      <c r="N44" s="121"/>
      <c r="O44" s="121"/>
      <c r="P44" s="20"/>
      <c r="Q44" s="121"/>
      <c r="R44" s="121"/>
      <c r="S44" s="121"/>
    </row>
    <row r="45" spans="1:19" s="113" customFormat="1" ht="14.25" customHeight="1">
      <c r="A45" s="121"/>
      <c r="B45" s="18" t="s">
        <v>181</v>
      </c>
      <c r="C45" s="19">
        <f>C35+C40</f>
        <v>252.4</v>
      </c>
      <c r="D45" s="122" t="s">
        <v>37</v>
      </c>
      <c r="E45" s="18" t="s">
        <v>85</v>
      </c>
      <c r="F45" s="19">
        <v>0.2</v>
      </c>
      <c r="G45" s="122" t="s">
        <v>37</v>
      </c>
      <c r="H45" s="18"/>
      <c r="I45" s="19"/>
      <c r="J45" s="122"/>
      <c r="K45" s="19"/>
      <c r="L45" s="19"/>
      <c r="M45" s="122"/>
      <c r="N45" s="19"/>
      <c r="O45" s="19"/>
      <c r="P45" s="122"/>
      <c r="Q45" s="19"/>
      <c r="R45" s="19"/>
      <c r="S45" s="19"/>
    </row>
    <row r="46" spans="1:19" s="113" customFormat="1" ht="15">
      <c r="A46" s="121"/>
      <c r="B46" s="57" t="s">
        <v>181</v>
      </c>
      <c r="C46" s="25">
        <f>C45*F45</f>
        <v>50.480000000000004</v>
      </c>
      <c r="D46" s="123"/>
      <c r="E46" s="26" t="s">
        <v>6</v>
      </c>
      <c r="F46" s="19"/>
      <c r="G46" s="122"/>
      <c r="H46" s="19"/>
      <c r="I46" s="19"/>
      <c r="J46" s="122"/>
      <c r="K46" s="19"/>
      <c r="L46" s="19"/>
      <c r="M46" s="122"/>
      <c r="N46" s="19"/>
      <c r="O46" s="19"/>
      <c r="P46" s="122"/>
      <c r="Q46" s="19"/>
      <c r="R46" s="19"/>
      <c r="S46" s="19"/>
    </row>
    <row r="47" spans="1:19" s="113" customFormat="1" ht="15">
      <c r="A47" s="121"/>
      <c r="B47" s="18"/>
      <c r="C47" s="19"/>
      <c r="D47" s="122"/>
      <c r="E47" s="18"/>
      <c r="F47" s="19"/>
      <c r="G47" s="122"/>
      <c r="H47" s="19"/>
      <c r="I47" s="19"/>
      <c r="J47" s="122"/>
      <c r="K47" s="19"/>
      <c r="L47" s="19"/>
      <c r="M47" s="122"/>
      <c r="N47" s="19"/>
      <c r="O47" s="19"/>
      <c r="P47" s="122"/>
      <c r="Q47" s="19"/>
      <c r="R47" s="19"/>
      <c r="S47" s="19"/>
    </row>
    <row r="48" ht="15" customHeight="1"/>
    <row r="49" spans="1:2" ht="15">
      <c r="A49" s="132">
        <v>3</v>
      </c>
      <c r="B49" s="12" t="s">
        <v>233</v>
      </c>
    </row>
    <row r="50" spans="1:2" ht="15">
      <c r="A50" s="132" t="s">
        <v>8</v>
      </c>
      <c r="B50" s="12" t="s">
        <v>62</v>
      </c>
    </row>
    <row r="51" spans="1:10" s="11" customFormat="1" ht="15">
      <c r="A51" s="132" t="s">
        <v>38</v>
      </c>
      <c r="B51" s="12" t="s">
        <v>14</v>
      </c>
      <c r="D51" s="12"/>
      <c r="G51" s="12"/>
      <c r="J51" s="12"/>
    </row>
    <row r="52" spans="1:10" s="11" customFormat="1" ht="15">
      <c r="A52" s="132" t="s">
        <v>40</v>
      </c>
      <c r="B52" s="12" t="s">
        <v>216</v>
      </c>
      <c r="D52" s="12"/>
      <c r="G52" s="12"/>
      <c r="J52" s="12"/>
    </row>
    <row r="53" spans="1:10" s="11" customFormat="1" ht="15">
      <c r="A53" s="132"/>
      <c r="B53" s="12"/>
      <c r="D53" s="12"/>
      <c r="G53" s="12"/>
      <c r="J53" s="12"/>
    </row>
    <row r="54" spans="1:10" ht="13.5" customHeight="1">
      <c r="A54" s="121"/>
      <c r="B54" s="130" t="s">
        <v>90</v>
      </c>
      <c r="C54" s="19"/>
      <c r="D54" s="122"/>
      <c r="E54" s="19"/>
      <c r="F54" s="19"/>
      <c r="G54" s="122"/>
      <c r="H54" s="19"/>
      <c r="I54" s="19"/>
      <c r="J54" s="122"/>
    </row>
    <row r="55" spans="1:11" ht="15">
      <c r="A55" s="121"/>
      <c r="B55" s="18" t="s">
        <v>87</v>
      </c>
      <c r="C55" s="19">
        <f>(2.29+2.7)*2</f>
        <v>9.98</v>
      </c>
      <c r="D55" s="122" t="s">
        <v>37</v>
      </c>
      <c r="E55" s="18" t="s">
        <v>85</v>
      </c>
      <c r="F55" s="19">
        <v>0.5</v>
      </c>
      <c r="G55" s="122" t="s">
        <v>37</v>
      </c>
      <c r="H55" s="18" t="s">
        <v>85</v>
      </c>
      <c r="I55" s="19">
        <v>0.3</v>
      </c>
      <c r="J55" s="122" t="s">
        <v>37</v>
      </c>
      <c r="K55" s="14"/>
    </row>
    <row r="56" spans="1:7" ht="15">
      <c r="A56" s="121"/>
      <c r="B56" s="57" t="s">
        <v>87</v>
      </c>
      <c r="C56" s="25">
        <f>C55*F55*I55</f>
        <v>1.497</v>
      </c>
      <c r="D56" s="123"/>
      <c r="E56" s="26" t="s">
        <v>7</v>
      </c>
      <c r="F56" s="17"/>
      <c r="G56" s="17"/>
    </row>
    <row r="57" spans="1:10" s="113" customFormat="1" ht="15">
      <c r="A57" s="121"/>
      <c r="B57" s="18"/>
      <c r="C57" s="19"/>
      <c r="D57" s="122"/>
      <c r="E57" s="18"/>
      <c r="F57" s="17"/>
      <c r="G57" s="17"/>
      <c r="J57" s="124"/>
    </row>
    <row r="58" spans="1:10" s="11" customFormat="1" ht="14.25" customHeight="1">
      <c r="A58" s="121" t="s">
        <v>39</v>
      </c>
      <c r="B58" s="12" t="s">
        <v>88</v>
      </c>
      <c r="D58" s="12"/>
      <c r="G58" s="12"/>
      <c r="J58" s="12"/>
    </row>
    <row r="59" ht="14.25" customHeight="1">
      <c r="A59" s="121"/>
    </row>
    <row r="60" spans="1:15" ht="15">
      <c r="A60" s="121"/>
      <c r="B60" s="18" t="s">
        <v>185</v>
      </c>
      <c r="C60" s="19">
        <f>C55</f>
        <v>9.98</v>
      </c>
      <c r="D60" s="122" t="s">
        <v>37</v>
      </c>
      <c r="E60" s="18" t="s">
        <v>85</v>
      </c>
      <c r="F60" s="19">
        <f>I55</f>
        <v>0.3</v>
      </c>
      <c r="G60" s="122" t="s">
        <v>37</v>
      </c>
      <c r="H60" s="113" t="s">
        <v>85</v>
      </c>
      <c r="I60" s="113">
        <v>0.03</v>
      </c>
      <c r="J60" s="124" t="s">
        <v>37</v>
      </c>
      <c r="K60" s="18"/>
      <c r="L60" s="19"/>
      <c r="M60" s="122"/>
      <c r="N60" s="130"/>
      <c r="O60" s="19"/>
    </row>
    <row r="61" spans="1:5" ht="15">
      <c r="A61" s="121"/>
      <c r="B61" s="58" t="s">
        <v>89</v>
      </c>
      <c r="C61" s="28">
        <f>C60*F60*I60</f>
        <v>0.08982</v>
      </c>
      <c r="D61" s="128"/>
      <c r="E61" s="29" t="s">
        <v>7</v>
      </c>
    </row>
    <row r="62" ht="15">
      <c r="A62" s="121"/>
    </row>
    <row r="63" spans="1:10" s="11" customFormat="1" ht="15">
      <c r="A63" s="132" t="s">
        <v>40</v>
      </c>
      <c r="B63" s="12" t="s">
        <v>186</v>
      </c>
      <c r="D63" s="12"/>
      <c r="G63" s="12"/>
      <c r="J63" s="12"/>
    </row>
    <row r="64" ht="13.5" customHeight="1">
      <c r="A64" s="121"/>
    </row>
    <row r="65" spans="1:11" ht="15">
      <c r="A65" s="121"/>
      <c r="B65" s="18" t="s">
        <v>103</v>
      </c>
      <c r="C65" s="19">
        <f>C55</f>
        <v>9.98</v>
      </c>
      <c r="D65" s="122" t="s">
        <v>37</v>
      </c>
      <c r="E65" s="18" t="s">
        <v>85</v>
      </c>
      <c r="F65" s="19">
        <v>0.6</v>
      </c>
      <c r="G65" s="122" t="s">
        <v>37</v>
      </c>
      <c r="H65" s="18" t="s">
        <v>85</v>
      </c>
      <c r="I65" s="19">
        <v>0.2</v>
      </c>
      <c r="J65" s="122" t="s">
        <v>37</v>
      </c>
      <c r="K65" s="14"/>
    </row>
    <row r="66" spans="1:7" ht="15">
      <c r="A66" s="121"/>
      <c r="B66" s="58" t="s">
        <v>87</v>
      </c>
      <c r="C66" s="28">
        <f>C65*F65*I65</f>
        <v>1.1976000000000002</v>
      </c>
      <c r="D66" s="128"/>
      <c r="E66" s="29" t="s">
        <v>7</v>
      </c>
      <c r="F66" s="17"/>
      <c r="G66" s="17"/>
    </row>
    <row r="67" spans="1:5" ht="15">
      <c r="A67" s="121"/>
      <c r="B67" s="18"/>
      <c r="C67" s="19"/>
      <c r="D67" s="122"/>
      <c r="E67" s="18"/>
    </row>
    <row r="68" spans="1:10" s="11" customFormat="1" ht="15">
      <c r="A68" s="132" t="s">
        <v>41</v>
      </c>
      <c r="B68" s="12" t="s">
        <v>91</v>
      </c>
      <c r="D68" s="12"/>
      <c r="G68" s="12"/>
      <c r="J68" s="12"/>
    </row>
    <row r="69" ht="13.5" customHeight="1">
      <c r="A69" s="121"/>
    </row>
    <row r="70" spans="1:11" ht="15">
      <c r="A70" s="121"/>
      <c r="B70" s="14" t="s">
        <v>87</v>
      </c>
      <c r="C70" s="10">
        <f>C65</f>
        <v>9.98</v>
      </c>
      <c r="E70" s="14" t="s">
        <v>85</v>
      </c>
      <c r="F70" s="10">
        <v>0.6</v>
      </c>
      <c r="H70" s="14"/>
      <c r="K70" s="14"/>
    </row>
    <row r="71" spans="1:7" ht="15">
      <c r="A71" s="121"/>
      <c r="B71" s="58" t="s">
        <v>87</v>
      </c>
      <c r="C71" s="28">
        <f>C70*F70</f>
        <v>5.988</v>
      </c>
      <c r="D71" s="128"/>
      <c r="E71" s="29" t="s">
        <v>6</v>
      </c>
      <c r="F71" s="17"/>
      <c r="G71" s="17"/>
    </row>
    <row r="72" spans="1:5" ht="15">
      <c r="A72" s="121"/>
      <c r="B72" s="18"/>
      <c r="C72" s="19"/>
      <c r="D72" s="122"/>
      <c r="E72" s="18"/>
    </row>
    <row r="73" spans="1:10" s="11" customFormat="1" ht="15">
      <c r="A73" s="132" t="s">
        <v>82</v>
      </c>
      <c r="B73" s="12" t="s">
        <v>64</v>
      </c>
      <c r="D73" s="12"/>
      <c r="G73" s="12"/>
      <c r="J73" s="12"/>
    </row>
    <row r="74" ht="13.5" customHeight="1">
      <c r="A74" s="121"/>
    </row>
    <row r="75" spans="1:11" ht="15">
      <c r="A75" s="121"/>
      <c r="B75" s="18" t="s">
        <v>187</v>
      </c>
      <c r="C75" s="19">
        <f>C55</f>
        <v>9.98</v>
      </c>
      <c r="D75" s="122" t="s">
        <v>37</v>
      </c>
      <c r="E75" s="18" t="s">
        <v>85</v>
      </c>
      <c r="F75" s="19">
        <v>0.8</v>
      </c>
      <c r="G75" s="122" t="s">
        <v>37</v>
      </c>
      <c r="H75" s="14"/>
      <c r="K75" s="14"/>
    </row>
    <row r="76" spans="1:7" ht="15">
      <c r="A76" s="121"/>
      <c r="B76" s="58" t="s">
        <v>87</v>
      </c>
      <c r="C76" s="28">
        <f>C75*F75</f>
        <v>7.984000000000001</v>
      </c>
      <c r="D76" s="128"/>
      <c r="E76" s="29" t="s">
        <v>6</v>
      </c>
      <c r="F76" s="17"/>
      <c r="G76" s="17"/>
    </row>
    <row r="77" spans="1:5" ht="15">
      <c r="A77" s="121"/>
      <c r="B77" s="18"/>
      <c r="C77" s="19"/>
      <c r="D77" s="122"/>
      <c r="E77" s="18"/>
    </row>
    <row r="78" spans="1:5" ht="15">
      <c r="A78" s="121" t="s">
        <v>9</v>
      </c>
      <c r="B78" s="20" t="s">
        <v>65</v>
      </c>
      <c r="C78" s="19"/>
      <c r="D78" s="122"/>
      <c r="E78" s="18"/>
    </row>
    <row r="79" spans="1:10" s="11" customFormat="1" ht="14.25" customHeight="1">
      <c r="A79" s="121" t="s">
        <v>42</v>
      </c>
      <c r="B79" s="12" t="s">
        <v>92</v>
      </c>
      <c r="D79" s="12"/>
      <c r="G79" s="12"/>
      <c r="J79" s="12"/>
    </row>
    <row r="80" ht="14.25" customHeight="1">
      <c r="A80" s="10"/>
    </row>
    <row r="81" spans="1:14" ht="15">
      <c r="A81" s="121"/>
      <c r="B81" s="14" t="s">
        <v>89</v>
      </c>
      <c r="C81" s="19">
        <v>3.55</v>
      </c>
      <c r="D81" s="122" t="s">
        <v>37</v>
      </c>
      <c r="E81" s="18" t="s">
        <v>85</v>
      </c>
      <c r="F81" s="19">
        <v>0.2</v>
      </c>
      <c r="G81" s="122" t="s">
        <v>37</v>
      </c>
      <c r="H81" s="18" t="s">
        <v>85</v>
      </c>
      <c r="I81" s="19">
        <v>0.2</v>
      </c>
      <c r="J81" s="122" t="s">
        <v>37</v>
      </c>
      <c r="K81" s="18" t="s">
        <v>85</v>
      </c>
      <c r="L81" s="131">
        <v>4</v>
      </c>
      <c r="M81" s="122" t="s">
        <v>30</v>
      </c>
      <c r="N81" s="14"/>
    </row>
    <row r="82" spans="1:5" ht="15">
      <c r="A82" s="121"/>
      <c r="B82" s="58" t="s">
        <v>89</v>
      </c>
      <c r="C82" s="28">
        <f>C81*F81*I81*L81</f>
        <v>0.568</v>
      </c>
      <c r="D82" s="128"/>
      <c r="E82" s="29" t="s">
        <v>7</v>
      </c>
    </row>
    <row r="83" ht="15">
      <c r="A83" s="121"/>
    </row>
    <row r="84" spans="1:10" s="11" customFormat="1" ht="15">
      <c r="A84" s="121" t="s">
        <v>43</v>
      </c>
      <c r="B84" s="12" t="s">
        <v>93</v>
      </c>
      <c r="D84" s="12"/>
      <c r="G84" s="12"/>
      <c r="J84" s="12"/>
    </row>
    <row r="85" spans="1:16" ht="15">
      <c r="A85" s="121"/>
      <c r="P85" s="14"/>
    </row>
    <row r="86" spans="2:11" ht="15">
      <c r="B86" s="18" t="s">
        <v>114</v>
      </c>
      <c r="C86" s="19">
        <f>C65</f>
        <v>9.98</v>
      </c>
      <c r="D86" s="122" t="s">
        <v>37</v>
      </c>
      <c r="E86" s="18" t="s">
        <v>85</v>
      </c>
      <c r="F86" s="19">
        <v>0.3</v>
      </c>
      <c r="G86" s="122" t="s">
        <v>37</v>
      </c>
      <c r="H86" s="18" t="s">
        <v>85</v>
      </c>
      <c r="I86" s="19">
        <v>0.2</v>
      </c>
      <c r="J86" s="122" t="s">
        <v>37</v>
      </c>
      <c r="K86" s="14"/>
    </row>
    <row r="87" spans="2:5" ht="15">
      <c r="B87" s="58" t="s">
        <v>94</v>
      </c>
      <c r="C87" s="28">
        <f>C86*F86*I86</f>
        <v>0.5988000000000001</v>
      </c>
      <c r="D87" s="128"/>
      <c r="E87" s="29" t="s">
        <v>7</v>
      </c>
    </row>
    <row r="89" spans="1:2" ht="15">
      <c r="A89" s="11" t="s">
        <v>10</v>
      </c>
      <c r="B89" s="12" t="s">
        <v>68</v>
      </c>
    </row>
    <row r="90" spans="1:10" s="11" customFormat="1" ht="15">
      <c r="A90" s="11" t="s">
        <v>135</v>
      </c>
      <c r="B90" s="12" t="s">
        <v>95</v>
      </c>
      <c r="D90" s="12"/>
      <c r="G90" s="12"/>
      <c r="J90" s="12"/>
    </row>
    <row r="91" spans="1:15" ht="15">
      <c r="A91" s="121"/>
      <c r="B91" s="19"/>
      <c r="C91" s="19"/>
      <c r="D91" s="122"/>
      <c r="E91" s="19"/>
      <c r="F91" s="19"/>
      <c r="G91" s="122"/>
      <c r="H91" s="19"/>
      <c r="I91" s="19"/>
      <c r="J91" s="122"/>
      <c r="K91" s="19"/>
      <c r="L91" s="19"/>
      <c r="M91" s="122"/>
      <c r="N91" s="19"/>
      <c r="O91" s="19"/>
    </row>
    <row r="92" spans="1:15" ht="15" customHeight="1">
      <c r="A92" s="121"/>
      <c r="B92" s="19"/>
      <c r="C92" s="19"/>
      <c r="D92" s="122"/>
      <c r="E92" s="19"/>
      <c r="F92" s="133" t="s">
        <v>188</v>
      </c>
      <c r="G92" s="122"/>
      <c r="H92" s="19"/>
      <c r="I92" s="19"/>
      <c r="J92" s="122"/>
      <c r="K92" s="19"/>
      <c r="L92" s="19"/>
      <c r="M92" s="122"/>
      <c r="N92" s="19"/>
      <c r="O92" s="19"/>
    </row>
    <row r="93" spans="1:16" ht="12.75" customHeight="1">
      <c r="A93" s="134" t="s">
        <v>189</v>
      </c>
      <c r="B93" s="19" t="s">
        <v>96</v>
      </c>
      <c r="C93" s="19">
        <f>(2.65+2.1)*2</f>
        <v>9.5</v>
      </c>
      <c r="D93" s="122" t="s">
        <v>37</v>
      </c>
      <c r="E93" s="19" t="s">
        <v>85</v>
      </c>
      <c r="F93" s="19">
        <v>2.9</v>
      </c>
      <c r="G93" s="122" t="s">
        <v>37</v>
      </c>
      <c r="H93" s="19" t="s">
        <v>86</v>
      </c>
      <c r="I93" s="19">
        <f>C93*F93</f>
        <v>27.55</v>
      </c>
      <c r="J93" s="122" t="s">
        <v>6</v>
      </c>
      <c r="K93" s="19"/>
      <c r="L93" s="19"/>
      <c r="M93" s="122"/>
      <c r="N93" s="393" t="s">
        <v>191</v>
      </c>
      <c r="O93" s="393"/>
      <c r="P93" s="393"/>
    </row>
    <row r="94" spans="1:16" s="113" customFormat="1" ht="12.75" customHeight="1">
      <c r="A94" s="389" t="s">
        <v>190</v>
      </c>
      <c r="B94" s="19"/>
      <c r="C94" s="19"/>
      <c r="D94" s="122"/>
      <c r="E94" s="19"/>
      <c r="F94" s="19"/>
      <c r="G94" s="122"/>
      <c r="H94" s="19"/>
      <c r="I94" s="19"/>
      <c r="J94" s="122"/>
      <c r="K94" s="19"/>
      <c r="L94" s="19"/>
      <c r="M94" s="122"/>
      <c r="N94" s="393"/>
      <c r="O94" s="393"/>
      <c r="P94" s="393"/>
    </row>
    <row r="95" spans="1:16" s="113" customFormat="1" ht="12.75" customHeight="1">
      <c r="A95" s="389"/>
      <c r="B95" s="19" t="s">
        <v>96</v>
      </c>
      <c r="C95" s="19">
        <f>2*1.2*1.9</f>
        <v>4.56</v>
      </c>
      <c r="D95" s="122" t="s">
        <v>6</v>
      </c>
      <c r="E95" s="18" t="s">
        <v>97</v>
      </c>
      <c r="F95" s="19">
        <f>1.2*2</f>
        <v>2.4</v>
      </c>
      <c r="G95" s="122" t="s">
        <v>6</v>
      </c>
      <c r="H95" s="19" t="s">
        <v>97</v>
      </c>
      <c r="I95" s="19">
        <f>1.15*0.8</f>
        <v>0.9199999999999999</v>
      </c>
      <c r="J95" s="122" t="s">
        <v>6</v>
      </c>
      <c r="K95" s="19" t="s">
        <v>86</v>
      </c>
      <c r="L95" s="19">
        <f>C95+F95+I95</f>
        <v>7.879999999999999</v>
      </c>
      <c r="M95" s="122" t="s">
        <v>6</v>
      </c>
      <c r="N95" s="393"/>
      <c r="O95" s="393"/>
      <c r="P95" s="393"/>
    </row>
    <row r="96" spans="1:16" s="113" customFormat="1" ht="12.75" customHeight="1">
      <c r="A96" s="389"/>
      <c r="B96" s="19"/>
      <c r="C96" s="19"/>
      <c r="D96" s="122"/>
      <c r="E96" s="18"/>
      <c r="F96" s="19"/>
      <c r="G96" s="122"/>
      <c r="H96" s="19"/>
      <c r="I96" s="19"/>
      <c r="J96" s="122"/>
      <c r="K96" s="19"/>
      <c r="L96" s="19"/>
      <c r="M96" s="122"/>
      <c r="N96" s="393"/>
      <c r="O96" s="393"/>
      <c r="P96" s="393"/>
    </row>
    <row r="97" spans="1:16" s="113" customFormat="1" ht="12.75" customHeight="1">
      <c r="A97" s="121"/>
      <c r="B97" s="19" t="s">
        <v>96</v>
      </c>
      <c r="C97" s="19">
        <f>I93</f>
        <v>27.55</v>
      </c>
      <c r="D97" s="122" t="s">
        <v>6</v>
      </c>
      <c r="E97" s="18" t="s">
        <v>123</v>
      </c>
      <c r="F97" s="19">
        <f>L95</f>
        <v>7.879999999999999</v>
      </c>
      <c r="G97" s="122" t="s">
        <v>6</v>
      </c>
      <c r="H97" s="19"/>
      <c r="I97" s="19"/>
      <c r="J97" s="122"/>
      <c r="K97" s="19"/>
      <c r="L97" s="19"/>
      <c r="M97" s="122"/>
      <c r="N97" s="393"/>
      <c r="O97" s="393"/>
      <c r="P97" s="393"/>
    </row>
    <row r="98" spans="1:16" s="113" customFormat="1" ht="12.75" customHeight="1">
      <c r="A98" s="121"/>
      <c r="B98" s="125" t="s">
        <v>96</v>
      </c>
      <c r="C98" s="25">
        <f>I93-L95</f>
        <v>19.67</v>
      </c>
      <c r="D98" s="123"/>
      <c r="E98" s="126" t="s">
        <v>6</v>
      </c>
      <c r="F98" s="19"/>
      <c r="G98" s="122"/>
      <c r="H98" s="19"/>
      <c r="I98" s="19"/>
      <c r="J98" s="122"/>
      <c r="K98" s="19"/>
      <c r="L98" s="19"/>
      <c r="M98" s="122"/>
      <c r="N98" s="393"/>
      <c r="O98" s="393"/>
      <c r="P98" s="393"/>
    </row>
    <row r="99" spans="1:15" ht="12.75" customHeight="1">
      <c r="A99" s="121"/>
      <c r="B99" s="19"/>
      <c r="C99" s="19"/>
      <c r="D99" s="122"/>
      <c r="E99" s="19"/>
      <c r="F99" s="19"/>
      <c r="G99" s="122"/>
      <c r="H99" s="19"/>
      <c r="I99" s="19"/>
      <c r="J99" s="122"/>
      <c r="K99" s="19"/>
      <c r="L99" s="19"/>
      <c r="M99" s="122"/>
      <c r="N99" s="135"/>
      <c r="O99" s="135"/>
    </row>
    <row r="100" spans="1:10" s="11" customFormat="1" ht="15">
      <c r="A100" s="121" t="s">
        <v>44</v>
      </c>
      <c r="B100" s="12" t="s">
        <v>98</v>
      </c>
      <c r="D100" s="12"/>
      <c r="G100" s="12"/>
      <c r="J100" s="12"/>
    </row>
    <row r="101" spans="1:16" s="113" customFormat="1" ht="15">
      <c r="A101" s="121" t="s">
        <v>45</v>
      </c>
      <c r="D101" s="124"/>
      <c r="G101" s="124"/>
      <c r="J101" s="124"/>
      <c r="P101" s="14"/>
    </row>
    <row r="102" spans="1:16" ht="15">
      <c r="A102" s="121"/>
      <c r="B102" s="137" t="s">
        <v>193</v>
      </c>
      <c r="C102" s="14" t="s">
        <v>99</v>
      </c>
      <c r="D102" s="23"/>
      <c r="E102" s="14" t="s">
        <v>85</v>
      </c>
      <c r="F102" s="14" t="s">
        <v>100</v>
      </c>
      <c r="G102" s="23"/>
      <c r="H102" s="14" t="s">
        <v>101</v>
      </c>
      <c r="I102" s="10">
        <v>2</v>
      </c>
      <c r="K102" s="14" t="s">
        <v>85</v>
      </c>
      <c r="L102" s="136" t="s">
        <v>192</v>
      </c>
      <c r="P102" s="14"/>
    </row>
    <row r="103" spans="2:16" ht="15">
      <c r="B103" s="10" t="s">
        <v>102</v>
      </c>
      <c r="C103" s="10">
        <v>5.38</v>
      </c>
      <c r="E103" s="10" t="s">
        <v>85</v>
      </c>
      <c r="F103" s="10">
        <v>1.62</v>
      </c>
      <c r="H103" s="10" t="s">
        <v>101</v>
      </c>
      <c r="I103" s="10">
        <v>2</v>
      </c>
      <c r="K103" s="10" t="s">
        <v>85</v>
      </c>
      <c r="L103" s="10">
        <v>4</v>
      </c>
      <c r="P103" s="14"/>
    </row>
    <row r="104" spans="2:5" ht="15">
      <c r="B104" s="27" t="s">
        <v>96</v>
      </c>
      <c r="C104" s="28">
        <f>((C103*F103)/I103)*L103</f>
        <v>17.4312</v>
      </c>
      <c r="D104" s="128"/>
      <c r="E104" s="59" t="s">
        <v>6</v>
      </c>
    </row>
    <row r="105" ht="15">
      <c r="P105" s="14"/>
    </row>
    <row r="106" spans="1:10" s="11" customFormat="1" ht="15">
      <c r="A106" s="11" t="s">
        <v>46</v>
      </c>
      <c r="B106" s="12" t="s">
        <v>70</v>
      </c>
      <c r="D106" s="12"/>
      <c r="G106" s="12"/>
      <c r="J106" s="12"/>
    </row>
    <row r="107" spans="2:7" ht="15">
      <c r="B107" s="19"/>
      <c r="C107" s="19"/>
      <c r="D107" s="122"/>
      <c r="E107" s="19"/>
      <c r="F107" s="133" t="s">
        <v>194</v>
      </c>
      <c r="G107" s="122"/>
    </row>
    <row r="108" spans="2:14" ht="15">
      <c r="B108" s="18" t="s">
        <v>103</v>
      </c>
      <c r="C108" s="19">
        <v>3.14</v>
      </c>
      <c r="D108" s="122" t="s">
        <v>37</v>
      </c>
      <c r="E108" s="18" t="s">
        <v>85</v>
      </c>
      <c r="F108" s="131">
        <v>4</v>
      </c>
      <c r="G108" s="122"/>
      <c r="H108" s="14"/>
      <c r="K108" s="14"/>
      <c r="N108" s="14"/>
    </row>
    <row r="109" spans="2:5" ht="15">
      <c r="B109" s="58" t="s">
        <v>103</v>
      </c>
      <c r="C109" s="28">
        <f>C108*F108</f>
        <v>12.56</v>
      </c>
      <c r="D109" s="128"/>
      <c r="E109" s="29" t="s">
        <v>37</v>
      </c>
    </row>
    <row r="111" spans="1:19" s="11" customFormat="1" ht="15">
      <c r="A111" s="121" t="s">
        <v>137</v>
      </c>
      <c r="B111" s="20" t="s">
        <v>308</v>
      </c>
      <c r="C111" s="121"/>
      <c r="D111" s="20"/>
      <c r="E111" s="121"/>
      <c r="F111" s="121"/>
      <c r="G111" s="20"/>
      <c r="H111" s="121"/>
      <c r="I111" s="121"/>
      <c r="J111" s="20"/>
      <c r="K111" s="121"/>
      <c r="L111" s="121"/>
      <c r="M111" s="20"/>
      <c r="N111" s="121"/>
      <c r="O111" s="121"/>
      <c r="P111" s="20"/>
      <c r="Q111" s="121"/>
      <c r="R111" s="121"/>
      <c r="S111" s="121"/>
    </row>
    <row r="112" spans="1:19" s="113" customFormat="1" ht="15">
      <c r="A112" s="121"/>
      <c r="B112" s="19"/>
      <c r="C112" s="19"/>
      <c r="D112" s="122"/>
      <c r="E112" s="19"/>
      <c r="F112" s="133" t="s">
        <v>194</v>
      </c>
      <c r="G112" s="122"/>
      <c r="H112" s="19"/>
      <c r="I112" s="19"/>
      <c r="J112" s="122"/>
      <c r="K112" s="19"/>
      <c r="L112" s="19"/>
      <c r="M112" s="122"/>
      <c r="N112" s="19"/>
      <c r="O112" s="19"/>
      <c r="P112" s="122"/>
      <c r="Q112" s="19"/>
      <c r="R112" s="19"/>
      <c r="S112" s="19"/>
    </row>
    <row r="113" spans="1:19" s="113" customFormat="1" ht="15">
      <c r="A113" s="121"/>
      <c r="B113" s="18" t="s">
        <v>87</v>
      </c>
      <c r="C113" s="19">
        <v>5.34</v>
      </c>
      <c r="D113" s="122" t="s">
        <v>37</v>
      </c>
      <c r="E113" s="18" t="s">
        <v>85</v>
      </c>
      <c r="F113" s="131">
        <v>2</v>
      </c>
      <c r="G113" s="122" t="s">
        <v>30</v>
      </c>
      <c r="H113" s="18" t="s">
        <v>86</v>
      </c>
      <c r="I113" s="19">
        <f>C113*F113</f>
        <v>10.68</v>
      </c>
      <c r="J113" s="122" t="s">
        <v>37</v>
      </c>
      <c r="K113" s="18"/>
      <c r="L113" s="368" t="s">
        <v>87</v>
      </c>
      <c r="M113" s="369">
        <v>3.14</v>
      </c>
      <c r="N113" s="368" t="s">
        <v>37</v>
      </c>
      <c r="O113" s="368" t="s">
        <v>85</v>
      </c>
      <c r="P113" s="369">
        <v>4</v>
      </c>
      <c r="Q113" s="368" t="s">
        <v>86</v>
      </c>
      <c r="R113" s="368">
        <f>SUM(M113*P113)</f>
        <v>12.56</v>
      </c>
      <c r="S113" s="19"/>
    </row>
    <row r="114" spans="1:19" s="113" customFormat="1" ht="15">
      <c r="A114" s="121"/>
      <c r="B114" s="18" t="s">
        <v>87</v>
      </c>
      <c r="C114" s="19">
        <v>5.38</v>
      </c>
      <c r="D114" s="122" t="s">
        <v>37</v>
      </c>
      <c r="E114" s="18" t="s">
        <v>85</v>
      </c>
      <c r="F114" s="131">
        <v>2</v>
      </c>
      <c r="G114" s="122" t="s">
        <v>30</v>
      </c>
      <c r="H114" s="18" t="s">
        <v>86</v>
      </c>
      <c r="I114" s="19">
        <f>C114*F114</f>
        <v>10.76</v>
      </c>
      <c r="J114" s="122" t="s">
        <v>37</v>
      </c>
      <c r="K114" s="18"/>
      <c r="L114" s="19"/>
      <c r="M114" s="122"/>
      <c r="N114" s="18"/>
      <c r="O114" s="19"/>
      <c r="P114" s="122"/>
      <c r="Q114" s="19"/>
      <c r="R114" s="19"/>
      <c r="S114" s="19"/>
    </row>
    <row r="115" spans="1:19" s="113" customFormat="1" ht="15">
      <c r="A115" s="121"/>
      <c r="B115" s="57" t="s">
        <v>87</v>
      </c>
      <c r="C115" s="25">
        <f>SUM(I115+R113)</f>
        <v>34</v>
      </c>
      <c r="D115" s="123"/>
      <c r="E115" s="129" t="s">
        <v>37</v>
      </c>
      <c r="F115" s="19"/>
      <c r="G115" s="122"/>
      <c r="H115" s="19"/>
      <c r="I115" s="19">
        <f>SUM(I113+I114)</f>
        <v>21.439999999999998</v>
      </c>
      <c r="J115" s="19" t="s">
        <v>87</v>
      </c>
      <c r="K115" s="122">
        <v>3.14</v>
      </c>
      <c r="L115" s="18" t="s">
        <v>37</v>
      </c>
      <c r="M115" s="19" t="s">
        <v>85</v>
      </c>
      <c r="N115" s="122">
        <v>4</v>
      </c>
      <c r="O115" s="19" t="s">
        <v>86</v>
      </c>
      <c r="P115" s="19">
        <f>SUM(K115*N115)</f>
        <v>12.56</v>
      </c>
      <c r="Q115" s="19"/>
      <c r="R115" s="19"/>
      <c r="S115" s="19"/>
    </row>
    <row r="116" spans="1:19" s="113" customFormat="1" ht="15">
      <c r="A116" s="121"/>
      <c r="B116" s="19"/>
      <c r="C116" s="19"/>
      <c r="D116" s="122"/>
      <c r="E116" s="19"/>
      <c r="F116" s="19"/>
      <c r="G116" s="122"/>
      <c r="H116" s="19"/>
      <c r="I116" s="19"/>
      <c r="J116" s="122"/>
      <c r="K116" s="19"/>
      <c r="L116" s="19"/>
      <c r="M116" s="122"/>
      <c r="N116" s="19"/>
      <c r="O116" s="19"/>
      <c r="P116" s="122"/>
      <c r="Q116" s="19"/>
      <c r="R116" s="19"/>
      <c r="S116" s="19"/>
    </row>
    <row r="117" spans="1:19" s="113" customFormat="1" ht="15">
      <c r="A117" s="11" t="s">
        <v>138</v>
      </c>
      <c r="B117" s="20" t="s">
        <v>254</v>
      </c>
      <c r="C117" s="19"/>
      <c r="D117" s="122"/>
      <c r="E117" s="19"/>
      <c r="F117" s="19"/>
      <c r="G117" s="122"/>
      <c r="H117" s="19"/>
      <c r="I117" s="19"/>
      <c r="J117" s="122"/>
      <c r="K117" s="19"/>
      <c r="L117" s="19"/>
      <c r="M117" s="122"/>
      <c r="N117" s="19"/>
      <c r="O117" s="19"/>
      <c r="P117" s="122"/>
      <c r="Q117" s="19"/>
      <c r="R117" s="19"/>
      <c r="S117" s="19"/>
    </row>
    <row r="118" spans="1:19" s="113" customFormat="1" ht="15">
      <c r="A118" s="121"/>
      <c r="B118" s="19"/>
      <c r="C118" s="19"/>
      <c r="D118" s="122"/>
      <c r="E118" s="19"/>
      <c r="F118" s="19"/>
      <c r="G118" s="122"/>
      <c r="H118" s="19"/>
      <c r="I118" s="19"/>
      <c r="J118" s="122"/>
      <c r="K118" s="19"/>
      <c r="L118" s="19"/>
      <c r="M118" s="122"/>
      <c r="N118" s="19"/>
      <c r="O118" s="19"/>
      <c r="P118" s="122"/>
      <c r="Q118" s="19"/>
      <c r="R118" s="19"/>
      <c r="S118" s="19"/>
    </row>
    <row r="119" spans="1:19" s="113" customFormat="1" ht="15">
      <c r="A119" s="121"/>
      <c r="B119" s="19" t="s">
        <v>94</v>
      </c>
      <c r="C119" s="19">
        <v>2.94</v>
      </c>
      <c r="D119" s="122" t="s">
        <v>37</v>
      </c>
      <c r="E119" s="19" t="s">
        <v>85</v>
      </c>
      <c r="F119" s="19">
        <v>2.3</v>
      </c>
      <c r="G119" s="122" t="s">
        <v>37</v>
      </c>
      <c r="H119" s="19"/>
      <c r="I119" s="19"/>
      <c r="J119" s="122"/>
      <c r="K119" s="19"/>
      <c r="L119" s="19"/>
      <c r="M119" s="122"/>
      <c r="N119" s="19"/>
      <c r="O119" s="19"/>
      <c r="P119" s="122"/>
      <c r="Q119" s="19"/>
      <c r="R119" s="19"/>
      <c r="S119" s="19"/>
    </row>
    <row r="120" spans="1:19" s="113" customFormat="1" ht="15">
      <c r="A120" s="121"/>
      <c r="B120" s="27" t="s">
        <v>94</v>
      </c>
      <c r="C120" s="28">
        <f>C119*F119</f>
        <v>6.762</v>
      </c>
      <c r="D120" s="128"/>
      <c r="E120" s="59" t="s">
        <v>6</v>
      </c>
      <c r="G120" s="124"/>
      <c r="H120" s="19"/>
      <c r="I120" s="19"/>
      <c r="J120" s="122"/>
      <c r="K120" s="19"/>
      <c r="L120" s="19"/>
      <c r="M120" s="122"/>
      <c r="N120" s="19"/>
      <c r="O120" s="19"/>
      <c r="P120" s="122"/>
      <c r="Q120" s="19"/>
      <c r="R120" s="19"/>
      <c r="S120" s="19"/>
    </row>
    <row r="121" spans="1:19" s="113" customFormat="1" ht="15">
      <c r="A121" s="121"/>
      <c r="B121" s="19"/>
      <c r="C121" s="19"/>
      <c r="D121" s="122"/>
      <c r="E121" s="19"/>
      <c r="F121" s="19"/>
      <c r="G121" s="122"/>
      <c r="H121" s="19"/>
      <c r="I121" s="19"/>
      <c r="J121" s="122"/>
      <c r="K121" s="19"/>
      <c r="L121" s="19"/>
      <c r="M121" s="122"/>
      <c r="N121" s="19"/>
      <c r="O121" s="19"/>
      <c r="P121" s="122"/>
      <c r="Q121" s="19"/>
      <c r="R121" s="19"/>
      <c r="S121" s="19"/>
    </row>
    <row r="122" spans="1:10" s="11" customFormat="1" ht="15">
      <c r="A122" s="11" t="s">
        <v>162</v>
      </c>
      <c r="B122" s="12" t="s">
        <v>104</v>
      </c>
      <c r="D122" s="12"/>
      <c r="G122" s="12"/>
      <c r="J122" s="12"/>
    </row>
    <row r="124" spans="2:7" ht="15">
      <c r="B124" s="19" t="s">
        <v>105</v>
      </c>
      <c r="C124" s="19">
        <v>2.94</v>
      </c>
      <c r="D124" s="122" t="s">
        <v>37</v>
      </c>
      <c r="E124" s="19" t="s">
        <v>85</v>
      </c>
      <c r="F124" s="19">
        <v>2.3</v>
      </c>
      <c r="G124" s="122" t="s">
        <v>37</v>
      </c>
    </row>
    <row r="125" spans="2:5" ht="15">
      <c r="B125" s="27" t="s">
        <v>105</v>
      </c>
      <c r="C125" s="28">
        <f>C124*F124</f>
        <v>6.762</v>
      </c>
      <c r="D125" s="128"/>
      <c r="E125" s="59" t="s">
        <v>6</v>
      </c>
    </row>
    <row r="126" spans="1:10" s="113" customFormat="1" ht="15">
      <c r="A126" s="11"/>
      <c r="D126" s="124"/>
      <c r="G126" s="124"/>
      <c r="J126" s="124"/>
    </row>
    <row r="127" spans="1:10" s="11" customFormat="1" ht="15">
      <c r="A127" s="11" t="s">
        <v>139</v>
      </c>
      <c r="B127" s="12" t="s">
        <v>106</v>
      </c>
      <c r="D127" s="12"/>
      <c r="G127" s="12"/>
      <c r="J127" s="12"/>
    </row>
    <row r="128" ht="15">
      <c r="A128" s="11" t="s">
        <v>140</v>
      </c>
    </row>
    <row r="129" spans="3:6" ht="15">
      <c r="C129" s="133" t="s">
        <v>107</v>
      </c>
      <c r="D129" s="130"/>
      <c r="E129" s="133"/>
      <c r="F129" s="133" t="s">
        <v>108</v>
      </c>
    </row>
    <row r="130" spans="2:6" ht="15">
      <c r="B130" s="10" t="s">
        <v>109</v>
      </c>
      <c r="C130" s="10">
        <f>C98</f>
        <v>19.67</v>
      </c>
      <c r="E130" s="10" t="s">
        <v>85</v>
      </c>
      <c r="F130" s="10">
        <v>2</v>
      </c>
    </row>
    <row r="131" spans="2:5" ht="15">
      <c r="B131" s="27" t="s">
        <v>109</v>
      </c>
      <c r="C131" s="28">
        <f>C130*F130</f>
        <v>39.34</v>
      </c>
      <c r="D131" s="128"/>
      <c r="E131" s="59" t="s">
        <v>6</v>
      </c>
    </row>
    <row r="133" spans="1:10" s="11" customFormat="1" ht="15">
      <c r="A133" s="11" t="s">
        <v>141</v>
      </c>
      <c r="B133" s="12" t="s">
        <v>110</v>
      </c>
      <c r="D133" s="12"/>
      <c r="G133" s="12"/>
      <c r="J133" s="12"/>
    </row>
    <row r="135" spans="2:14" ht="15">
      <c r="B135" s="19" t="s">
        <v>102</v>
      </c>
      <c r="C135" s="19">
        <f>0.95+0.95+2</f>
        <v>3.9</v>
      </c>
      <c r="D135" s="122" t="s">
        <v>37</v>
      </c>
      <c r="E135" s="19" t="s">
        <v>85</v>
      </c>
      <c r="F135" s="19">
        <v>1</v>
      </c>
      <c r="G135" s="122" t="s">
        <v>37</v>
      </c>
      <c r="H135" s="19" t="s">
        <v>86</v>
      </c>
      <c r="I135" s="19">
        <f>C135*F135</f>
        <v>3.9</v>
      </c>
      <c r="J135" s="122" t="s">
        <v>6</v>
      </c>
      <c r="K135" s="130" t="s">
        <v>111</v>
      </c>
      <c r="L135" s="19"/>
      <c r="M135" s="122"/>
      <c r="N135" s="19"/>
    </row>
    <row r="136" spans="2:14" ht="14.25" customHeight="1">
      <c r="B136" s="19" t="s">
        <v>102</v>
      </c>
      <c r="C136" s="19">
        <f>2+1.7+1.7</f>
        <v>5.4</v>
      </c>
      <c r="D136" s="122" t="s">
        <v>37</v>
      </c>
      <c r="E136" s="19" t="s">
        <v>85</v>
      </c>
      <c r="F136" s="19">
        <v>1.15</v>
      </c>
      <c r="G136" s="122" t="s">
        <v>37</v>
      </c>
      <c r="H136" s="19" t="s">
        <v>86</v>
      </c>
      <c r="I136" s="19">
        <f>C136*F136</f>
        <v>6.21</v>
      </c>
      <c r="J136" s="122" t="s">
        <v>6</v>
      </c>
      <c r="K136" s="130" t="s">
        <v>112</v>
      </c>
      <c r="L136" s="19"/>
      <c r="M136" s="122"/>
      <c r="N136" s="19"/>
    </row>
    <row r="137" spans="1:14" s="113" customFormat="1" ht="33.75" customHeight="1">
      <c r="A137" s="11"/>
      <c r="B137" s="19" t="s">
        <v>102</v>
      </c>
      <c r="C137" s="19">
        <v>3.9</v>
      </c>
      <c r="D137" s="122" t="s">
        <v>37</v>
      </c>
      <c r="E137" s="19" t="s">
        <v>85</v>
      </c>
      <c r="F137" s="19">
        <v>1.2</v>
      </c>
      <c r="G137" s="122" t="s">
        <v>37</v>
      </c>
      <c r="H137" s="19" t="s">
        <v>86</v>
      </c>
      <c r="I137" s="19">
        <f>C137*F137</f>
        <v>4.68</v>
      </c>
      <c r="J137" s="122" t="s">
        <v>6</v>
      </c>
      <c r="K137" s="390" t="s">
        <v>113</v>
      </c>
      <c r="L137" s="390"/>
      <c r="M137" s="390"/>
      <c r="N137" s="390"/>
    </row>
    <row r="138" spans="1:11" s="113" customFormat="1" ht="15">
      <c r="A138" s="11"/>
      <c r="D138" s="124"/>
      <c r="G138" s="124"/>
      <c r="J138" s="124"/>
      <c r="K138" s="17"/>
    </row>
    <row r="139" spans="2:5" ht="15">
      <c r="B139" s="27" t="s">
        <v>105</v>
      </c>
      <c r="C139" s="28">
        <f>I135+I136+I137</f>
        <v>14.79</v>
      </c>
      <c r="D139" s="128"/>
      <c r="E139" s="59" t="s">
        <v>6</v>
      </c>
    </row>
    <row r="141" spans="1:10" s="11" customFormat="1" ht="15">
      <c r="A141" s="11" t="s">
        <v>136</v>
      </c>
      <c r="B141" s="12" t="s">
        <v>213</v>
      </c>
      <c r="D141" s="12"/>
      <c r="G141" s="12"/>
      <c r="J141" s="12"/>
    </row>
    <row r="143" spans="2:16" ht="15">
      <c r="B143" s="19" t="s">
        <v>195</v>
      </c>
      <c r="C143" s="19">
        <v>2.9</v>
      </c>
      <c r="D143" s="122" t="s">
        <v>37</v>
      </c>
      <c r="E143" s="19" t="s">
        <v>97</v>
      </c>
      <c r="F143" s="19">
        <v>1.7</v>
      </c>
      <c r="G143" s="122" t="s">
        <v>37</v>
      </c>
      <c r="H143" s="19" t="s">
        <v>97</v>
      </c>
      <c r="I143" s="19">
        <v>1.8</v>
      </c>
      <c r="J143" s="122" t="s">
        <v>37</v>
      </c>
      <c r="K143" s="19" t="s">
        <v>85</v>
      </c>
      <c r="L143" s="19">
        <v>0.4</v>
      </c>
      <c r="M143" s="122" t="s">
        <v>37</v>
      </c>
      <c r="N143" s="130" t="s">
        <v>115</v>
      </c>
      <c r="O143" s="19"/>
      <c r="P143" s="122"/>
    </row>
    <row r="144" spans="2:5" ht="15">
      <c r="B144" s="27" t="s">
        <v>114</v>
      </c>
      <c r="C144" s="28">
        <f>(C143+F143++I143)*L143</f>
        <v>2.56</v>
      </c>
      <c r="D144" s="128"/>
      <c r="E144" s="59" t="s">
        <v>53</v>
      </c>
    </row>
    <row r="145" spans="2:5" ht="15">
      <c r="B145" s="19"/>
      <c r="C145" s="19"/>
      <c r="D145" s="122"/>
      <c r="E145" s="19"/>
    </row>
    <row r="146" spans="1:10" s="11" customFormat="1" ht="15">
      <c r="A146" s="121" t="s">
        <v>128</v>
      </c>
      <c r="B146" s="20" t="s">
        <v>17</v>
      </c>
      <c r="C146" s="19"/>
      <c r="D146" s="122"/>
      <c r="E146" s="19"/>
      <c r="F146" s="19"/>
      <c r="G146" s="122"/>
      <c r="J146" s="12"/>
    </row>
    <row r="147" spans="1:7" ht="15">
      <c r="A147" s="121" t="s">
        <v>143</v>
      </c>
      <c r="B147" s="20" t="s">
        <v>196</v>
      </c>
      <c r="C147" s="121"/>
      <c r="D147" s="20"/>
      <c r="E147" s="121"/>
      <c r="F147" s="121"/>
      <c r="G147" s="20"/>
    </row>
    <row r="148" spans="1:8" ht="15">
      <c r="A148" s="121"/>
      <c r="B148" s="19"/>
      <c r="C148" s="19"/>
      <c r="D148" s="122"/>
      <c r="E148" s="19"/>
      <c r="F148" s="19"/>
      <c r="G148" s="122"/>
      <c r="H148" s="21"/>
    </row>
    <row r="149" spans="1:7" ht="15">
      <c r="A149" s="121"/>
      <c r="B149" s="19" t="s">
        <v>197</v>
      </c>
      <c r="C149" s="19">
        <v>2.94</v>
      </c>
      <c r="D149" s="122" t="s">
        <v>37</v>
      </c>
      <c r="E149" s="19" t="s">
        <v>85</v>
      </c>
      <c r="F149" s="19">
        <v>2.3</v>
      </c>
      <c r="G149" s="122" t="s">
        <v>37</v>
      </c>
    </row>
    <row r="150" spans="2:5" ht="15">
      <c r="B150" s="27" t="s">
        <v>105</v>
      </c>
      <c r="C150" s="28">
        <f>C149*F149</f>
        <v>6.762</v>
      </c>
      <c r="D150" s="128"/>
      <c r="E150" s="59" t="s">
        <v>6</v>
      </c>
    </row>
    <row r="152" spans="1:11" s="11" customFormat="1" ht="15">
      <c r="A152" s="121" t="s">
        <v>144</v>
      </c>
      <c r="B152" s="20" t="s">
        <v>198</v>
      </c>
      <c r="C152" s="121"/>
      <c r="D152" s="20"/>
      <c r="E152" s="121"/>
      <c r="F152" s="121"/>
      <c r="G152" s="20"/>
      <c r="H152" s="121"/>
      <c r="I152" s="121"/>
      <c r="J152" s="20"/>
      <c r="K152" s="121"/>
    </row>
    <row r="153" spans="1:11" ht="15">
      <c r="A153" s="121"/>
      <c r="B153" s="19"/>
      <c r="C153" s="19"/>
      <c r="D153" s="122"/>
      <c r="E153" s="19"/>
      <c r="F153" s="19"/>
      <c r="G153" s="122"/>
      <c r="H153" s="19"/>
      <c r="I153" s="19"/>
      <c r="J153" s="122"/>
      <c r="K153" s="19"/>
    </row>
    <row r="154" spans="1:11" ht="15">
      <c r="A154" s="121"/>
      <c r="B154" s="125" t="s">
        <v>199</v>
      </c>
      <c r="C154" s="25">
        <f>C23</f>
        <v>252.74</v>
      </c>
      <c r="D154" s="123"/>
      <c r="E154" s="126" t="s">
        <v>6</v>
      </c>
      <c r="F154" s="19"/>
      <c r="G154" s="122"/>
      <c r="H154" s="19"/>
      <c r="I154" s="19"/>
      <c r="J154" s="122"/>
      <c r="K154" s="19"/>
    </row>
    <row r="156" spans="1:19" s="11" customFormat="1" ht="15">
      <c r="A156" s="121" t="s">
        <v>142</v>
      </c>
      <c r="B156" s="20" t="s">
        <v>200</v>
      </c>
      <c r="C156" s="121"/>
      <c r="D156" s="20"/>
      <c r="E156" s="121"/>
      <c r="F156" s="121"/>
      <c r="G156" s="20"/>
      <c r="H156" s="121"/>
      <c r="I156" s="121"/>
      <c r="J156" s="20"/>
      <c r="K156" s="121"/>
      <c r="L156" s="121"/>
      <c r="M156" s="20"/>
      <c r="N156" s="121"/>
      <c r="O156" s="121"/>
      <c r="P156" s="20"/>
      <c r="Q156" s="121"/>
      <c r="R156" s="121"/>
      <c r="S156" s="121"/>
    </row>
    <row r="157" spans="1:19" s="113" customFormat="1" ht="15">
      <c r="A157" s="121"/>
      <c r="B157" s="19"/>
      <c r="C157" s="19"/>
      <c r="D157" s="122"/>
      <c r="E157" s="19"/>
      <c r="F157" s="19"/>
      <c r="G157" s="122"/>
      <c r="H157" s="19"/>
      <c r="I157" s="19"/>
      <c r="J157" s="122"/>
      <c r="K157" s="19"/>
      <c r="L157" s="19"/>
      <c r="M157" s="122"/>
      <c r="N157" s="19"/>
      <c r="O157" s="19"/>
      <c r="P157" s="122"/>
      <c r="Q157" s="19"/>
      <c r="R157" s="19"/>
      <c r="S157" s="19"/>
    </row>
    <row r="158" spans="1:19" s="113" customFormat="1" ht="15">
      <c r="A158" s="121"/>
      <c r="B158" s="19"/>
      <c r="C158" s="133" t="s">
        <v>116</v>
      </c>
      <c r="D158" s="130"/>
      <c r="E158" s="133"/>
      <c r="F158" s="133"/>
      <c r="G158" s="122"/>
      <c r="H158" s="19"/>
      <c r="I158" s="19"/>
      <c r="J158" s="122"/>
      <c r="K158" s="19"/>
      <c r="L158" s="19"/>
      <c r="M158" s="122"/>
      <c r="N158" s="19"/>
      <c r="O158" s="19"/>
      <c r="P158" s="122"/>
      <c r="Q158" s="19"/>
      <c r="R158" s="19"/>
      <c r="S158" s="19"/>
    </row>
    <row r="159" spans="1:19" s="113" customFormat="1" ht="15">
      <c r="A159" s="121"/>
      <c r="B159" s="19" t="s">
        <v>125</v>
      </c>
      <c r="C159" s="19">
        <f>C150</f>
        <v>6.762</v>
      </c>
      <c r="D159" s="122" t="s">
        <v>6</v>
      </c>
      <c r="E159" s="19"/>
      <c r="F159" s="19"/>
      <c r="G159" s="122"/>
      <c r="H159" s="19"/>
      <c r="I159" s="19"/>
      <c r="J159" s="122"/>
      <c r="K159" s="19"/>
      <c r="L159" s="19"/>
      <c r="M159" s="122"/>
      <c r="N159" s="19"/>
      <c r="O159" s="19"/>
      <c r="P159" s="122"/>
      <c r="Q159" s="19"/>
      <c r="R159" s="19"/>
      <c r="S159" s="19"/>
    </row>
    <row r="160" spans="1:19" s="113" customFormat="1" ht="15">
      <c r="A160" s="121"/>
      <c r="B160" s="125" t="s">
        <v>125</v>
      </c>
      <c r="C160" s="25">
        <f>C159+F159</f>
        <v>6.762</v>
      </c>
      <c r="D160" s="123"/>
      <c r="E160" s="126" t="s">
        <v>6</v>
      </c>
      <c r="F160" s="19"/>
      <c r="G160" s="122"/>
      <c r="H160" s="19"/>
      <c r="I160" s="19"/>
      <c r="J160" s="122"/>
      <c r="K160" s="19"/>
      <c r="L160" s="19"/>
      <c r="M160" s="122"/>
      <c r="N160" s="19"/>
      <c r="O160" s="19"/>
      <c r="P160" s="122"/>
      <c r="Q160" s="19"/>
      <c r="R160" s="19"/>
      <c r="S160" s="19"/>
    </row>
    <row r="161" spans="1:19" s="113" customFormat="1" ht="15">
      <c r="A161" s="121"/>
      <c r="B161" s="19"/>
      <c r="C161" s="19"/>
      <c r="D161" s="122"/>
      <c r="E161" s="19"/>
      <c r="F161" s="19"/>
      <c r="G161" s="122"/>
      <c r="H161" s="19"/>
      <c r="I161" s="19"/>
      <c r="J161" s="122"/>
      <c r="K161" s="19"/>
      <c r="L161" s="19"/>
      <c r="M161" s="122"/>
      <c r="N161" s="19"/>
      <c r="O161" s="19"/>
      <c r="P161" s="122"/>
      <c r="Q161" s="19"/>
      <c r="R161" s="19"/>
      <c r="S161" s="19"/>
    </row>
    <row r="162" spans="1:10" s="11" customFormat="1" ht="15">
      <c r="A162" s="11" t="s">
        <v>145</v>
      </c>
      <c r="B162" s="12" t="s">
        <v>117</v>
      </c>
      <c r="D162" s="12"/>
      <c r="G162" s="12"/>
      <c r="J162" s="12"/>
    </row>
    <row r="164" spans="2:13" ht="15">
      <c r="B164" s="19" t="s">
        <v>202</v>
      </c>
      <c r="C164" s="19">
        <v>1.9</v>
      </c>
      <c r="D164" s="122" t="s">
        <v>37</v>
      </c>
      <c r="E164" s="19" t="s">
        <v>85</v>
      </c>
      <c r="F164" s="19">
        <v>1.2</v>
      </c>
      <c r="G164" s="122" t="s">
        <v>37</v>
      </c>
      <c r="H164" s="19" t="s">
        <v>85</v>
      </c>
      <c r="I164" s="131">
        <v>2</v>
      </c>
      <c r="J164" s="122" t="s">
        <v>30</v>
      </c>
      <c r="K164" s="19" t="s">
        <v>86</v>
      </c>
      <c r="L164" s="19">
        <f>C164*F164*I164</f>
        <v>4.56</v>
      </c>
      <c r="M164" s="122" t="s">
        <v>6</v>
      </c>
    </row>
    <row r="165" spans="2:13" ht="15">
      <c r="B165" s="19" t="s">
        <v>202</v>
      </c>
      <c r="C165" s="19">
        <v>2</v>
      </c>
      <c r="D165" s="122" t="s">
        <v>37</v>
      </c>
      <c r="E165" s="19" t="s">
        <v>85</v>
      </c>
      <c r="F165" s="19">
        <v>1.2</v>
      </c>
      <c r="G165" s="122" t="s">
        <v>37</v>
      </c>
      <c r="H165" s="19" t="s">
        <v>85</v>
      </c>
      <c r="I165" s="131">
        <v>1</v>
      </c>
      <c r="J165" s="122" t="s">
        <v>30</v>
      </c>
      <c r="K165" s="19" t="s">
        <v>86</v>
      </c>
      <c r="L165" s="19">
        <f>C165*F165*I165</f>
        <v>2.4</v>
      </c>
      <c r="M165" s="122" t="s">
        <v>6</v>
      </c>
    </row>
    <row r="166" spans="2:5" ht="15">
      <c r="B166" s="27" t="s">
        <v>118</v>
      </c>
      <c r="C166" s="28">
        <f>L164+L165</f>
        <v>6.959999999999999</v>
      </c>
      <c r="D166" s="128"/>
      <c r="E166" s="59" t="s">
        <v>6</v>
      </c>
    </row>
    <row r="168" spans="1:10" s="11" customFormat="1" ht="15">
      <c r="A168" s="11" t="s">
        <v>146</v>
      </c>
      <c r="B168" s="12" t="s">
        <v>119</v>
      </c>
      <c r="D168" s="12"/>
      <c r="G168" s="12"/>
      <c r="J168" s="12"/>
    </row>
    <row r="170" spans="2:7" ht="15">
      <c r="B170" s="19" t="s">
        <v>125</v>
      </c>
      <c r="C170" s="19">
        <v>1.15</v>
      </c>
      <c r="D170" s="122" t="s">
        <v>37</v>
      </c>
      <c r="E170" s="19" t="s">
        <v>85</v>
      </c>
      <c r="F170" s="19">
        <v>0.8</v>
      </c>
      <c r="G170" s="122" t="s">
        <v>37</v>
      </c>
    </row>
    <row r="171" spans="2:5" ht="15">
      <c r="B171" s="27" t="s">
        <v>118</v>
      </c>
      <c r="C171" s="28">
        <f>C170*F170</f>
        <v>0.9199999999999999</v>
      </c>
      <c r="D171" s="128"/>
      <c r="E171" s="59" t="s">
        <v>6</v>
      </c>
    </row>
    <row r="173" spans="1:10" s="11" customFormat="1" ht="15">
      <c r="A173" s="11" t="s">
        <v>148</v>
      </c>
      <c r="B173" s="12" t="s">
        <v>203</v>
      </c>
      <c r="D173" s="12"/>
      <c r="G173" s="12"/>
      <c r="J173" s="12"/>
    </row>
    <row r="175" spans="2:14" ht="15">
      <c r="B175" s="19" t="s">
        <v>204</v>
      </c>
      <c r="C175" s="19">
        <v>1.35</v>
      </c>
      <c r="D175" s="122" t="s">
        <v>37</v>
      </c>
      <c r="E175" s="19" t="s">
        <v>85</v>
      </c>
      <c r="F175" s="19">
        <v>0.9</v>
      </c>
      <c r="G175" s="122" t="s">
        <v>37</v>
      </c>
      <c r="H175" s="130" t="s">
        <v>120</v>
      </c>
      <c r="I175" s="19"/>
      <c r="J175" s="122"/>
      <c r="K175" s="19"/>
      <c r="L175" s="19"/>
      <c r="M175" s="122"/>
      <c r="N175" s="19"/>
    </row>
    <row r="176" spans="2:5" ht="15">
      <c r="B176" s="27" t="s">
        <v>118</v>
      </c>
      <c r="C176" s="28">
        <f>C175*F175</f>
        <v>1.215</v>
      </c>
      <c r="D176" s="128"/>
      <c r="E176" s="59" t="s">
        <v>6</v>
      </c>
    </row>
    <row r="178" spans="1:16" s="11" customFormat="1" ht="12.75" customHeight="1">
      <c r="A178" s="121" t="s">
        <v>149</v>
      </c>
      <c r="B178" s="20" t="s">
        <v>121</v>
      </c>
      <c r="C178" s="121"/>
      <c r="D178" s="20"/>
      <c r="E178" s="121"/>
      <c r="F178" s="121"/>
      <c r="G178" s="20"/>
      <c r="H178" s="121"/>
      <c r="I178" s="121"/>
      <c r="J178" s="20"/>
      <c r="K178" s="121"/>
      <c r="L178" s="391" t="s">
        <v>122</v>
      </c>
      <c r="M178" s="391"/>
      <c r="N178" s="391"/>
      <c r="O178" s="391"/>
      <c r="P178" s="391"/>
    </row>
    <row r="179" spans="1:16" ht="15">
      <c r="A179" s="121"/>
      <c r="B179" s="19"/>
      <c r="C179" s="19"/>
      <c r="D179" s="122"/>
      <c r="E179" s="19"/>
      <c r="F179" s="133" t="s">
        <v>124</v>
      </c>
      <c r="G179" s="122"/>
      <c r="H179" s="19"/>
      <c r="I179" s="19"/>
      <c r="J179" s="122"/>
      <c r="K179" s="19"/>
      <c r="L179" s="391"/>
      <c r="M179" s="391"/>
      <c r="N179" s="391"/>
      <c r="O179" s="391"/>
      <c r="P179" s="391"/>
    </row>
    <row r="180" spans="1:16" s="113" customFormat="1" ht="15">
      <c r="A180" s="121"/>
      <c r="B180" s="19" t="s">
        <v>205</v>
      </c>
      <c r="C180" s="19">
        <f>(2.4+3.02)*2</f>
        <v>10.84</v>
      </c>
      <c r="D180" s="122" t="s">
        <v>37</v>
      </c>
      <c r="E180" s="19" t="s">
        <v>85</v>
      </c>
      <c r="F180" s="19">
        <v>2.9</v>
      </c>
      <c r="G180" s="122" t="s">
        <v>37</v>
      </c>
      <c r="H180" s="19" t="s">
        <v>86</v>
      </c>
      <c r="I180" s="19">
        <f>C180*F180</f>
        <v>31.436</v>
      </c>
      <c r="J180" s="122" t="s">
        <v>6</v>
      </c>
      <c r="K180" s="19"/>
      <c r="L180" s="391"/>
      <c r="M180" s="391"/>
      <c r="N180" s="391"/>
      <c r="O180" s="391"/>
      <c r="P180" s="391"/>
    </row>
    <row r="181" spans="1:16" s="113" customFormat="1" ht="15">
      <c r="A181" s="121"/>
      <c r="B181" s="19"/>
      <c r="C181" s="19"/>
      <c r="D181" s="122"/>
      <c r="E181" s="19"/>
      <c r="F181" s="19"/>
      <c r="G181" s="122"/>
      <c r="H181" s="19"/>
      <c r="I181" s="19"/>
      <c r="J181" s="122"/>
      <c r="K181" s="19"/>
      <c r="L181" s="145"/>
      <c r="M181" s="145"/>
      <c r="N181" s="145"/>
      <c r="O181" s="145"/>
      <c r="P181" s="145"/>
    </row>
    <row r="182" spans="1:16" ht="15">
      <c r="A182" s="392" t="s">
        <v>206</v>
      </c>
      <c r="B182" s="19" t="s">
        <v>205</v>
      </c>
      <c r="C182" s="19">
        <f>2*1.2*1.9</f>
        <v>4.56</v>
      </c>
      <c r="D182" s="122" t="s">
        <v>6</v>
      </c>
      <c r="E182" s="18" t="s">
        <v>97</v>
      </c>
      <c r="F182" s="19">
        <f>1.2*2</f>
        <v>2.4</v>
      </c>
      <c r="G182" s="122" t="s">
        <v>6</v>
      </c>
      <c r="H182" s="19" t="s">
        <v>97</v>
      </c>
      <c r="I182" s="19">
        <f>1.15*0.8</f>
        <v>0.9199999999999999</v>
      </c>
      <c r="J182" s="122" t="s">
        <v>6</v>
      </c>
      <c r="K182" s="19" t="s">
        <v>97</v>
      </c>
      <c r="L182" s="19">
        <f>2*1.2</f>
        <v>2.4</v>
      </c>
      <c r="M182" s="122" t="s">
        <v>6</v>
      </c>
      <c r="N182" s="19" t="s">
        <v>86</v>
      </c>
      <c r="O182" s="19">
        <f>C182+F182+I182+L182</f>
        <v>10.28</v>
      </c>
      <c r="P182" s="122" t="s">
        <v>6</v>
      </c>
    </row>
    <row r="183" spans="1:16" ht="12.75" customHeight="1">
      <c r="A183" s="392"/>
      <c r="B183" s="19"/>
      <c r="C183" s="19"/>
      <c r="D183" s="122"/>
      <c r="E183" s="18"/>
      <c r="F183" s="19"/>
      <c r="G183" s="122"/>
      <c r="H183" s="19"/>
      <c r="I183" s="19"/>
      <c r="J183" s="122"/>
      <c r="K183" s="19"/>
      <c r="L183" s="19"/>
      <c r="M183" s="122"/>
      <c r="N183" s="19"/>
      <c r="O183" s="19"/>
      <c r="P183" s="122"/>
    </row>
    <row r="184" spans="1:16" ht="15">
      <c r="A184" s="121"/>
      <c r="B184" s="19" t="s">
        <v>205</v>
      </c>
      <c r="C184" s="19">
        <f>I180</f>
        <v>31.436</v>
      </c>
      <c r="D184" s="122" t="s">
        <v>6</v>
      </c>
      <c r="E184" s="19" t="s">
        <v>123</v>
      </c>
      <c r="F184" s="19">
        <f>O182</f>
        <v>10.28</v>
      </c>
      <c r="G184" s="122" t="s">
        <v>6</v>
      </c>
      <c r="H184" s="19"/>
      <c r="I184" s="19"/>
      <c r="J184" s="122"/>
      <c r="K184" s="19"/>
      <c r="L184" s="19"/>
      <c r="M184" s="122"/>
      <c r="N184" s="135"/>
      <c r="O184" s="135"/>
      <c r="P184" s="122"/>
    </row>
    <row r="185" spans="2:15" ht="15">
      <c r="B185" s="27" t="s">
        <v>96</v>
      </c>
      <c r="C185" s="28">
        <f>C184-F184</f>
        <v>21.156</v>
      </c>
      <c r="D185" s="128"/>
      <c r="E185" s="59" t="s">
        <v>6</v>
      </c>
      <c r="N185" s="22"/>
      <c r="O185" s="22"/>
    </row>
    <row r="190" spans="7:9" ht="15">
      <c r="G190" s="387"/>
      <c r="H190" s="387"/>
      <c r="I190" s="387"/>
    </row>
    <row r="191" spans="7:9" ht="15">
      <c r="G191" s="387"/>
      <c r="H191" s="387"/>
      <c r="I191" s="387"/>
    </row>
    <row r="192" spans="7:9" ht="15">
      <c r="G192" s="387"/>
      <c r="H192" s="387"/>
      <c r="I192" s="387"/>
    </row>
    <row r="193" spans="7:9" ht="15">
      <c r="G193" s="387"/>
      <c r="H193" s="387"/>
      <c r="I193" s="387"/>
    </row>
    <row r="194" spans="7:9" ht="15">
      <c r="G194" s="387"/>
      <c r="H194" s="387"/>
      <c r="I194" s="387"/>
    </row>
    <row r="198" ht="15">
      <c r="G198" s="364" t="s">
        <v>315</v>
      </c>
    </row>
    <row r="199" ht="18.75">
      <c r="G199" s="365" t="s">
        <v>298</v>
      </c>
    </row>
    <row r="200" ht="15">
      <c r="G200" s="366" t="s">
        <v>314</v>
      </c>
    </row>
  </sheetData>
  <mergeCells count="10">
    <mergeCell ref="G190:I194"/>
    <mergeCell ref="A1:O1"/>
    <mergeCell ref="A94:A96"/>
    <mergeCell ref="K137:N137"/>
    <mergeCell ref="L178:P180"/>
    <mergeCell ref="A182:A183"/>
    <mergeCell ref="A2:O2"/>
    <mergeCell ref="A3:O3"/>
    <mergeCell ref="N93:P98"/>
    <mergeCell ref="B25:J25"/>
  </mergeCells>
  <printOptions/>
  <pageMargins left="0.5118110236220472" right="0.3" top="0.7874015748031497" bottom="0.7874015748031497" header="0.31496062992125984" footer="0.31496062992125984"/>
  <pageSetup horizontalDpi="600" verticalDpi="600" orientation="portrait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7"/>
  <sheetViews>
    <sheetView view="pageBreakPreview" zoomScale="77" zoomScaleSheetLayoutView="77" workbookViewId="0" topLeftCell="B10">
      <selection activeCell="C30" sqref="C30"/>
    </sheetView>
  </sheetViews>
  <sheetFormatPr defaultColWidth="9.140625" defaultRowHeight="15"/>
  <cols>
    <col min="1" max="1" width="5.8515625" style="80" customWidth="1"/>
    <col min="2" max="2" width="52.28125" style="74" bestFit="1" customWidth="1"/>
    <col min="3" max="3" width="17.7109375" style="80" customWidth="1"/>
    <col min="4" max="4" width="13.421875" style="74" customWidth="1"/>
    <col min="5" max="5" width="13.7109375" style="74" customWidth="1"/>
    <col min="6" max="14" width="14.28125" style="74" customWidth="1"/>
    <col min="15" max="15" width="14.421875" style="74" customWidth="1"/>
    <col min="16" max="16" width="13.8515625" style="74" bestFit="1" customWidth="1"/>
    <col min="17" max="263" width="9.140625" style="74" customWidth="1"/>
    <col min="264" max="264" width="52.28125" style="74" bestFit="1" customWidth="1"/>
    <col min="265" max="265" width="17.7109375" style="74" customWidth="1"/>
    <col min="266" max="271" width="12.8515625" style="74" customWidth="1"/>
    <col min="272" max="519" width="9.140625" style="74" customWidth="1"/>
    <col min="520" max="520" width="52.28125" style="74" bestFit="1" customWidth="1"/>
    <col min="521" max="521" width="17.7109375" style="74" customWidth="1"/>
    <col min="522" max="527" width="12.8515625" style="74" customWidth="1"/>
    <col min="528" max="775" width="9.140625" style="74" customWidth="1"/>
    <col min="776" max="776" width="52.28125" style="74" bestFit="1" customWidth="1"/>
    <col min="777" max="777" width="17.7109375" style="74" customWidth="1"/>
    <col min="778" max="783" width="12.8515625" style="74" customWidth="1"/>
    <col min="784" max="1031" width="9.140625" style="74" customWidth="1"/>
    <col min="1032" max="1032" width="52.28125" style="74" bestFit="1" customWidth="1"/>
    <col min="1033" max="1033" width="17.7109375" style="74" customWidth="1"/>
    <col min="1034" max="1039" width="12.8515625" style="74" customWidth="1"/>
    <col min="1040" max="1287" width="9.140625" style="74" customWidth="1"/>
    <col min="1288" max="1288" width="52.28125" style="74" bestFit="1" customWidth="1"/>
    <col min="1289" max="1289" width="17.7109375" style="74" customWidth="1"/>
    <col min="1290" max="1295" width="12.8515625" style="74" customWidth="1"/>
    <col min="1296" max="1543" width="9.140625" style="74" customWidth="1"/>
    <col min="1544" max="1544" width="52.28125" style="74" bestFit="1" customWidth="1"/>
    <col min="1545" max="1545" width="17.7109375" style="74" customWidth="1"/>
    <col min="1546" max="1551" width="12.8515625" style="74" customWidth="1"/>
    <col min="1552" max="1799" width="9.140625" style="74" customWidth="1"/>
    <col min="1800" max="1800" width="52.28125" style="74" bestFit="1" customWidth="1"/>
    <col min="1801" max="1801" width="17.7109375" style="74" customWidth="1"/>
    <col min="1802" max="1807" width="12.8515625" style="74" customWidth="1"/>
    <col min="1808" max="2055" width="9.140625" style="74" customWidth="1"/>
    <col min="2056" max="2056" width="52.28125" style="74" bestFit="1" customWidth="1"/>
    <col min="2057" max="2057" width="17.7109375" style="74" customWidth="1"/>
    <col min="2058" max="2063" width="12.8515625" style="74" customWidth="1"/>
    <col min="2064" max="2311" width="9.140625" style="74" customWidth="1"/>
    <col min="2312" max="2312" width="52.28125" style="74" bestFit="1" customWidth="1"/>
    <col min="2313" max="2313" width="17.7109375" style="74" customWidth="1"/>
    <col min="2314" max="2319" width="12.8515625" style="74" customWidth="1"/>
    <col min="2320" max="2567" width="9.140625" style="74" customWidth="1"/>
    <col min="2568" max="2568" width="52.28125" style="74" bestFit="1" customWidth="1"/>
    <col min="2569" max="2569" width="17.7109375" style="74" customWidth="1"/>
    <col min="2570" max="2575" width="12.8515625" style="74" customWidth="1"/>
    <col min="2576" max="2823" width="9.140625" style="74" customWidth="1"/>
    <col min="2824" max="2824" width="52.28125" style="74" bestFit="1" customWidth="1"/>
    <col min="2825" max="2825" width="17.7109375" style="74" customWidth="1"/>
    <col min="2826" max="2831" width="12.8515625" style="74" customWidth="1"/>
    <col min="2832" max="3079" width="9.140625" style="74" customWidth="1"/>
    <col min="3080" max="3080" width="52.28125" style="74" bestFit="1" customWidth="1"/>
    <col min="3081" max="3081" width="17.7109375" style="74" customWidth="1"/>
    <col min="3082" max="3087" width="12.8515625" style="74" customWidth="1"/>
    <col min="3088" max="3335" width="9.140625" style="74" customWidth="1"/>
    <col min="3336" max="3336" width="52.28125" style="74" bestFit="1" customWidth="1"/>
    <col min="3337" max="3337" width="17.7109375" style="74" customWidth="1"/>
    <col min="3338" max="3343" width="12.8515625" style="74" customWidth="1"/>
    <col min="3344" max="3591" width="9.140625" style="74" customWidth="1"/>
    <col min="3592" max="3592" width="52.28125" style="74" bestFit="1" customWidth="1"/>
    <col min="3593" max="3593" width="17.7109375" style="74" customWidth="1"/>
    <col min="3594" max="3599" width="12.8515625" style="74" customWidth="1"/>
    <col min="3600" max="3847" width="9.140625" style="74" customWidth="1"/>
    <col min="3848" max="3848" width="52.28125" style="74" bestFit="1" customWidth="1"/>
    <col min="3849" max="3849" width="17.7109375" style="74" customWidth="1"/>
    <col min="3850" max="3855" width="12.8515625" style="74" customWidth="1"/>
    <col min="3856" max="4103" width="9.140625" style="74" customWidth="1"/>
    <col min="4104" max="4104" width="52.28125" style="74" bestFit="1" customWidth="1"/>
    <col min="4105" max="4105" width="17.7109375" style="74" customWidth="1"/>
    <col min="4106" max="4111" width="12.8515625" style="74" customWidth="1"/>
    <col min="4112" max="4359" width="9.140625" style="74" customWidth="1"/>
    <col min="4360" max="4360" width="52.28125" style="74" bestFit="1" customWidth="1"/>
    <col min="4361" max="4361" width="17.7109375" style="74" customWidth="1"/>
    <col min="4362" max="4367" width="12.8515625" style="74" customWidth="1"/>
    <col min="4368" max="4615" width="9.140625" style="74" customWidth="1"/>
    <col min="4616" max="4616" width="52.28125" style="74" bestFit="1" customWidth="1"/>
    <col min="4617" max="4617" width="17.7109375" style="74" customWidth="1"/>
    <col min="4618" max="4623" width="12.8515625" style="74" customWidth="1"/>
    <col min="4624" max="4871" width="9.140625" style="74" customWidth="1"/>
    <col min="4872" max="4872" width="52.28125" style="74" bestFit="1" customWidth="1"/>
    <col min="4873" max="4873" width="17.7109375" style="74" customWidth="1"/>
    <col min="4874" max="4879" width="12.8515625" style="74" customWidth="1"/>
    <col min="4880" max="5127" width="9.140625" style="74" customWidth="1"/>
    <col min="5128" max="5128" width="52.28125" style="74" bestFit="1" customWidth="1"/>
    <col min="5129" max="5129" width="17.7109375" style="74" customWidth="1"/>
    <col min="5130" max="5135" width="12.8515625" style="74" customWidth="1"/>
    <col min="5136" max="5383" width="9.140625" style="74" customWidth="1"/>
    <col min="5384" max="5384" width="52.28125" style="74" bestFit="1" customWidth="1"/>
    <col min="5385" max="5385" width="17.7109375" style="74" customWidth="1"/>
    <col min="5386" max="5391" width="12.8515625" style="74" customWidth="1"/>
    <col min="5392" max="5639" width="9.140625" style="74" customWidth="1"/>
    <col min="5640" max="5640" width="52.28125" style="74" bestFit="1" customWidth="1"/>
    <col min="5641" max="5641" width="17.7109375" style="74" customWidth="1"/>
    <col min="5642" max="5647" width="12.8515625" style="74" customWidth="1"/>
    <col min="5648" max="5895" width="9.140625" style="74" customWidth="1"/>
    <col min="5896" max="5896" width="52.28125" style="74" bestFit="1" customWidth="1"/>
    <col min="5897" max="5897" width="17.7109375" style="74" customWidth="1"/>
    <col min="5898" max="5903" width="12.8515625" style="74" customWidth="1"/>
    <col min="5904" max="6151" width="9.140625" style="74" customWidth="1"/>
    <col min="6152" max="6152" width="52.28125" style="74" bestFit="1" customWidth="1"/>
    <col min="6153" max="6153" width="17.7109375" style="74" customWidth="1"/>
    <col min="6154" max="6159" width="12.8515625" style="74" customWidth="1"/>
    <col min="6160" max="6407" width="9.140625" style="74" customWidth="1"/>
    <col min="6408" max="6408" width="52.28125" style="74" bestFit="1" customWidth="1"/>
    <col min="6409" max="6409" width="17.7109375" style="74" customWidth="1"/>
    <col min="6410" max="6415" width="12.8515625" style="74" customWidth="1"/>
    <col min="6416" max="6663" width="9.140625" style="74" customWidth="1"/>
    <col min="6664" max="6664" width="52.28125" style="74" bestFit="1" customWidth="1"/>
    <col min="6665" max="6665" width="17.7109375" style="74" customWidth="1"/>
    <col min="6666" max="6671" width="12.8515625" style="74" customWidth="1"/>
    <col min="6672" max="6919" width="9.140625" style="74" customWidth="1"/>
    <col min="6920" max="6920" width="52.28125" style="74" bestFit="1" customWidth="1"/>
    <col min="6921" max="6921" width="17.7109375" style="74" customWidth="1"/>
    <col min="6922" max="6927" width="12.8515625" style="74" customWidth="1"/>
    <col min="6928" max="7175" width="9.140625" style="74" customWidth="1"/>
    <col min="7176" max="7176" width="52.28125" style="74" bestFit="1" customWidth="1"/>
    <col min="7177" max="7177" width="17.7109375" style="74" customWidth="1"/>
    <col min="7178" max="7183" width="12.8515625" style="74" customWidth="1"/>
    <col min="7184" max="7431" width="9.140625" style="74" customWidth="1"/>
    <col min="7432" max="7432" width="52.28125" style="74" bestFit="1" customWidth="1"/>
    <col min="7433" max="7433" width="17.7109375" style="74" customWidth="1"/>
    <col min="7434" max="7439" width="12.8515625" style="74" customWidth="1"/>
    <col min="7440" max="7687" width="9.140625" style="74" customWidth="1"/>
    <col min="7688" max="7688" width="52.28125" style="74" bestFit="1" customWidth="1"/>
    <col min="7689" max="7689" width="17.7109375" style="74" customWidth="1"/>
    <col min="7690" max="7695" width="12.8515625" style="74" customWidth="1"/>
    <col min="7696" max="7943" width="9.140625" style="74" customWidth="1"/>
    <col min="7944" max="7944" width="52.28125" style="74" bestFit="1" customWidth="1"/>
    <col min="7945" max="7945" width="17.7109375" style="74" customWidth="1"/>
    <col min="7946" max="7951" width="12.8515625" style="74" customWidth="1"/>
    <col min="7952" max="8199" width="9.140625" style="74" customWidth="1"/>
    <col min="8200" max="8200" width="52.28125" style="74" bestFit="1" customWidth="1"/>
    <col min="8201" max="8201" width="17.7109375" style="74" customWidth="1"/>
    <col min="8202" max="8207" width="12.8515625" style="74" customWidth="1"/>
    <col min="8208" max="8455" width="9.140625" style="74" customWidth="1"/>
    <col min="8456" max="8456" width="52.28125" style="74" bestFit="1" customWidth="1"/>
    <col min="8457" max="8457" width="17.7109375" style="74" customWidth="1"/>
    <col min="8458" max="8463" width="12.8515625" style="74" customWidth="1"/>
    <col min="8464" max="8711" width="9.140625" style="74" customWidth="1"/>
    <col min="8712" max="8712" width="52.28125" style="74" bestFit="1" customWidth="1"/>
    <col min="8713" max="8713" width="17.7109375" style="74" customWidth="1"/>
    <col min="8714" max="8719" width="12.8515625" style="74" customWidth="1"/>
    <col min="8720" max="8967" width="9.140625" style="74" customWidth="1"/>
    <col min="8968" max="8968" width="52.28125" style="74" bestFit="1" customWidth="1"/>
    <col min="8969" max="8969" width="17.7109375" style="74" customWidth="1"/>
    <col min="8970" max="8975" width="12.8515625" style="74" customWidth="1"/>
    <col min="8976" max="9223" width="9.140625" style="74" customWidth="1"/>
    <col min="9224" max="9224" width="52.28125" style="74" bestFit="1" customWidth="1"/>
    <col min="9225" max="9225" width="17.7109375" style="74" customWidth="1"/>
    <col min="9226" max="9231" width="12.8515625" style="74" customWidth="1"/>
    <col min="9232" max="9479" width="9.140625" style="74" customWidth="1"/>
    <col min="9480" max="9480" width="52.28125" style="74" bestFit="1" customWidth="1"/>
    <col min="9481" max="9481" width="17.7109375" style="74" customWidth="1"/>
    <col min="9482" max="9487" width="12.8515625" style="74" customWidth="1"/>
    <col min="9488" max="9735" width="9.140625" style="74" customWidth="1"/>
    <col min="9736" max="9736" width="52.28125" style="74" bestFit="1" customWidth="1"/>
    <col min="9737" max="9737" width="17.7109375" style="74" customWidth="1"/>
    <col min="9738" max="9743" width="12.8515625" style="74" customWidth="1"/>
    <col min="9744" max="9991" width="9.140625" style="74" customWidth="1"/>
    <col min="9992" max="9992" width="52.28125" style="74" bestFit="1" customWidth="1"/>
    <col min="9993" max="9993" width="17.7109375" style="74" customWidth="1"/>
    <col min="9994" max="9999" width="12.8515625" style="74" customWidth="1"/>
    <col min="10000" max="10247" width="9.140625" style="74" customWidth="1"/>
    <col min="10248" max="10248" width="52.28125" style="74" bestFit="1" customWidth="1"/>
    <col min="10249" max="10249" width="17.7109375" style="74" customWidth="1"/>
    <col min="10250" max="10255" width="12.8515625" style="74" customWidth="1"/>
    <col min="10256" max="10503" width="9.140625" style="74" customWidth="1"/>
    <col min="10504" max="10504" width="52.28125" style="74" bestFit="1" customWidth="1"/>
    <col min="10505" max="10505" width="17.7109375" style="74" customWidth="1"/>
    <col min="10506" max="10511" width="12.8515625" style="74" customWidth="1"/>
    <col min="10512" max="10759" width="9.140625" style="74" customWidth="1"/>
    <col min="10760" max="10760" width="52.28125" style="74" bestFit="1" customWidth="1"/>
    <col min="10761" max="10761" width="17.7109375" style="74" customWidth="1"/>
    <col min="10762" max="10767" width="12.8515625" style="74" customWidth="1"/>
    <col min="10768" max="11015" width="9.140625" style="74" customWidth="1"/>
    <col min="11016" max="11016" width="52.28125" style="74" bestFit="1" customWidth="1"/>
    <col min="11017" max="11017" width="17.7109375" style="74" customWidth="1"/>
    <col min="11018" max="11023" width="12.8515625" style="74" customWidth="1"/>
    <col min="11024" max="11271" width="9.140625" style="74" customWidth="1"/>
    <col min="11272" max="11272" width="52.28125" style="74" bestFit="1" customWidth="1"/>
    <col min="11273" max="11273" width="17.7109375" style="74" customWidth="1"/>
    <col min="11274" max="11279" width="12.8515625" style="74" customWidth="1"/>
    <col min="11280" max="11527" width="9.140625" style="74" customWidth="1"/>
    <col min="11528" max="11528" width="52.28125" style="74" bestFit="1" customWidth="1"/>
    <col min="11529" max="11529" width="17.7109375" style="74" customWidth="1"/>
    <col min="11530" max="11535" width="12.8515625" style="74" customWidth="1"/>
    <col min="11536" max="11783" width="9.140625" style="74" customWidth="1"/>
    <col min="11784" max="11784" width="52.28125" style="74" bestFit="1" customWidth="1"/>
    <col min="11785" max="11785" width="17.7109375" style="74" customWidth="1"/>
    <col min="11786" max="11791" width="12.8515625" style="74" customWidth="1"/>
    <col min="11792" max="12039" width="9.140625" style="74" customWidth="1"/>
    <col min="12040" max="12040" width="52.28125" style="74" bestFit="1" customWidth="1"/>
    <col min="12041" max="12041" width="17.7109375" style="74" customWidth="1"/>
    <col min="12042" max="12047" width="12.8515625" style="74" customWidth="1"/>
    <col min="12048" max="12295" width="9.140625" style="74" customWidth="1"/>
    <col min="12296" max="12296" width="52.28125" style="74" bestFit="1" customWidth="1"/>
    <col min="12297" max="12297" width="17.7109375" style="74" customWidth="1"/>
    <col min="12298" max="12303" width="12.8515625" style="74" customWidth="1"/>
    <col min="12304" max="12551" width="9.140625" style="74" customWidth="1"/>
    <col min="12552" max="12552" width="52.28125" style="74" bestFit="1" customWidth="1"/>
    <col min="12553" max="12553" width="17.7109375" style="74" customWidth="1"/>
    <col min="12554" max="12559" width="12.8515625" style="74" customWidth="1"/>
    <col min="12560" max="12807" width="9.140625" style="74" customWidth="1"/>
    <col min="12808" max="12808" width="52.28125" style="74" bestFit="1" customWidth="1"/>
    <col min="12809" max="12809" width="17.7109375" style="74" customWidth="1"/>
    <col min="12810" max="12815" width="12.8515625" style="74" customWidth="1"/>
    <col min="12816" max="13063" width="9.140625" style="74" customWidth="1"/>
    <col min="13064" max="13064" width="52.28125" style="74" bestFit="1" customWidth="1"/>
    <col min="13065" max="13065" width="17.7109375" style="74" customWidth="1"/>
    <col min="13066" max="13071" width="12.8515625" style="74" customWidth="1"/>
    <col min="13072" max="13319" width="9.140625" style="74" customWidth="1"/>
    <col min="13320" max="13320" width="52.28125" style="74" bestFit="1" customWidth="1"/>
    <col min="13321" max="13321" width="17.7109375" style="74" customWidth="1"/>
    <col min="13322" max="13327" width="12.8515625" style="74" customWidth="1"/>
    <col min="13328" max="13575" width="9.140625" style="74" customWidth="1"/>
    <col min="13576" max="13576" width="52.28125" style="74" bestFit="1" customWidth="1"/>
    <col min="13577" max="13577" width="17.7109375" style="74" customWidth="1"/>
    <col min="13578" max="13583" width="12.8515625" style="74" customWidth="1"/>
    <col min="13584" max="13831" width="9.140625" style="74" customWidth="1"/>
    <col min="13832" max="13832" width="52.28125" style="74" bestFit="1" customWidth="1"/>
    <col min="13833" max="13833" width="17.7109375" style="74" customWidth="1"/>
    <col min="13834" max="13839" width="12.8515625" style="74" customWidth="1"/>
    <col min="13840" max="14087" width="9.140625" style="74" customWidth="1"/>
    <col min="14088" max="14088" width="52.28125" style="74" bestFit="1" customWidth="1"/>
    <col min="14089" max="14089" width="17.7109375" style="74" customWidth="1"/>
    <col min="14090" max="14095" width="12.8515625" style="74" customWidth="1"/>
    <col min="14096" max="14343" width="9.140625" style="74" customWidth="1"/>
    <col min="14344" max="14344" width="52.28125" style="74" bestFit="1" customWidth="1"/>
    <col min="14345" max="14345" width="17.7109375" style="74" customWidth="1"/>
    <col min="14346" max="14351" width="12.8515625" style="74" customWidth="1"/>
    <col min="14352" max="14599" width="9.140625" style="74" customWidth="1"/>
    <col min="14600" max="14600" width="52.28125" style="74" bestFit="1" customWidth="1"/>
    <col min="14601" max="14601" width="17.7109375" style="74" customWidth="1"/>
    <col min="14602" max="14607" width="12.8515625" style="74" customWidth="1"/>
    <col min="14608" max="14855" width="9.140625" style="74" customWidth="1"/>
    <col min="14856" max="14856" width="52.28125" style="74" bestFit="1" customWidth="1"/>
    <col min="14857" max="14857" width="17.7109375" style="74" customWidth="1"/>
    <col min="14858" max="14863" width="12.8515625" style="74" customWidth="1"/>
    <col min="14864" max="15111" width="9.140625" style="74" customWidth="1"/>
    <col min="15112" max="15112" width="52.28125" style="74" bestFit="1" customWidth="1"/>
    <col min="15113" max="15113" width="17.7109375" style="74" customWidth="1"/>
    <col min="15114" max="15119" width="12.8515625" style="74" customWidth="1"/>
    <col min="15120" max="15367" width="9.140625" style="74" customWidth="1"/>
    <col min="15368" max="15368" width="52.28125" style="74" bestFit="1" customWidth="1"/>
    <col min="15369" max="15369" width="17.7109375" style="74" customWidth="1"/>
    <col min="15370" max="15375" width="12.8515625" style="74" customWidth="1"/>
    <col min="15376" max="15623" width="9.140625" style="74" customWidth="1"/>
    <col min="15624" max="15624" width="52.28125" style="74" bestFit="1" customWidth="1"/>
    <col min="15625" max="15625" width="17.7109375" style="74" customWidth="1"/>
    <col min="15626" max="15631" width="12.8515625" style="74" customWidth="1"/>
    <col min="15632" max="15879" width="9.140625" style="74" customWidth="1"/>
    <col min="15880" max="15880" width="52.28125" style="74" bestFit="1" customWidth="1"/>
    <col min="15881" max="15881" width="17.7109375" style="74" customWidth="1"/>
    <col min="15882" max="15887" width="12.8515625" style="74" customWidth="1"/>
    <col min="15888" max="16135" width="9.140625" style="74" customWidth="1"/>
    <col min="16136" max="16136" width="52.28125" style="74" bestFit="1" customWidth="1"/>
    <col min="16137" max="16137" width="17.7109375" style="74" customWidth="1"/>
    <col min="16138" max="16143" width="12.8515625" style="74" customWidth="1"/>
    <col min="16144" max="16384" width="9.140625" style="74" customWidth="1"/>
  </cols>
  <sheetData>
    <row r="1" spans="1:15" ht="15" customHeight="1">
      <c r="A1" s="395"/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  <c r="N1" s="395"/>
      <c r="O1" s="395"/>
    </row>
    <row r="2" spans="1:15" ht="15" customHeight="1">
      <c r="A2" s="395"/>
      <c r="B2" s="395"/>
      <c r="C2" s="395"/>
      <c r="D2" s="395"/>
      <c r="E2" s="395"/>
      <c r="F2" s="395"/>
      <c r="G2" s="395"/>
      <c r="H2" s="395"/>
      <c r="I2" s="395"/>
      <c r="J2" s="395"/>
      <c r="K2" s="395"/>
      <c r="L2" s="395"/>
      <c r="M2" s="395"/>
      <c r="N2" s="395"/>
      <c r="O2" s="395"/>
    </row>
    <row r="3" spans="1:15" ht="15" customHeight="1">
      <c r="A3" s="395"/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</row>
    <row r="4" spans="1:15" ht="15" customHeight="1">
      <c r="A4" s="395"/>
      <c r="B4" s="395"/>
      <c r="C4" s="395"/>
      <c r="D4" s="395"/>
      <c r="E4" s="395"/>
      <c r="F4" s="395"/>
      <c r="G4" s="395"/>
      <c r="H4" s="395"/>
      <c r="I4" s="395"/>
      <c r="J4" s="395"/>
      <c r="K4" s="395"/>
      <c r="L4" s="395"/>
      <c r="M4" s="395"/>
      <c r="N4" s="395"/>
      <c r="O4" s="395"/>
    </row>
    <row r="5" spans="1:15" ht="15" customHeight="1">
      <c r="A5" s="395"/>
      <c r="B5" s="395"/>
      <c r="C5" s="395"/>
      <c r="D5" s="395"/>
      <c r="E5" s="395"/>
      <c r="F5" s="395"/>
      <c r="G5" s="395"/>
      <c r="H5" s="395"/>
      <c r="I5" s="395"/>
      <c r="J5" s="395"/>
      <c r="K5" s="395"/>
      <c r="L5" s="395"/>
      <c r="M5" s="395"/>
      <c r="N5" s="395"/>
      <c r="O5" s="395"/>
    </row>
    <row r="6" spans="1:15" ht="30.75" customHeight="1">
      <c r="A6" s="395"/>
      <c r="B6" s="395"/>
      <c r="C6" s="395"/>
      <c r="D6" s="395"/>
      <c r="E6" s="395"/>
      <c r="F6" s="395"/>
      <c r="G6" s="395"/>
      <c r="H6" s="395"/>
      <c r="I6" s="395"/>
      <c r="J6" s="395"/>
      <c r="K6" s="395"/>
      <c r="L6" s="395"/>
      <c r="M6" s="395"/>
      <c r="N6" s="395"/>
      <c r="O6" s="395"/>
    </row>
    <row r="7" spans="1:15" ht="15">
      <c r="A7" s="395"/>
      <c r="B7" s="395"/>
      <c r="C7" s="395"/>
      <c r="D7" s="395"/>
      <c r="E7" s="395"/>
      <c r="F7" s="395"/>
      <c r="G7" s="395"/>
      <c r="H7" s="395"/>
      <c r="I7" s="395"/>
      <c r="J7" s="395"/>
      <c r="K7" s="395"/>
      <c r="L7" s="395"/>
      <c r="M7" s="395"/>
      <c r="N7" s="395"/>
      <c r="O7" s="395"/>
    </row>
    <row r="8" spans="1:15" ht="15" customHeight="1">
      <c r="A8" s="395"/>
      <c r="B8" s="395"/>
      <c r="C8" s="395"/>
      <c r="D8" s="395"/>
      <c r="E8" s="395"/>
      <c r="F8" s="395"/>
      <c r="G8" s="395"/>
      <c r="H8" s="395"/>
      <c r="I8" s="395"/>
      <c r="J8" s="395"/>
      <c r="K8" s="395"/>
      <c r="L8" s="395"/>
      <c r="M8" s="395"/>
      <c r="N8" s="395"/>
      <c r="O8" s="395"/>
    </row>
    <row r="9" spans="1:15" ht="15" customHeight="1">
      <c r="A9" s="395"/>
      <c r="B9" s="395"/>
      <c r="C9" s="395"/>
      <c r="D9" s="395"/>
      <c r="E9" s="395"/>
      <c r="F9" s="395"/>
      <c r="G9" s="395"/>
      <c r="H9" s="395"/>
      <c r="I9" s="395"/>
      <c r="J9" s="395"/>
      <c r="K9" s="395"/>
      <c r="L9" s="395"/>
      <c r="M9" s="395"/>
      <c r="N9" s="395"/>
      <c r="O9" s="395"/>
    </row>
    <row r="10" spans="1:15" ht="15" customHeight="1">
      <c r="A10" s="395"/>
      <c r="B10" s="395"/>
      <c r="C10" s="395"/>
      <c r="D10" s="395"/>
      <c r="E10" s="395"/>
      <c r="F10" s="395"/>
      <c r="G10" s="395"/>
      <c r="H10" s="395"/>
      <c r="I10" s="395"/>
      <c r="J10" s="395"/>
      <c r="K10" s="395"/>
      <c r="L10" s="395"/>
      <c r="M10" s="395"/>
      <c r="N10" s="395"/>
      <c r="O10" s="395"/>
    </row>
    <row r="11" spans="1:15" ht="18" customHeight="1">
      <c r="A11" s="396"/>
      <c r="B11" s="396"/>
      <c r="C11" s="396"/>
      <c r="D11" s="396"/>
      <c r="E11" s="396"/>
      <c r="F11" s="396"/>
      <c r="G11" s="396"/>
      <c r="H11" s="396"/>
      <c r="I11" s="396"/>
      <c r="J11" s="396"/>
      <c r="K11" s="396"/>
      <c r="L11" s="396"/>
      <c r="M11" s="396"/>
      <c r="N11" s="396"/>
      <c r="O11" s="396"/>
    </row>
    <row r="12" spans="1:15" ht="29.25" customHeight="1">
      <c r="A12" s="397" t="s">
        <v>215</v>
      </c>
      <c r="B12" s="398"/>
      <c r="C12" s="398"/>
      <c r="D12" s="398"/>
      <c r="E12" s="398"/>
      <c r="F12" s="398"/>
      <c r="G12" s="398"/>
      <c r="H12" s="398"/>
      <c r="I12" s="398"/>
      <c r="J12" s="398"/>
      <c r="K12" s="398"/>
      <c r="L12" s="398"/>
      <c r="M12" s="398"/>
      <c r="N12" s="398"/>
      <c r="O12" s="399"/>
    </row>
    <row r="13" spans="1:15" ht="14.25" customHeight="1">
      <c r="A13" s="231" t="str">
        <f>Orçamento!A1</f>
        <v>PREFEITURA MUNICIPAL DE OUREM /PA</v>
      </c>
      <c r="B13" s="223"/>
      <c r="C13" s="224"/>
      <c r="D13" s="225"/>
      <c r="E13" s="226"/>
      <c r="F13" s="226"/>
      <c r="G13" s="226"/>
      <c r="H13" s="226"/>
      <c r="I13" s="226"/>
      <c r="J13" s="226"/>
      <c r="K13" s="226"/>
      <c r="L13" s="226"/>
      <c r="M13" s="226"/>
      <c r="N13" s="226"/>
      <c r="O13" s="232"/>
    </row>
    <row r="14" spans="1:15" ht="14.25" customHeight="1">
      <c r="A14" s="231" t="str">
        <f>Orçamento!A2</f>
        <v>OBRA: CONSTRUÇÃO DE UMA PRAÇA COM DOIS QUIOSQUES E ESTACIONAMENTO</v>
      </c>
      <c r="B14" s="223"/>
      <c r="C14" s="224"/>
      <c r="D14" s="225"/>
      <c r="E14" s="226"/>
      <c r="F14" s="226"/>
      <c r="G14" s="226"/>
      <c r="H14" s="226"/>
      <c r="I14" s="226"/>
      <c r="J14" s="226"/>
      <c r="K14" s="226"/>
      <c r="L14" s="226"/>
      <c r="M14" s="226"/>
      <c r="N14" s="226"/>
      <c r="O14" s="232"/>
    </row>
    <row r="15" spans="1:15" ht="14.25" customHeight="1">
      <c r="A15" s="231"/>
      <c r="B15" s="223"/>
      <c r="C15" s="224"/>
      <c r="D15" s="225"/>
      <c r="E15" s="226"/>
      <c r="F15" s="226"/>
      <c r="G15" s="226"/>
      <c r="H15" s="226"/>
      <c r="I15" s="226"/>
      <c r="J15" s="226"/>
      <c r="K15" s="226"/>
      <c r="L15" s="226"/>
      <c r="M15" s="226"/>
      <c r="N15" s="226"/>
      <c r="O15" s="232"/>
    </row>
    <row r="16" spans="1:15" ht="15">
      <c r="A16" s="73" t="s">
        <v>51</v>
      </c>
      <c r="B16" s="73" t="s">
        <v>52</v>
      </c>
      <c r="C16" s="73" t="s">
        <v>55</v>
      </c>
      <c r="D16" s="82" t="s">
        <v>56</v>
      </c>
      <c r="E16" s="82" t="s">
        <v>57</v>
      </c>
      <c r="F16" s="82" t="s">
        <v>58</v>
      </c>
      <c r="G16" s="82" t="s">
        <v>59</v>
      </c>
      <c r="H16" s="82" t="s">
        <v>270</v>
      </c>
      <c r="I16" s="82" t="s">
        <v>271</v>
      </c>
      <c r="J16" s="82" t="s">
        <v>272</v>
      </c>
      <c r="K16" s="82" t="s">
        <v>273</v>
      </c>
      <c r="L16" s="82" t="s">
        <v>274</v>
      </c>
      <c r="M16" s="82" t="s">
        <v>275</v>
      </c>
      <c r="N16" s="82" t="s">
        <v>276</v>
      </c>
      <c r="O16" s="82" t="s">
        <v>277</v>
      </c>
    </row>
    <row r="17" spans="1:15" ht="15" customHeight="1">
      <c r="A17" s="227"/>
      <c r="B17" s="76"/>
      <c r="C17" s="227"/>
      <c r="D17" s="83">
        <v>1</v>
      </c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90"/>
    </row>
    <row r="18" spans="1:15" ht="12" customHeight="1">
      <c r="A18" s="233">
        <v>1</v>
      </c>
      <c r="B18" s="77" t="str">
        <f>Orçamento!D12</f>
        <v>SERVIÇOS INICIAIS</v>
      </c>
      <c r="C18" s="228">
        <f>Orçamento!I12</f>
        <v>22600.839032999997</v>
      </c>
      <c r="D18" s="84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234"/>
    </row>
    <row r="19" spans="1:15" ht="15.75" customHeight="1">
      <c r="A19" s="229"/>
      <c r="B19" s="78"/>
      <c r="C19" s="229"/>
      <c r="D19" s="81">
        <f>C18*D17</f>
        <v>22600.839032999997</v>
      </c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92"/>
    </row>
    <row r="20" spans="1:16" ht="12.75" customHeight="1">
      <c r="A20" s="227"/>
      <c r="B20" s="76"/>
      <c r="C20" s="227"/>
      <c r="D20" s="83">
        <v>0.08</v>
      </c>
      <c r="E20" s="83">
        <v>0.08</v>
      </c>
      <c r="F20" s="83">
        <v>0.08</v>
      </c>
      <c r="G20" s="83">
        <v>0.08</v>
      </c>
      <c r="H20" s="83">
        <v>0.08</v>
      </c>
      <c r="I20" s="83">
        <v>0.08</v>
      </c>
      <c r="J20" s="83">
        <v>0.08</v>
      </c>
      <c r="K20" s="83">
        <v>0.08</v>
      </c>
      <c r="L20" s="83">
        <v>0.08</v>
      </c>
      <c r="M20" s="83">
        <v>0.08</v>
      </c>
      <c r="N20" s="83">
        <v>0.1</v>
      </c>
      <c r="O20" s="83">
        <v>0.1</v>
      </c>
      <c r="P20" s="293">
        <f>SUM(D20:O20)</f>
        <v>0.9999999999999999</v>
      </c>
    </row>
    <row r="21" spans="1:15" ht="15" customHeight="1">
      <c r="A21" s="233">
        <v>2</v>
      </c>
      <c r="B21" s="77" t="str">
        <f>Orçamento!D17</f>
        <v>PAVIMENTAÇÃO / URBANIZAÇÃO</v>
      </c>
      <c r="C21" s="228">
        <f>Orçamento!I17</f>
        <v>70746.14865923999</v>
      </c>
      <c r="D21" s="84"/>
      <c r="E21" s="84"/>
      <c r="F21" s="291"/>
      <c r="G21" s="291"/>
      <c r="H21" s="291"/>
      <c r="I21" s="291"/>
      <c r="J21" s="291"/>
      <c r="K21" s="291"/>
      <c r="L21" s="291"/>
      <c r="M21" s="291"/>
      <c r="N21" s="291"/>
      <c r="O21" s="291"/>
    </row>
    <row r="22" spans="1:15" ht="15" customHeight="1">
      <c r="A22" s="229"/>
      <c r="B22" s="78"/>
      <c r="C22" s="229"/>
      <c r="D22" s="81">
        <f>C21*D20</f>
        <v>5659.691892739199</v>
      </c>
      <c r="E22" s="81">
        <f>C21*E20</f>
        <v>5659.691892739199</v>
      </c>
      <c r="F22" s="81">
        <f>C21*F20</f>
        <v>5659.691892739199</v>
      </c>
      <c r="G22" s="81">
        <f>C21*G20</f>
        <v>5659.691892739199</v>
      </c>
      <c r="H22" s="81">
        <f>C21*H20</f>
        <v>5659.691892739199</v>
      </c>
      <c r="I22" s="81">
        <f>C21*I20</f>
        <v>5659.691892739199</v>
      </c>
      <c r="J22" s="81">
        <f>C21*J20</f>
        <v>5659.691892739199</v>
      </c>
      <c r="K22" s="81">
        <f>C21*K20</f>
        <v>5659.691892739199</v>
      </c>
      <c r="L22" s="81">
        <f>C21*L20</f>
        <v>5659.691892739199</v>
      </c>
      <c r="M22" s="81">
        <f>C21*M20</f>
        <v>5659.691892739199</v>
      </c>
      <c r="N22" s="81">
        <f>C21*N20</f>
        <v>7074.614865923999</v>
      </c>
      <c r="O22" s="81">
        <f>C21*O20</f>
        <v>7074.614865923999</v>
      </c>
    </row>
    <row r="23" spans="1:16" ht="15">
      <c r="A23" s="227"/>
      <c r="B23" s="76"/>
      <c r="C23" s="227"/>
      <c r="D23" s="83">
        <v>0.08</v>
      </c>
      <c r="E23" s="83">
        <v>0.08</v>
      </c>
      <c r="F23" s="83">
        <v>0.08</v>
      </c>
      <c r="G23" s="83">
        <v>0.08</v>
      </c>
      <c r="H23" s="83">
        <v>0.08</v>
      </c>
      <c r="I23" s="83">
        <v>0.08</v>
      </c>
      <c r="J23" s="83">
        <v>0.08</v>
      </c>
      <c r="K23" s="83">
        <v>0.08</v>
      </c>
      <c r="L23" s="83">
        <v>0.08</v>
      </c>
      <c r="M23" s="83">
        <v>0.08</v>
      </c>
      <c r="N23" s="83">
        <v>0.1</v>
      </c>
      <c r="O23" s="83">
        <v>0.1</v>
      </c>
      <c r="P23" s="293">
        <f>SUM(D23:O23)</f>
        <v>0.9999999999999999</v>
      </c>
    </row>
    <row r="24" spans="1:15" ht="15">
      <c r="A24" s="233">
        <v>3</v>
      </c>
      <c r="B24" s="77" t="str">
        <f>Orçamento!D26</f>
        <v>QUIOSQUE</v>
      </c>
      <c r="C24" s="228">
        <f>Orçamento!I26</f>
        <v>57010.660041348005</v>
      </c>
      <c r="D24" s="84"/>
      <c r="E24" s="84"/>
      <c r="F24" s="291"/>
      <c r="G24" s="291"/>
      <c r="H24" s="291"/>
      <c r="I24" s="291"/>
      <c r="J24" s="291"/>
      <c r="K24" s="291"/>
      <c r="L24" s="291"/>
      <c r="M24" s="291"/>
      <c r="N24" s="291"/>
      <c r="O24" s="291"/>
    </row>
    <row r="25" spans="1:15" ht="15" customHeight="1">
      <c r="A25" s="229"/>
      <c r="B25" s="78"/>
      <c r="C25" s="229"/>
      <c r="D25" s="81">
        <f>C24*D23</f>
        <v>4560.85280330784</v>
      </c>
      <c r="E25" s="81">
        <f>C24*E23</f>
        <v>4560.85280330784</v>
      </c>
      <c r="F25" s="81">
        <f>C24*F23</f>
        <v>4560.85280330784</v>
      </c>
      <c r="G25" s="81">
        <f>C24*G23</f>
        <v>4560.85280330784</v>
      </c>
      <c r="H25" s="81">
        <f>C24*H23</f>
        <v>4560.85280330784</v>
      </c>
      <c r="I25" s="81">
        <f>C24*I23</f>
        <v>4560.85280330784</v>
      </c>
      <c r="J25" s="81">
        <f>C24*J23</f>
        <v>4560.85280330784</v>
      </c>
      <c r="K25" s="81">
        <f>C24*K23</f>
        <v>4560.85280330784</v>
      </c>
      <c r="L25" s="81">
        <f>C24*L23</f>
        <v>4560.85280330784</v>
      </c>
      <c r="M25" s="81">
        <f>C24*M23</f>
        <v>4560.85280330784</v>
      </c>
      <c r="N25" s="81">
        <f>C24*N23</f>
        <v>5701.066004134801</v>
      </c>
      <c r="O25" s="81">
        <f>C24*O23</f>
        <v>5701.066004134801</v>
      </c>
    </row>
    <row r="26" spans="1:16" ht="15">
      <c r="A26" s="227"/>
      <c r="B26" s="76"/>
      <c r="C26" s="227"/>
      <c r="D26" s="90">
        <v>0.3</v>
      </c>
      <c r="E26" s="87"/>
      <c r="F26" s="86"/>
      <c r="G26" s="86"/>
      <c r="H26" s="86"/>
      <c r="I26" s="86"/>
      <c r="J26" s="86"/>
      <c r="K26" s="86"/>
      <c r="L26" s="86"/>
      <c r="M26" s="83">
        <v>0.3</v>
      </c>
      <c r="N26" s="83">
        <v>0.2</v>
      </c>
      <c r="O26" s="83">
        <v>0.2</v>
      </c>
      <c r="P26" s="293">
        <f>SUM(D26:O26)</f>
        <v>1</v>
      </c>
    </row>
    <row r="27" spans="1:15" ht="15">
      <c r="A27" s="233">
        <v>4</v>
      </c>
      <c r="B27" s="77" t="str">
        <f>Orçamento!D73</f>
        <v>INSTALAÇÕES ELÉTRICAS</v>
      </c>
      <c r="C27" s="228">
        <f>Orçamento!I73</f>
        <v>22848.1488</v>
      </c>
      <c r="D27" s="91"/>
      <c r="E27" s="88"/>
      <c r="F27" s="292"/>
      <c r="G27" s="292"/>
      <c r="H27" s="292"/>
      <c r="I27" s="292"/>
      <c r="J27" s="292"/>
      <c r="K27" s="292"/>
      <c r="L27" s="292"/>
      <c r="M27" s="291"/>
      <c r="N27" s="291"/>
      <c r="O27" s="291"/>
    </row>
    <row r="28" spans="1:15" ht="15" customHeight="1">
      <c r="A28" s="229"/>
      <c r="B28" s="78"/>
      <c r="C28" s="229"/>
      <c r="D28" s="92">
        <f>C27*D26</f>
        <v>6854.44464</v>
      </c>
      <c r="E28" s="89"/>
      <c r="F28" s="81"/>
      <c r="G28" s="81"/>
      <c r="H28" s="81"/>
      <c r="I28" s="81"/>
      <c r="J28" s="81"/>
      <c r="K28" s="81"/>
      <c r="L28" s="81"/>
      <c r="M28" s="81">
        <f>C27*M26</f>
        <v>6854.44464</v>
      </c>
      <c r="N28" s="81">
        <f>C27*N26</f>
        <v>4569.62976</v>
      </c>
      <c r="O28" s="81">
        <f>C27*O26</f>
        <v>4569.62976</v>
      </c>
    </row>
    <row r="29" spans="1:16" ht="15">
      <c r="A29" s="227"/>
      <c r="B29" s="76"/>
      <c r="C29" s="227"/>
      <c r="D29" s="83">
        <v>0.3</v>
      </c>
      <c r="E29" s="83"/>
      <c r="F29" s="83"/>
      <c r="G29" s="83"/>
      <c r="H29" s="83"/>
      <c r="I29" s="83"/>
      <c r="J29" s="83"/>
      <c r="K29" s="83"/>
      <c r="L29" s="83"/>
      <c r="M29" s="83">
        <v>0.3</v>
      </c>
      <c r="N29" s="83">
        <v>0.2</v>
      </c>
      <c r="O29" s="83">
        <v>0.2</v>
      </c>
      <c r="P29" s="293">
        <f>SUM(D29:O29)</f>
        <v>1</v>
      </c>
    </row>
    <row r="30" spans="1:15" ht="15">
      <c r="A30" s="233">
        <v>5</v>
      </c>
      <c r="B30" s="79" t="str">
        <f>Orçamento!D90</f>
        <v>SERVIÇOS COMPLEMENTARES</v>
      </c>
      <c r="C30" s="228">
        <f>Orçamento!I90</f>
        <v>1382.7779999999998</v>
      </c>
      <c r="D30" s="84"/>
      <c r="E30" s="292"/>
      <c r="F30" s="292"/>
      <c r="G30" s="292"/>
      <c r="H30" s="292"/>
      <c r="I30" s="292"/>
      <c r="J30" s="292"/>
      <c r="K30" s="292"/>
      <c r="L30" s="292"/>
      <c r="M30" s="291"/>
      <c r="N30" s="291"/>
      <c r="O30" s="291"/>
    </row>
    <row r="31" spans="1:15" ht="15" customHeight="1">
      <c r="A31" s="229"/>
      <c r="B31" s="78"/>
      <c r="C31" s="229"/>
      <c r="D31" s="81">
        <f>C30*D29</f>
        <v>414.8333999999999</v>
      </c>
      <c r="E31" s="81"/>
      <c r="F31" s="81"/>
      <c r="G31" s="81"/>
      <c r="H31" s="81"/>
      <c r="I31" s="81"/>
      <c r="J31" s="81"/>
      <c r="K31" s="81"/>
      <c r="L31" s="81"/>
      <c r="M31" s="81">
        <f>C30*M29</f>
        <v>414.8333999999999</v>
      </c>
      <c r="N31" s="81">
        <f>C30*N29</f>
        <v>276.55559999999997</v>
      </c>
      <c r="O31" s="81">
        <f>C30*O29</f>
        <v>276.55559999999997</v>
      </c>
    </row>
    <row r="32" spans="1:16" ht="15">
      <c r="A32" s="227"/>
      <c r="B32" s="76"/>
      <c r="C32" s="227"/>
      <c r="D32" s="83"/>
      <c r="E32" s="86"/>
      <c r="F32" s="86"/>
      <c r="G32" s="86"/>
      <c r="H32" s="86"/>
      <c r="I32" s="86"/>
      <c r="J32" s="86"/>
      <c r="K32" s="86"/>
      <c r="L32" s="86"/>
      <c r="M32" s="83">
        <v>0.2</v>
      </c>
      <c r="N32" s="83">
        <v>0.5</v>
      </c>
      <c r="O32" s="83">
        <v>0.3</v>
      </c>
      <c r="P32" s="293">
        <f>SUM(D32:O32)</f>
        <v>1</v>
      </c>
    </row>
    <row r="33" spans="1:15" ht="15">
      <c r="A33" s="233">
        <v>6</v>
      </c>
      <c r="B33" s="79" t="str">
        <f>Orçamento!D93</f>
        <v>SERVIÇOS FINAIS</v>
      </c>
      <c r="C33" s="228">
        <f>Orçamento!I93</f>
        <v>10121.0226345</v>
      </c>
      <c r="D33" s="292"/>
      <c r="E33" s="85"/>
      <c r="F33" s="85"/>
      <c r="G33" s="85"/>
      <c r="H33" s="85"/>
      <c r="I33" s="85"/>
      <c r="J33" s="85"/>
      <c r="K33" s="85"/>
      <c r="L33" s="85"/>
      <c r="M33" s="291"/>
      <c r="N33" s="291"/>
      <c r="O33" s="291"/>
    </row>
    <row r="34" spans="1:15" ht="15" customHeight="1">
      <c r="A34" s="229"/>
      <c r="B34" s="78"/>
      <c r="C34" s="229"/>
      <c r="D34" s="81"/>
      <c r="E34" s="81"/>
      <c r="F34" s="81"/>
      <c r="G34" s="81"/>
      <c r="H34" s="81"/>
      <c r="I34" s="81"/>
      <c r="J34" s="81"/>
      <c r="K34" s="81"/>
      <c r="L34" s="81"/>
      <c r="M34" s="81">
        <f>C33*M32</f>
        <v>2024.2045269</v>
      </c>
      <c r="N34" s="81">
        <f>C33*N32</f>
        <v>5060.51131725</v>
      </c>
      <c r="O34" s="81">
        <f>C33*O32</f>
        <v>3036.3067903499996</v>
      </c>
    </row>
    <row r="35" spans="1:16" ht="15.75" customHeight="1">
      <c r="A35" s="75"/>
      <c r="B35" s="75" t="s">
        <v>55</v>
      </c>
      <c r="C35" s="230">
        <f>C18+C21+C24+C27+C30+C33</f>
        <v>184709.597168088</v>
      </c>
      <c r="D35" s="111">
        <f>D19+D22+D25+D28+D31+D34</f>
        <v>40090.661769047045</v>
      </c>
      <c r="E35" s="111">
        <f>E19+E22+E25+E28+E31+E34</f>
        <v>10220.54469604704</v>
      </c>
      <c r="F35" s="111">
        <f>F19+F22+F25+F28+F31+F34</f>
        <v>10220.54469604704</v>
      </c>
      <c r="G35" s="111">
        <f aca="true" t="shared" si="0" ref="G35:O35">G19+G22+G25+G28+G31+G34</f>
        <v>10220.54469604704</v>
      </c>
      <c r="H35" s="111">
        <f t="shared" si="0"/>
        <v>10220.54469604704</v>
      </c>
      <c r="I35" s="111">
        <f t="shared" si="0"/>
        <v>10220.54469604704</v>
      </c>
      <c r="J35" s="111">
        <f t="shared" si="0"/>
        <v>10220.54469604704</v>
      </c>
      <c r="K35" s="111">
        <f t="shared" si="0"/>
        <v>10220.54469604704</v>
      </c>
      <c r="L35" s="111">
        <f t="shared" si="0"/>
        <v>10220.54469604704</v>
      </c>
      <c r="M35" s="111">
        <f t="shared" si="0"/>
        <v>19514.02726294704</v>
      </c>
      <c r="N35" s="111">
        <f t="shared" si="0"/>
        <v>22682.3775473088</v>
      </c>
      <c r="O35" s="111">
        <f t="shared" si="0"/>
        <v>20658.1730204088</v>
      </c>
      <c r="P35" s="294">
        <f>SUM(D35:O35)</f>
        <v>184709.59716808805</v>
      </c>
    </row>
    <row r="36" spans="1:15" ht="15.75" customHeight="1">
      <c r="A36" s="235"/>
      <c r="B36" s="235" t="s">
        <v>163</v>
      </c>
      <c r="C36" s="236">
        <f>SUM(D36:O36)</f>
        <v>0.9999999999999999</v>
      </c>
      <c r="D36" s="237">
        <f>D35/C35</f>
        <v>0.21704698826539073</v>
      </c>
      <c r="E36" s="237">
        <f>E35/C35</f>
        <v>0.05533304632106484</v>
      </c>
      <c r="F36" s="237">
        <f>F35/C35</f>
        <v>0.05533304632106484</v>
      </c>
      <c r="G36" s="237">
        <f>G35/C35</f>
        <v>0.05533304632106484</v>
      </c>
      <c r="H36" s="237">
        <f>H35/C35</f>
        <v>0.05533304632106484</v>
      </c>
      <c r="I36" s="237">
        <f>I35/C35</f>
        <v>0.05533304632106484</v>
      </c>
      <c r="J36" s="237">
        <f>J35/C35</f>
        <v>0.05533304632106484</v>
      </c>
      <c r="K36" s="237">
        <f>K35/C35</f>
        <v>0.05533304632106484</v>
      </c>
      <c r="L36" s="237">
        <f>L35/C35</f>
        <v>0.05533304632106484</v>
      </c>
      <c r="M36" s="237">
        <f>M35/C35</f>
        <v>0.10564706740813816</v>
      </c>
      <c r="N36" s="237">
        <f>N35/C35</f>
        <v>0.12280021122382481</v>
      </c>
      <c r="O36" s="238">
        <f>O35/C35</f>
        <v>0.11184136253412762</v>
      </c>
    </row>
    <row r="43" spans="5:13" ht="15">
      <c r="E43" s="113"/>
      <c r="F43" s="124"/>
      <c r="G43" s="113"/>
      <c r="H43" s="113"/>
      <c r="I43" s="124"/>
      <c r="J43" s="113"/>
      <c r="K43" s="113"/>
      <c r="L43" s="124"/>
      <c r="M43" s="113"/>
    </row>
    <row r="44" spans="5:13" ht="15">
      <c r="E44" s="113"/>
      <c r="F44" s="124"/>
      <c r="G44" s="113"/>
      <c r="H44" s="113"/>
      <c r="I44" s="364" t="s">
        <v>315</v>
      </c>
      <c r="J44" s="113"/>
      <c r="K44" s="113"/>
      <c r="L44" s="124"/>
      <c r="M44" s="113"/>
    </row>
    <row r="45" spans="5:13" ht="18.75">
      <c r="E45" s="113"/>
      <c r="F45" s="124"/>
      <c r="G45" s="113"/>
      <c r="H45" s="113"/>
      <c r="I45" s="365" t="s">
        <v>298</v>
      </c>
      <c r="J45" s="113"/>
      <c r="K45" s="113"/>
      <c r="L45" s="124"/>
      <c r="M45" s="113"/>
    </row>
    <row r="46" spans="5:13" ht="15">
      <c r="E46" s="113"/>
      <c r="F46" s="124"/>
      <c r="G46" s="113"/>
      <c r="H46" s="113"/>
      <c r="I46" s="366" t="s">
        <v>314</v>
      </c>
      <c r="J46" s="113"/>
      <c r="K46" s="113"/>
      <c r="L46" s="124"/>
      <c r="M46" s="113"/>
    </row>
    <row r="47" spans="5:13" ht="15">
      <c r="E47" s="113"/>
      <c r="F47" s="124"/>
      <c r="G47" s="113"/>
      <c r="H47" s="113"/>
      <c r="I47" s="124"/>
      <c r="J47" s="113"/>
      <c r="K47" s="113"/>
      <c r="L47" s="124"/>
      <c r="M47" s="113"/>
    </row>
  </sheetData>
  <mergeCells count="2">
    <mergeCell ref="A1:O11"/>
    <mergeCell ref="A12:O12"/>
  </mergeCells>
  <printOptions/>
  <pageMargins left="0.511811024" right="0.511811024" top="0.787401575" bottom="0.787401575" header="0.31496062" footer="0.31496062"/>
  <pageSetup fitToHeight="0" fitToWidth="1" horizontalDpi="600" verticalDpi="6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workbookViewId="0" topLeftCell="A8">
      <selection activeCell="I25" sqref="I25"/>
    </sheetView>
  </sheetViews>
  <sheetFormatPr defaultColWidth="9.140625" defaultRowHeight="15"/>
  <cols>
    <col min="4" max="4" width="17.140625" style="0" customWidth="1"/>
    <col min="5" max="5" width="16.421875" style="0" customWidth="1"/>
    <col min="6" max="6" width="5.8515625" style="0" customWidth="1"/>
    <col min="7" max="7" width="7.57421875" style="0" customWidth="1"/>
    <col min="10" max="10" width="4.57421875" style="0" customWidth="1"/>
  </cols>
  <sheetData>
    <row r="1" spans="1:8" ht="15.75">
      <c r="A1" s="240"/>
      <c r="B1" s="240"/>
      <c r="C1" s="240"/>
      <c r="D1" s="240"/>
      <c r="E1" s="240"/>
      <c r="F1" s="240"/>
      <c r="G1" s="240"/>
      <c r="H1" s="240"/>
    </row>
    <row r="2" spans="1:10" ht="15.75" thickBot="1">
      <c r="A2" s="377"/>
      <c r="B2" s="377"/>
      <c r="C2" s="377"/>
      <c r="D2" s="377"/>
      <c r="E2" s="377"/>
      <c r="F2" s="377"/>
      <c r="G2" s="377"/>
      <c r="H2" s="377"/>
      <c r="I2" s="377"/>
      <c r="J2" s="377"/>
    </row>
    <row r="3" spans="1:9" ht="15">
      <c r="A3" s="295"/>
      <c r="B3" s="296"/>
      <c r="C3" s="296"/>
      <c r="D3" s="296"/>
      <c r="E3" s="296"/>
      <c r="F3" s="296"/>
      <c r="G3" s="296"/>
      <c r="H3" s="296"/>
      <c r="I3" s="297"/>
    </row>
    <row r="4" spans="1:9" ht="15" customHeight="1">
      <c r="A4" s="400" t="str">
        <f>Orçamento!A1</f>
        <v>PREFEITURA MUNICIPAL DE OUREM /PA</v>
      </c>
      <c r="B4" s="401"/>
      <c r="C4" s="401"/>
      <c r="D4" s="401"/>
      <c r="E4" s="401"/>
      <c r="F4" s="401"/>
      <c r="G4" s="401"/>
      <c r="H4" s="401"/>
      <c r="I4" s="402"/>
    </row>
    <row r="5" spans="1:9" ht="33.75" customHeight="1">
      <c r="A5" s="416" t="str">
        <f>Orçamento!A2</f>
        <v>OBRA: CONSTRUÇÃO DE UMA PRAÇA COM DOIS QUIOSQUES E ESTACIONAMENTO</v>
      </c>
      <c r="B5" s="417"/>
      <c r="C5" s="417"/>
      <c r="D5" s="417"/>
      <c r="E5" s="417"/>
      <c r="F5" s="417"/>
      <c r="G5" s="417"/>
      <c r="H5" s="417"/>
      <c r="I5" s="418"/>
    </row>
    <row r="6" spans="1:9" ht="18" customHeight="1">
      <c r="A6" s="400" t="str">
        <f>Orçamento!A4</f>
        <v>LOCAL: TRAVESSA MAJOR FERNANDES,  MUNICIPIO DE OURÉM - PA</v>
      </c>
      <c r="B6" s="401"/>
      <c r="C6" s="401"/>
      <c r="D6" s="401"/>
      <c r="E6" s="401"/>
      <c r="F6" s="401"/>
      <c r="G6" s="401"/>
      <c r="H6" s="401"/>
      <c r="I6" s="402"/>
    </row>
    <row r="7" spans="1:9" ht="15" customHeight="1">
      <c r="A7" s="403">
        <f>I25</f>
        <v>0.305</v>
      </c>
      <c r="B7" s="404"/>
      <c r="C7" s="404"/>
      <c r="D7" s="299" t="s">
        <v>278</v>
      </c>
      <c r="E7" s="405" t="s">
        <v>300</v>
      </c>
      <c r="F7" s="406"/>
      <c r="G7" s="406"/>
      <c r="H7" s="406"/>
      <c r="I7" s="407"/>
    </row>
    <row r="8" spans="1:9" ht="30.75" customHeight="1" thickBot="1">
      <c r="A8" s="411" t="s">
        <v>298</v>
      </c>
      <c r="B8" s="412"/>
      <c r="C8" s="412"/>
      <c r="D8" s="300" t="s">
        <v>279</v>
      </c>
      <c r="E8" s="413" t="s">
        <v>299</v>
      </c>
      <c r="F8" s="413"/>
      <c r="G8" s="413"/>
      <c r="H8" s="413"/>
      <c r="I8" s="414"/>
    </row>
    <row r="9" spans="1:10" ht="15.75" thickBot="1">
      <c r="A9" s="415"/>
      <c r="B9" s="415"/>
      <c r="C9" s="415"/>
      <c r="D9" s="415"/>
      <c r="E9" s="415"/>
      <c r="F9" s="415"/>
      <c r="G9" s="415"/>
      <c r="H9" s="415"/>
      <c r="I9" s="298"/>
      <c r="J9" s="298"/>
    </row>
    <row r="10" spans="1:10" ht="15.75" thickBot="1">
      <c r="A10" s="302" t="s">
        <v>280</v>
      </c>
      <c r="B10" s="303" t="s">
        <v>281</v>
      </c>
      <c r="C10" s="304"/>
      <c r="D10" s="304"/>
      <c r="E10" s="304"/>
      <c r="F10" s="304"/>
      <c r="G10" s="304"/>
      <c r="H10" s="304"/>
      <c r="I10" s="305"/>
      <c r="J10" s="301"/>
    </row>
    <row r="11" spans="1:10" ht="15">
      <c r="A11" s="306">
        <v>1</v>
      </c>
      <c r="B11" s="307" t="s">
        <v>282</v>
      </c>
      <c r="C11" s="298"/>
      <c r="D11" s="298"/>
      <c r="E11" s="298"/>
      <c r="F11" s="298"/>
      <c r="G11" s="298"/>
      <c r="H11" s="308"/>
      <c r="I11" s="309">
        <v>0.0315</v>
      </c>
      <c r="J11" s="301"/>
    </row>
    <row r="12" spans="1:10" ht="15">
      <c r="A12" s="306">
        <v>2</v>
      </c>
      <c r="B12" s="307" t="s">
        <v>283</v>
      </c>
      <c r="C12" s="298"/>
      <c r="D12" s="298"/>
      <c r="E12" s="298"/>
      <c r="F12" s="298"/>
      <c r="G12" s="298"/>
      <c r="H12" s="298"/>
      <c r="I12" s="309">
        <v>0.008</v>
      </c>
      <c r="J12" s="301"/>
    </row>
    <row r="13" spans="1:10" ht="15">
      <c r="A13" s="306">
        <v>3</v>
      </c>
      <c r="B13" s="307" t="s">
        <v>284</v>
      </c>
      <c r="C13" s="298"/>
      <c r="D13" s="298"/>
      <c r="E13" s="298"/>
      <c r="F13" s="298"/>
      <c r="G13" s="298"/>
      <c r="H13" s="308"/>
      <c r="I13" s="310">
        <v>0.0097</v>
      </c>
      <c r="J13" s="301"/>
    </row>
    <row r="14" spans="1:10" ht="15">
      <c r="A14" s="306">
        <v>4</v>
      </c>
      <c r="B14" s="307" t="s">
        <v>285</v>
      </c>
      <c r="C14" s="298"/>
      <c r="D14" s="298"/>
      <c r="E14" s="298"/>
      <c r="F14" s="298"/>
      <c r="G14" s="298"/>
      <c r="H14" s="308"/>
      <c r="I14" s="309">
        <v>0.0059</v>
      </c>
      <c r="J14" s="301"/>
    </row>
    <row r="15" spans="1:10" ht="15">
      <c r="A15" s="306">
        <v>5</v>
      </c>
      <c r="B15" s="307" t="s">
        <v>286</v>
      </c>
      <c r="C15" s="298"/>
      <c r="D15" s="298"/>
      <c r="E15" s="298"/>
      <c r="F15" s="298"/>
      <c r="G15" s="298"/>
      <c r="H15" s="308"/>
      <c r="I15" s="309">
        <v>0.074</v>
      </c>
      <c r="J15" s="301"/>
    </row>
    <row r="16" spans="1:10" ht="15.75" thickBot="1">
      <c r="A16" s="311">
        <v>6</v>
      </c>
      <c r="B16" s="312" t="s">
        <v>287</v>
      </c>
      <c r="C16" s="313"/>
      <c r="D16" s="313"/>
      <c r="E16" s="313"/>
      <c r="F16" s="313"/>
      <c r="G16" s="313"/>
      <c r="H16" s="314"/>
      <c r="I16" s="315">
        <f>I23</f>
        <v>0.1315</v>
      </c>
      <c r="J16" s="301"/>
    </row>
    <row r="17" spans="1:10" ht="15.75" thickBot="1">
      <c r="A17" s="316"/>
      <c r="B17" s="298"/>
      <c r="C17" s="298"/>
      <c r="D17" s="298"/>
      <c r="E17" s="298"/>
      <c r="F17" s="298"/>
      <c r="G17" s="298"/>
      <c r="H17" s="298"/>
      <c r="I17" s="317"/>
      <c r="J17" s="301"/>
    </row>
    <row r="18" spans="1:10" ht="15.75" thickBot="1">
      <c r="A18" s="302" t="s">
        <v>280</v>
      </c>
      <c r="B18" s="318" t="s">
        <v>288</v>
      </c>
      <c r="C18" s="304"/>
      <c r="D18" s="304"/>
      <c r="E18" s="304"/>
      <c r="F18" s="304"/>
      <c r="G18" s="304"/>
      <c r="H18" s="304"/>
      <c r="I18" s="319"/>
      <c r="J18" s="301"/>
    </row>
    <row r="19" spans="1:10" ht="15">
      <c r="A19" s="320" t="s">
        <v>133</v>
      </c>
      <c r="B19" s="307" t="s">
        <v>178</v>
      </c>
      <c r="C19" s="298"/>
      <c r="D19" s="298"/>
      <c r="E19" s="298"/>
      <c r="F19" s="298"/>
      <c r="G19" s="298"/>
      <c r="H19" s="298"/>
      <c r="I19" s="309">
        <v>0.05</v>
      </c>
      <c r="J19" s="301"/>
    </row>
    <row r="20" spans="1:10" ht="15">
      <c r="A20" s="320" t="s">
        <v>49</v>
      </c>
      <c r="B20" s="307" t="s">
        <v>175</v>
      </c>
      <c r="C20" s="298"/>
      <c r="D20" s="298"/>
      <c r="E20" s="298"/>
      <c r="F20" s="298"/>
      <c r="G20" s="298"/>
      <c r="H20" s="298"/>
      <c r="I20" s="309">
        <v>0.0065</v>
      </c>
      <c r="J20" s="301"/>
    </row>
    <row r="21" spans="1:10" ht="15">
      <c r="A21" s="320" t="s">
        <v>134</v>
      </c>
      <c r="B21" s="307" t="s">
        <v>176</v>
      </c>
      <c r="C21" s="298"/>
      <c r="D21" s="298"/>
      <c r="E21" s="298"/>
      <c r="F21" s="298"/>
      <c r="G21" s="298"/>
      <c r="H21" s="298"/>
      <c r="I21" s="309">
        <v>0.03</v>
      </c>
      <c r="J21" s="301"/>
    </row>
    <row r="22" spans="1:10" ht="15.75" thickBot="1">
      <c r="A22" s="321" t="s">
        <v>289</v>
      </c>
      <c r="B22" s="312" t="s">
        <v>290</v>
      </c>
      <c r="C22" s="313"/>
      <c r="D22" s="313"/>
      <c r="E22" s="313"/>
      <c r="F22" s="313"/>
      <c r="G22" s="313"/>
      <c r="H22" s="313"/>
      <c r="I22" s="322">
        <v>0.045</v>
      </c>
      <c r="J22" s="301"/>
    </row>
    <row r="23" spans="1:10" ht="15.75" thickBot="1">
      <c r="A23" s="323"/>
      <c r="B23" s="298"/>
      <c r="C23" s="298"/>
      <c r="D23" s="298"/>
      <c r="E23" s="298"/>
      <c r="F23" s="298"/>
      <c r="G23" s="324" t="s">
        <v>291</v>
      </c>
      <c r="H23" s="324"/>
      <c r="I23" s="325">
        <f>SUM(I19:I22)</f>
        <v>0.1315</v>
      </c>
      <c r="J23" s="301"/>
    </row>
    <row r="24" spans="1:10" ht="15.75" thickBot="1">
      <c r="A24" s="420" t="s">
        <v>292</v>
      </c>
      <c r="B24" s="421"/>
      <c r="C24" s="421"/>
      <c r="D24" s="421"/>
      <c r="E24" s="421"/>
      <c r="F24" s="421"/>
      <c r="G24" s="421"/>
      <c r="H24" s="421"/>
      <c r="I24" s="422"/>
      <c r="J24" s="301"/>
    </row>
    <row r="25" spans="1:10" ht="58.5" customHeight="1" thickBot="1">
      <c r="A25" s="326"/>
      <c r="B25" s="327"/>
      <c r="C25" s="327"/>
      <c r="D25" s="327"/>
      <c r="E25" s="327"/>
      <c r="F25" s="327"/>
      <c r="G25" s="327"/>
      <c r="H25" s="328"/>
      <c r="I25" s="329">
        <f>ROUND((((1+I11+I12+I13)*(1+I14)*(1+I15))/(1-I16))-1,3)</f>
        <v>0.305</v>
      </c>
      <c r="J25" s="301"/>
    </row>
    <row r="26" spans="1:10" ht="15">
      <c r="A26" s="323"/>
      <c r="B26" s="298"/>
      <c r="C26" s="298"/>
      <c r="D26" s="298"/>
      <c r="E26" s="298"/>
      <c r="F26" s="298"/>
      <c r="G26" s="298"/>
      <c r="H26" s="298"/>
      <c r="I26" s="330"/>
      <c r="J26" s="301"/>
    </row>
    <row r="27" spans="1:10" ht="15">
      <c r="A27" s="331" t="s">
        <v>293</v>
      </c>
      <c r="B27" s="298"/>
      <c r="C27" s="298"/>
      <c r="D27" s="298"/>
      <c r="E27" s="298"/>
      <c r="F27" s="298"/>
      <c r="G27" s="298"/>
      <c r="H27" s="298"/>
      <c r="I27" s="332"/>
      <c r="J27" s="301"/>
    </row>
    <row r="28" spans="1:10" ht="15">
      <c r="A28" s="408" t="s">
        <v>294</v>
      </c>
      <c r="B28" s="409"/>
      <c r="C28" s="409"/>
      <c r="D28" s="409"/>
      <c r="E28" s="409"/>
      <c r="F28" s="409"/>
      <c r="G28" s="409"/>
      <c r="H28" s="409"/>
      <c r="I28" s="410"/>
      <c r="J28" s="301"/>
    </row>
    <row r="29" spans="1:10" ht="15">
      <c r="A29" s="408" t="s">
        <v>295</v>
      </c>
      <c r="B29" s="409"/>
      <c r="C29" s="409"/>
      <c r="D29" s="409"/>
      <c r="E29" s="409"/>
      <c r="F29" s="409"/>
      <c r="G29" s="409"/>
      <c r="H29" s="409"/>
      <c r="I29" s="410"/>
      <c r="J29" s="301"/>
    </row>
    <row r="30" spans="1:10" ht="15">
      <c r="A30" s="408" t="s">
        <v>296</v>
      </c>
      <c r="B30" s="409"/>
      <c r="C30" s="409"/>
      <c r="D30" s="409"/>
      <c r="E30" s="409"/>
      <c r="F30" s="409"/>
      <c r="G30" s="409"/>
      <c r="H30" s="409"/>
      <c r="I30" s="410"/>
      <c r="J30" s="301"/>
    </row>
    <row r="31" spans="1:10" ht="15">
      <c r="A31" s="408" t="s">
        <v>297</v>
      </c>
      <c r="B31" s="409"/>
      <c r="C31" s="409"/>
      <c r="D31" s="409"/>
      <c r="E31" s="409"/>
      <c r="F31" s="409"/>
      <c r="G31" s="409"/>
      <c r="H31" s="409"/>
      <c r="I31" s="410"/>
      <c r="J31" s="301"/>
    </row>
    <row r="32" spans="1:10" ht="15.75" thickBot="1">
      <c r="A32" s="333"/>
      <c r="B32" s="334"/>
      <c r="C32" s="334"/>
      <c r="D32" s="334"/>
      <c r="E32" s="334"/>
      <c r="F32" s="334"/>
      <c r="G32" s="334"/>
      <c r="H32" s="334"/>
      <c r="I32" s="335"/>
      <c r="J32" s="301"/>
    </row>
    <row r="33" spans="1:10" ht="15">
      <c r="A33" s="419"/>
      <c r="B33" s="419"/>
      <c r="C33" s="419"/>
      <c r="D33" s="419"/>
      <c r="E33" s="419"/>
      <c r="F33" s="419"/>
      <c r="G33" s="419"/>
      <c r="H33" s="419"/>
      <c r="I33" s="419"/>
      <c r="J33" s="301"/>
    </row>
    <row r="37" spans="3:7" ht="15">
      <c r="C37" s="74"/>
      <c r="D37" s="74"/>
      <c r="E37" s="74"/>
      <c r="F37" s="74"/>
      <c r="G37" s="74"/>
    </row>
    <row r="38" spans="3:7" ht="15">
      <c r="C38" s="113"/>
      <c r="D38" s="113"/>
      <c r="E38" s="124"/>
      <c r="F38" s="113"/>
      <c r="G38" s="113"/>
    </row>
    <row r="39" spans="3:7" ht="15">
      <c r="C39" s="113"/>
      <c r="D39" s="113"/>
      <c r="E39" s="364" t="s">
        <v>315</v>
      </c>
      <c r="F39" s="113"/>
      <c r="G39" s="113"/>
    </row>
    <row r="40" spans="3:7" ht="18.75">
      <c r="C40" s="113"/>
      <c r="D40" s="113"/>
      <c r="E40" s="365" t="s">
        <v>298</v>
      </c>
      <c r="F40" s="113"/>
      <c r="G40" s="113"/>
    </row>
    <row r="41" spans="3:7" ht="15">
      <c r="C41" s="113"/>
      <c r="D41" s="113"/>
      <c r="E41" s="366" t="s">
        <v>314</v>
      </c>
      <c r="F41" s="113"/>
      <c r="G41" s="113"/>
    </row>
  </sheetData>
  <mergeCells count="14">
    <mergeCell ref="A29:I29"/>
    <mergeCell ref="A30:I30"/>
    <mergeCell ref="A31:I31"/>
    <mergeCell ref="A33:I33"/>
    <mergeCell ref="A24:I24"/>
    <mergeCell ref="A6:I6"/>
    <mergeCell ref="A7:C7"/>
    <mergeCell ref="E7:I7"/>
    <mergeCell ref="A28:I28"/>
    <mergeCell ref="A4:I4"/>
    <mergeCell ref="A8:C8"/>
    <mergeCell ref="E8:I8"/>
    <mergeCell ref="A9:H9"/>
    <mergeCell ref="A5:I5"/>
  </mergeCells>
  <printOptions/>
  <pageMargins left="0.24" right="0.24" top="0.32" bottom="0.787401575" header="0.31496062" footer="0.3149606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2006-09-25T12:47:36Z</dcterms:created>
  <dcterms:modified xsi:type="dcterms:W3CDTF">2019-09-17T12:40:38Z</dcterms:modified>
  <cp:category/>
  <cp:version/>
  <cp:contentType/>
  <cp:contentStatus/>
</cp:coreProperties>
</file>