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/>
  <bookViews>
    <workbookView xWindow="0" yWindow="0" windowWidth="20640" windowHeight="9675" activeTab="0"/>
  </bookViews>
  <sheets>
    <sheet name="ORÇAMENTO SÃO MIGUEL" sheetId="2" r:id="rId1"/>
    <sheet name="CBUQ DESONERADA" sheetId="5" state="hidden" r:id="rId2"/>
    <sheet name="MEMORIAL QUANT. CBUQ" sheetId="4" state="hidden" r:id="rId3"/>
    <sheet name="ORÇAMENTO SANTA LUZIA" sheetId="6" r:id="rId4"/>
  </sheets>
  <externalReferences>
    <externalReference r:id="rId7"/>
  </externalReferences>
  <definedNames>
    <definedName name="_xlnm._FilterDatabase" localSheetId="1" hidden="1">'CBUQ DESONERADA'!$A$8:$K$54</definedName>
    <definedName name="_xlnm._FilterDatabase" localSheetId="0" hidden="1">'ORÇAMENTO SÃO MIGUEL'!$A$15:$K$83</definedName>
    <definedName name="_xlnm.Print_Area" localSheetId="0">'ORÇAMENTO SÃO MIGUEL'!$A$1:$K$83</definedName>
  </definedNames>
  <calcPr calcId="144525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3.xml><?xml version="1.0" encoding="utf-8"?>
<comments xmlns="http://schemas.openxmlformats.org/spreadsheetml/2006/main">
  <authors>
    <author>Willian Costa Max</author>
    <author>Eulália Alves da Rocha</author>
  </authors>
  <commentList>
    <comment ref="F12" authorId="0">
      <text>
        <r>
          <rPr>
            <sz val="9"/>
            <rFont val="Segoe UI"/>
            <family val="2"/>
          </rPr>
          <t>Peso específico retirado do Manual de Custos Rodoviários do DNIT</t>
        </r>
      </text>
    </comment>
    <comment ref="G26" authorId="1">
      <text>
        <r>
          <rPr>
            <b/>
            <sz val="9"/>
            <rFont val="Segoe UI"/>
            <family val="2"/>
          </rPr>
          <t xml:space="preserve">Rampa de 1,20 x2,20x1,2 - considerando meio fio de 10 cm de altura e inclinação de 8,33%. </t>
        </r>
      </text>
    </comment>
    <comment ref="F31" authorId="1">
      <text>
        <r>
          <rPr>
            <b/>
            <sz val="9"/>
            <rFont val="Segoe UI"/>
            <family val="2"/>
          </rPr>
          <t>Deverá ser pintada faixa de pedestre onde existir rampas. Preferencialmente, próximo aos cruzamentos)</t>
        </r>
      </text>
    </comment>
    <comment ref="E59" authorId="0">
      <text>
        <r>
          <rPr>
            <b/>
            <sz val="9"/>
            <rFont val="Segoe UI"/>
            <family val="2"/>
          </rPr>
          <t xml:space="preserve">Conforme Manual de drenagem urbana do Dnit o recobrimento mínimo do tubo deverá ser de 0,60 m.
</t>
        </r>
      </text>
    </comment>
  </commentList>
</comments>
</file>

<file path=xl/sharedStrings.xml><?xml version="1.0" encoding="utf-8"?>
<sst xmlns="http://schemas.openxmlformats.org/spreadsheetml/2006/main" count="1179" uniqueCount="210">
  <si>
    <t>TOTAL INCLUSO BDI  (%)</t>
  </si>
  <si>
    <t xml:space="preserve"> TOTAL (R$)</t>
  </si>
  <si>
    <t>SUB - TOTAL</t>
  </si>
  <si>
    <t>m</t>
  </si>
  <si>
    <t>Assentamento de tudo de concreto para redes coletoras de águas pluviais, diâmeto de 600 mm, junta rígida, instalado em local com baixo nível de interferências</t>
  </si>
  <si>
    <t>S</t>
  </si>
  <si>
    <t>SINAPI</t>
  </si>
  <si>
    <t>5.13</t>
  </si>
  <si>
    <t>5.12</t>
  </si>
  <si>
    <t>Tubo de Concreto Simples, DN 400 mm para aguas pluviais</t>
  </si>
  <si>
    <t>I</t>
  </si>
  <si>
    <t>5.11</t>
  </si>
  <si>
    <t>Tubo de Concreto Simples, DN 600 mm para aguas pluviais</t>
  </si>
  <si>
    <t>5.10</t>
  </si>
  <si>
    <t>und</t>
  </si>
  <si>
    <t>Tampao fofo articulado, classe D400 carga max 40 T, redondo tampa *600 mm, rede pluvial/esgoto</t>
  </si>
  <si>
    <t>5.9</t>
  </si>
  <si>
    <t>Poço de visita para rede de esg. Sanit. Em aneis de concreto, diâmetro = 60 CM, prof = 80 cm, incluindo degrau, excluindo tampao ferro fundido</t>
  </si>
  <si>
    <t>5.8</t>
  </si>
  <si>
    <t>Boca de lobo em alvenaria tijolo macico, revestida c/ argamassa de cimento e areia 1:3, sobre lastro de concreto 10 cm e tampa de concreto armado</t>
  </si>
  <si>
    <t xml:space="preserve">SINAPI  </t>
  </si>
  <si>
    <t>5.7</t>
  </si>
  <si>
    <t>m³Xkm</t>
  </si>
  <si>
    <t>Transporte com caminhão basculante 6 m³ em rodovia com leito natural</t>
  </si>
  <si>
    <t>5.6</t>
  </si>
  <si>
    <t>m³</t>
  </si>
  <si>
    <t>5.5</t>
  </si>
  <si>
    <t>m²</t>
  </si>
  <si>
    <t>Preparo de fundo de vala com largura menor que 1.5 M, em local com nível baixo de interferência</t>
  </si>
  <si>
    <t>5.4</t>
  </si>
  <si>
    <t>5.3</t>
  </si>
  <si>
    <t>Execução de sarjeta de concreto usinado, moldada in loco em trecho reto, 30 CM base X 15 CM altura</t>
  </si>
  <si>
    <t>5.2</t>
  </si>
  <si>
    <t>Guia (meio-fio) concreto, moldada in loco em trecho reto com extrusoram 14 cm base x 30 cm altura</t>
  </si>
  <si>
    <t>5.1</t>
  </si>
  <si>
    <t>DRENAGEM</t>
  </si>
  <si>
    <t>Placa de sinalização em chapa de aço num 16 com pintura refletiva</t>
  </si>
  <si>
    <t>4.3</t>
  </si>
  <si>
    <t>4.2</t>
  </si>
  <si>
    <t>4.1</t>
  </si>
  <si>
    <t>SINALIZAÇÃO</t>
  </si>
  <si>
    <t>3.1</t>
  </si>
  <si>
    <t>ACESSIBILIDADE</t>
  </si>
  <si>
    <t>2.5</t>
  </si>
  <si>
    <t>Transporte com caminhão basculante 10 m³ de massa asfaltica para pavimentação urbana</t>
  </si>
  <si>
    <t>2.4</t>
  </si>
  <si>
    <t>Construção de pavimento com aplicação de concreto betuminoso usinado a quente (CBUQ), binder, com espessura de 5,0 cm</t>
  </si>
  <si>
    <t>2.3</t>
  </si>
  <si>
    <t>2.2</t>
  </si>
  <si>
    <t>2.1</t>
  </si>
  <si>
    <t xml:space="preserve">PAVIMENTAÇÃO ASFALTICA </t>
  </si>
  <si>
    <t>Execução e Compactação de base e ou sub base com solo estabilizado granulometricamente - Exclusive escavação, carga e transporte e solo.</t>
  </si>
  <si>
    <t>1.2</t>
  </si>
  <si>
    <t>Regularização e compactação do Subleito até 20 cm de espessura</t>
  </si>
  <si>
    <t>1.1</t>
  </si>
  <si>
    <t>TERRAPLANAGEM</t>
  </si>
  <si>
    <t>VALOR TOTAL COM BDI (R$)</t>
  </si>
  <si>
    <t>VALOR TOTAL (R$)</t>
  </si>
  <si>
    <t>PREÇO COM BDI (R$)</t>
  </si>
  <si>
    <t>QUANTITATIVO</t>
  </si>
  <si>
    <t>UNI</t>
  </si>
  <si>
    <t>DESCRIÇÃO</t>
  </si>
  <si>
    <t>S - Serviço I - Insumo</t>
  </si>
  <si>
    <t>TABELA</t>
  </si>
  <si>
    <t>CÓDIGO</t>
  </si>
  <si>
    <t>ITEM</t>
  </si>
  <si>
    <t xml:space="preserve">BDI SERVIÇO (%) </t>
  </si>
  <si>
    <t xml:space="preserve">BDI MATERIAL (%) </t>
  </si>
  <si>
    <t>PAVIMENTAÇÃO DE VIAS PÚBLICAS - URBANAS</t>
  </si>
  <si>
    <t>PLANILHA ORÇAMENTÁRIA</t>
  </si>
  <si>
    <t>UND</t>
  </si>
  <si>
    <t>m³XKm</t>
  </si>
  <si>
    <t>(m²)</t>
  </si>
  <si>
    <t>(m³)</t>
  </si>
  <si>
    <t>(Km)</t>
  </si>
  <si>
    <t>(UND)</t>
  </si>
  <si>
    <t>(m)</t>
  </si>
  <si>
    <t>TOTAL</t>
  </si>
  <si>
    <t>AREA DA TUBULAÇÃO</t>
  </si>
  <si>
    <t>VOLUME</t>
  </si>
  <si>
    <t>DISTÂNCIA</t>
  </si>
  <si>
    <t>QUANTIDADE</t>
  </si>
  <si>
    <t>PROFUNDIDADE</t>
  </si>
  <si>
    <t>EXTENSÃO</t>
  </si>
  <si>
    <t xml:space="preserve">LARGURA </t>
  </si>
  <si>
    <t>5.0</t>
  </si>
  <si>
    <t>4.0</t>
  </si>
  <si>
    <t>3.0</t>
  </si>
  <si>
    <t>(km)</t>
  </si>
  <si>
    <t>ESPESSURA</t>
  </si>
  <si>
    <t>PAVIMENAÇÃO ASFÁLTICA</t>
  </si>
  <si>
    <t>2.0</t>
  </si>
  <si>
    <t>1.0</t>
  </si>
  <si>
    <t>PLANILHA DE CÁLCULO DE QUANTITATIVOS DE PAVIMENTAÇÃO</t>
  </si>
  <si>
    <t>1.3</t>
  </si>
  <si>
    <t>1.4</t>
  </si>
  <si>
    <t>74154/001</t>
  </si>
  <si>
    <t>Escavação , carga e transporte de material de 1A categoria com trator sobre esteiras 347 HP e caçamba 6m³, DMT 50 a 200M</t>
  </si>
  <si>
    <t>TxKm</t>
  </si>
  <si>
    <t>Execução de imprimação com asfalto diluído CM-30</t>
  </si>
  <si>
    <t>PESO ESPECIFICO - SOLO</t>
  </si>
  <si>
    <t>(T/m³)</t>
  </si>
  <si>
    <r>
      <t xml:space="preserve">Transporte comercial com caminhao carroceria 9 T, rodovia pavimentada - </t>
    </r>
    <r>
      <rPr>
        <i/>
        <sz val="11"/>
        <color theme="1"/>
        <rFont val="Calibri"/>
        <family val="2"/>
        <scheme val="minor"/>
      </rPr>
      <t>( taxa de 0,0012 T/m² de CM-30 x Area a ser pavimentada)</t>
    </r>
  </si>
  <si>
    <t>EMPOLAMENTO</t>
  </si>
  <si>
    <t>TABELA DE REFERÊNCIA - SINAPI / PA / 10_2017 /COM DESONERAÇÃO</t>
  </si>
  <si>
    <t xml:space="preserve">CUSTO UNITÁRIO (R$) </t>
  </si>
  <si>
    <r>
      <t xml:space="preserve">Transporte comercial com carroceria 9 T, rodovia em leito natural - </t>
    </r>
    <r>
      <rPr>
        <b/>
        <sz val="11"/>
        <color theme="1"/>
        <rFont val="Calibri"/>
        <family val="2"/>
        <scheme val="minor"/>
      </rPr>
      <t>COMPLEMENTO DE TRANSP. JAZIDA/OBRA.</t>
    </r>
  </si>
  <si>
    <t>Txkm</t>
  </si>
  <si>
    <r>
      <t xml:space="preserve">Transporte comercial com carroceria 9 T, rodovia em leito natural - </t>
    </r>
    <r>
      <rPr>
        <b/>
        <sz val="11"/>
        <color theme="1"/>
        <rFont val="Calibri"/>
        <family val="2"/>
        <scheme val="minor"/>
      </rPr>
      <t>COMPLEMENTO DE TRANSP. JAZIDA/OBRA</t>
    </r>
  </si>
  <si>
    <t>m³xKm</t>
  </si>
  <si>
    <r>
      <t xml:space="preserve">Concreto FCK - 15MPA, traço 1:3,  4:3, 5 (cimento/areia média/brita 1) - preparo mecânico com betoneira 400 l. AF_07/2016 - </t>
    </r>
    <r>
      <rPr>
        <b/>
        <sz val="11"/>
        <color theme="1"/>
        <rFont val="Calibri"/>
        <family val="2"/>
        <scheme val="minor"/>
      </rPr>
      <t>TENTO</t>
    </r>
  </si>
  <si>
    <t>ALTURA</t>
  </si>
  <si>
    <r>
      <t xml:space="preserve">Execução de passeio (calçada) ou piso de concreto com concreto moldado in loco, feito em obra, acabamento convencional, espessura 10 cm armado. AF_07/2016 - </t>
    </r>
    <r>
      <rPr>
        <b/>
        <sz val="11"/>
        <color theme="1"/>
        <rFont val="Calibri"/>
        <family val="2"/>
        <scheme val="minor"/>
      </rPr>
      <t>RAMPA DE ACESSIBILIDADE</t>
    </r>
  </si>
  <si>
    <t>BASE MAIOR</t>
  </si>
  <si>
    <t>BASE MENOR</t>
  </si>
  <si>
    <t>4.1.1</t>
  </si>
  <si>
    <t>4.1.2</t>
  </si>
  <si>
    <r>
      <t xml:space="preserve">Sinalização horizontal com tinta retrorrefletiva a base de resina acrilica com microesferas de vidro - </t>
    </r>
    <r>
      <rPr>
        <b/>
        <sz val="11"/>
        <color theme="1"/>
        <rFont val="Calibri"/>
        <family val="2"/>
        <scheme val="minor"/>
      </rPr>
      <t>FAIXA CONTINUA E SECCIONADA</t>
    </r>
  </si>
  <si>
    <t>Nº DE FAIXAS PINTADAS</t>
  </si>
  <si>
    <t>-</t>
  </si>
  <si>
    <r>
      <t xml:space="preserve">Sinalização horizontal com tinta retrorrefletiva a base de resina acrilica com microesferas de vidro - </t>
    </r>
    <r>
      <rPr>
        <b/>
        <sz val="11"/>
        <color theme="1"/>
        <rFont val="Calibri"/>
        <family val="2"/>
        <scheme val="minor"/>
      </rPr>
      <t>FAIXA DE PEDESTRE</t>
    </r>
  </si>
  <si>
    <t>Piso podotatil de concreto - direcional e alerta, *40 x 40 x 2,5* cm</t>
  </si>
  <si>
    <t>ÁREA</t>
  </si>
  <si>
    <t>4.3.1</t>
  </si>
  <si>
    <t>4.3.2</t>
  </si>
  <si>
    <t>4.3.3</t>
  </si>
  <si>
    <t>Placa de sinalização em chapa de aço num 16 com pintura refletiva - Octogonal (Dim. CTB Lei nº 9.503/97</t>
  </si>
  <si>
    <t>Placa de sinalização em chapa de aço num 16 com pintura refletiva - Circular (Dim. CTB Lei nº 9.503/97</t>
  </si>
  <si>
    <t>Placa de sinalização em chapa de aço num 16 com pintura refletiva - Triangular (Dim. CTB Lei nº 9.503/97</t>
  </si>
  <si>
    <t>Placa de sinalização em chapa de aço num 16 com pintura refletiva - Retangular (Dim. CTB Lei nº 9.503/97</t>
  </si>
  <si>
    <t>4.3.4</t>
  </si>
  <si>
    <t>4.4</t>
  </si>
  <si>
    <t>4.4.1</t>
  </si>
  <si>
    <t>DRENAGEM SUPERFICIAL</t>
  </si>
  <si>
    <t>Transporte com caminhão basculante 6m³ em rodovia com leito natural - Bota fora</t>
  </si>
  <si>
    <t>m³xkm</t>
  </si>
  <si>
    <t>DRENAGEM DE TRAVESSIA URBANA</t>
  </si>
  <si>
    <t>5.14</t>
  </si>
  <si>
    <t>5.15</t>
  </si>
  <si>
    <t>5.16</t>
  </si>
  <si>
    <t>5.17</t>
  </si>
  <si>
    <t>5.18</t>
  </si>
  <si>
    <t>5.19</t>
  </si>
  <si>
    <t>5.20</t>
  </si>
  <si>
    <t>Transporte comercial com caminhao carroceria 9 T, rodovia pavimentada - ( taxa de 0,0012 T/m² de CM-30 x Area a ser pavimentada)</t>
  </si>
  <si>
    <r>
      <t xml:space="preserve">Concreto FCK - 15MPA, traço 1:3,  4:3, 5 (cimento/areia média/brita 1) - </t>
    </r>
    <r>
      <rPr>
        <b/>
        <sz val="11"/>
        <color theme="1"/>
        <rFont val="Calibri"/>
        <family val="2"/>
        <scheme val="minor"/>
      </rPr>
      <t>TENTO</t>
    </r>
  </si>
  <si>
    <r>
      <t xml:space="preserve">Sinalização horizontal com tinta retrorrefletiva a base de resina acrilica com microesferas de vidro - </t>
    </r>
    <r>
      <rPr>
        <b/>
        <sz val="11"/>
        <color theme="1"/>
        <rFont val="Calibri"/>
        <family val="2"/>
        <scheme val="minor"/>
      </rPr>
      <t>FAIXA CONTINUA E SECCIONADA E PEDESTRE</t>
    </r>
  </si>
  <si>
    <t>Reaterro mecanizado de vala com retroescavadeira, largura até 0,8 M, profundidade até 1,5 M, com solo de 1 categoria em locais com baixo nível de interferência</t>
  </si>
  <si>
    <t>Assentamento de tubo de concreto para redes coletoras de águas pluviais, diâmetro de 400 mm, junta rígida, instalado em local com baixo nível de interferências</t>
  </si>
  <si>
    <t>73963/001</t>
  </si>
  <si>
    <t>Escavação mecanizada de vala com profundidade até 1,5 m (média entre montante e jusante/uma composição por trecho) com retroescavadeira (capacidade da caçamba da retro: 0,26 m3 / potência: 88 hp), largura menor que 0,8 m, em solo de 1a categoria, locais com baixo nível de interferência. AF_01/2015</t>
  </si>
  <si>
    <t>Escavação mecanizada de vala com profundidade até 1,5 m (média entre montante e jusante/uma composição por trecho) com retroescavadeira (capacidade da caçamba da retro: 0,26 m3 / potência: 88 hp), largura de 0,8 m a 1,5 m, em solo de 1a categoria, locais com baixo nível de interferência. AF_01/2015</t>
  </si>
  <si>
    <r>
      <t>Tubo Aço Galvanizado Com Costura, Classe Leve, Dn 50 Mm (2"), E = 3,00 Mm -</t>
    </r>
    <r>
      <rPr>
        <b/>
        <sz val="11"/>
        <rFont val="Calibri"/>
        <family val="2"/>
        <scheme val="minor"/>
      </rPr>
      <t>SUPORTE PLACA</t>
    </r>
  </si>
  <si>
    <r>
      <t>Escavação mecanizada de vala com profundidade até 1,5 m (média entre montante e jusante/uma composição por trecho) com retroescavadeira (capacidade da caçamba da retro: 0,26 m3 / potência: 88 hp), largura de 0,8 m a 1,5 m, em solo de 1a categoria, locais com baixo nível de interferência. AF_01/2015 -</t>
    </r>
    <r>
      <rPr>
        <b/>
        <i/>
        <sz val="11"/>
        <color theme="1"/>
        <rFont val="Calibri"/>
        <family val="2"/>
        <scheme val="minor"/>
      </rPr>
      <t xml:space="preserve"> Conforme NBR 12266/1992 - DN 400 mm.</t>
    </r>
  </si>
  <si>
    <r>
      <t>Escavação mecanizada de vala com profundidade até 1,5 m (média entre montante e jusante/uma composição por trecho) com retroescavadeira (capacidade da caçamba da retro: 0,26 m3 / potência: 88 hp), largura de 0,8 m a 1,5 m, em solo de 1a categoria, locais com baixo nível de interferência. AF_01/2015 -</t>
    </r>
    <r>
      <rPr>
        <b/>
        <i/>
        <sz val="11"/>
        <color theme="1"/>
        <rFont val="Calibri"/>
        <family val="2"/>
        <scheme val="minor"/>
      </rPr>
      <t xml:space="preserve"> Conforme NBR 12266/1992 - DN 600 mm.</t>
    </r>
  </si>
  <si>
    <r>
      <t xml:space="preserve">Escavação mecanizada de vala com profundidade até 1,5 m (média entre montante e jusante/uma composição por trecho) com retroescavadeira (capacidade da caçamba da retro: 0,26 m3 / potência: 88 hp), largura de 0,8 m a 1,5 m, em solo de 1a categoria, locais com baixo nível de interferência. AF_01/2015 </t>
    </r>
    <r>
      <rPr>
        <b/>
        <i/>
        <sz val="11"/>
        <color theme="1"/>
        <rFont val="Calibri"/>
        <family val="2"/>
        <scheme val="minor"/>
      </rPr>
      <t>- DN 400 mm.</t>
    </r>
  </si>
  <si>
    <r>
      <t xml:space="preserve">Escavação mecanizada de vala com profundidade até 1,5 m (média entre montante e jusante/uma composição por trecho) com retroescavadeira (capacidade da caçamba da retro: 0,26 m3 / potência: 88 hp), largura de 0,8 m a 1,5 m, em solo de 1a categoria, locais com baixo nível de interferência. AF_01/2015 </t>
    </r>
    <r>
      <rPr>
        <b/>
        <i/>
        <sz val="11"/>
        <color theme="1"/>
        <rFont val="Calibri"/>
        <family val="2"/>
        <scheme val="minor"/>
      </rPr>
      <t>- DN 600 mm.</t>
    </r>
  </si>
  <si>
    <r>
      <t xml:space="preserve">Preparo de fundo de vala com largura menor que 1.5 M, em local com nível baixo de interferência </t>
    </r>
    <r>
      <rPr>
        <b/>
        <i/>
        <sz val="11"/>
        <color theme="1"/>
        <rFont val="Calibri"/>
        <family val="2"/>
        <scheme val="minor"/>
      </rPr>
      <t>- DN 400 mm.</t>
    </r>
  </si>
  <si>
    <r>
      <t xml:space="preserve">Reaterro mecanizado de vala com retroescavadeira, largura até 0,8 M, profundidade até 1,5 M, com solo de 1 categoria em locais com baixo nivel de interferência </t>
    </r>
    <r>
      <rPr>
        <b/>
        <i/>
        <sz val="11"/>
        <color theme="1"/>
        <rFont val="Calibri"/>
        <family val="2"/>
        <scheme val="minor"/>
      </rPr>
      <t>- DN 400 mm.</t>
    </r>
  </si>
  <si>
    <r>
      <t>Assentamento de tudo de concreto para redes coletoras de águas pluviais, diâmeto de 400 mm, junta rígida, instalado em local com baixo nível de interferências</t>
    </r>
    <r>
      <rPr>
        <b/>
        <i/>
        <sz val="11"/>
        <color theme="1"/>
        <rFont val="Calibri"/>
        <family val="2"/>
        <scheme val="minor"/>
      </rPr>
      <t xml:space="preserve"> - DN 400 mm.</t>
    </r>
  </si>
  <si>
    <r>
      <t xml:space="preserve">Transporte com caminhão basculante 6 m³ em rodovia com leito natural - Bota fora </t>
    </r>
    <r>
      <rPr>
        <b/>
        <i/>
        <sz val="11"/>
        <color theme="1"/>
        <rFont val="Calibri"/>
        <family val="2"/>
        <scheme val="minor"/>
      </rPr>
      <t>- DN 400 mm.</t>
    </r>
  </si>
  <si>
    <r>
      <t xml:space="preserve">Preparo de fundo de vala com largura menor que 1.5 M, em local com nível baixo de interferência </t>
    </r>
    <r>
      <rPr>
        <b/>
        <i/>
        <sz val="11"/>
        <color theme="1"/>
        <rFont val="Calibri"/>
        <family val="2"/>
        <scheme val="minor"/>
      </rPr>
      <t xml:space="preserve"> - DN 600 mm.</t>
    </r>
  </si>
  <si>
    <r>
      <t xml:space="preserve">Reaterro mecanizado de vala com retroescavadeira, largura até 0,8 M, profundidade até 1,5 M, com solo de 1 categoria em locais com baixo nivel de interferência  </t>
    </r>
    <r>
      <rPr>
        <b/>
        <i/>
        <sz val="11"/>
        <color theme="1"/>
        <rFont val="Calibri"/>
        <family val="2"/>
        <scheme val="minor"/>
      </rPr>
      <t>- DN 600 mm.</t>
    </r>
  </si>
  <si>
    <r>
      <t xml:space="preserve">Assentamento de tudo de concreto para redes coletoras de águas pluviais, diâmeto de 600 mm, junta rígida, instalado em local com baixo nível de interferências  </t>
    </r>
    <r>
      <rPr>
        <b/>
        <i/>
        <sz val="11"/>
        <color theme="1"/>
        <rFont val="Calibri"/>
        <family val="2"/>
        <scheme val="minor"/>
      </rPr>
      <t>- DN 600 mm.</t>
    </r>
  </si>
  <si>
    <r>
      <t xml:space="preserve">Transporte com caminhão basculante 6 m³ em rodovia com leito natural - Bota fora </t>
    </r>
    <r>
      <rPr>
        <b/>
        <i/>
        <sz val="11"/>
        <color theme="1"/>
        <rFont val="Calibri"/>
        <family val="2"/>
        <scheme val="minor"/>
      </rPr>
      <t xml:space="preserve"> - DN 600 mm.</t>
    </r>
  </si>
  <si>
    <t>OBRA: PAVIMENTAÇÃO DE VIAS PÚBLICAS  - CONVÊNIO 0580/2017</t>
  </si>
  <si>
    <t>m131</t>
  </si>
  <si>
    <t>SERVIÇOS PRELIMINARES</t>
  </si>
  <si>
    <t xml:space="preserve">Placa de obra </t>
  </si>
  <si>
    <t>Instalação de canteiro de obra</t>
  </si>
  <si>
    <t>Mobilização, desmobilização de máquinas, equipamentos e pessoal</t>
  </si>
  <si>
    <t>SERVIÇOS DE CONSERVAÇÃO</t>
  </si>
  <si>
    <t>Limpeza lateral mecanizada</t>
  </si>
  <si>
    <t>Abertura de valetas</t>
  </si>
  <si>
    <t>SERVIÇOS DE TERRAPLENAGEM</t>
  </si>
  <si>
    <t>SERVIÇOS DE PAVIMENTAÇÃO</t>
  </si>
  <si>
    <t>SERVIÇOS DE OBRA DE ARTE CORRENTE (OAC)</t>
  </si>
  <si>
    <t>Base de solo estabilizado granu. s/ mistura (inclu. Indenização de jazida)</t>
  </si>
  <si>
    <t>Escavação mecanica de vala em mat 1ª categoria.</t>
  </si>
  <si>
    <t>Corpo BSTC D=0,80 m AC/BC/PC</t>
  </si>
  <si>
    <t>Reaterro compactado p/  bueiro</t>
  </si>
  <si>
    <t>Boca BSTC D = 0,80 AC/BC/PC</t>
  </si>
  <si>
    <t>tkm</t>
  </si>
  <si>
    <t>SEDOP</t>
  </si>
  <si>
    <t>Regularização do Sub leito</t>
  </si>
  <si>
    <t>73856/8</t>
  </si>
  <si>
    <t>TABELA DE REFERÊNCIA - SINAPI/SEDOP / PA / 04_2018 /SEM DESONERAÇÃO</t>
  </si>
  <si>
    <t>PREFEITURA MUNICIPAL DE OURÉM</t>
  </si>
  <si>
    <t>Aterro e compactação p/ elevação de greide.</t>
  </si>
  <si>
    <t>PA-251 - TRECHO BR-010 (São Miguel do Guamá) / PA-124 (Ourém)</t>
  </si>
  <si>
    <t>3.2</t>
  </si>
  <si>
    <t>3.3</t>
  </si>
  <si>
    <t>CPU</t>
  </si>
  <si>
    <t>73822/2</t>
  </si>
  <si>
    <t>SINAP2PA</t>
  </si>
  <si>
    <t>2S021100</t>
  </si>
  <si>
    <t>SICRO2PA</t>
  </si>
  <si>
    <t>3S0900106</t>
  </si>
  <si>
    <t>Transporte local c/ basculante10 m³ em rodovia não pavimentada DMT - 35 km</t>
  </si>
  <si>
    <t>Transp. Local c/ basc. 10 m³ rodov. Não parvimentada - DMT 35 km</t>
  </si>
  <si>
    <t>2S0220001</t>
  </si>
  <si>
    <t>2S0400100</t>
  </si>
  <si>
    <t>2S0410052</t>
  </si>
  <si>
    <t>PA-251 - PA-124 (Ourém) / BR-316 (Santa Luzia do Pará)</t>
  </si>
  <si>
    <t>Reaterro e compactação (pontos de erosão Km 15,5 a 15,8)</t>
  </si>
  <si>
    <t>Transp. Local c/ basc. 10 m³ rodov. Não parvimentada - DMT 35 Km</t>
  </si>
  <si>
    <r>
      <t xml:space="preserve">Execução de passeio (calçada) ou piso de concreto com concreto moldado in loco, feito em obra, acabamento convencional, espessura 10 cm armado. AF_07/2016 - </t>
    </r>
    <r>
      <rPr>
        <b/>
        <sz val="11"/>
        <color rgb="FF000000"/>
        <rFont val="Calibri"/>
        <family val="2"/>
      </rPr>
      <t>RAMPA DE ACESSIBILIDADE</t>
    </r>
  </si>
  <si>
    <r>
      <t xml:space="preserve">Sinalização horizontal com tinta retrorrefletiva a base de resina acrilica com microesferas de vidro - </t>
    </r>
    <r>
      <rPr>
        <b/>
        <sz val="11"/>
        <color rgb="FF000000"/>
        <rFont val="Calibri"/>
        <family val="2"/>
      </rPr>
      <t>FAIXA CONTINUA E SECCIONADA E PEDESTRE</t>
    </r>
  </si>
  <si>
    <r>
      <t xml:space="preserve">Escavação mecanizada de vala com profundidade até 1,5 m (média entre montante e jusante/uma composição por trecho) com retroescavadeira (capacidade da caçamba da retro: 0,26 m3 / potência: 88 hp), largura de 0,8 m a 1,5 m, em solo de 1a categoria, locais com baixo nível de interferência. AF_01/2015 </t>
    </r>
    <r>
      <rPr>
        <b/>
        <i/>
        <sz val="11"/>
        <color rgb="FF000000"/>
        <rFont val="Calibri"/>
        <family val="2"/>
      </rPr>
      <t>- DN 400 mm.</t>
    </r>
  </si>
  <si>
    <r>
      <t xml:space="preserve">Escavação mecanizada de vala com profundidade até 1,5 m (média entre montante e jusante/uma composição por trecho) com retroescavadeira (capacidade da caçamba da retro: 0,26 m3 / potência: 88 hp), largura de 0,8 m a 1,5 m, em solo de 1a categoria, locais com baixo nível de interferência. AF_01/2015 </t>
    </r>
    <r>
      <rPr>
        <b/>
        <i/>
        <sz val="11"/>
        <color rgb="FF000000"/>
        <rFont val="Calibri"/>
        <family val="2"/>
      </rPr>
      <t>- DN 600 mm.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</si>
</sst>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[$R$-416]\ * #,##0.00_-;\-[$R$-416]\ * #,##0.00_-;_-[$R$-416]\ * &quot;-&quot;??_-;_-@_-"/>
    <numFmt numFmtId="165" formatCode="&quot;R$&quot;\ #,##0.00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name val="Segoe UI"/>
      <family val="2"/>
    </font>
    <font>
      <b/>
      <sz val="9"/>
      <name val="Segoe UI"/>
      <family val="2"/>
    </font>
    <font>
      <b/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b/>
      <sz val="13"/>
      <color rgb="FF000000"/>
      <name val="Calibri"/>
      <family val="2"/>
    </font>
    <font>
      <sz val="11"/>
      <name val="Calibri"/>
      <family val="2"/>
    </font>
    <font>
      <sz val="9"/>
      <color rgb="FF000000"/>
      <name val="Calibri"/>
      <family val="2"/>
    </font>
    <font>
      <b/>
      <i/>
      <sz val="11"/>
      <color rgb="FF000000"/>
      <name val="Calibri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272">
    <xf numFmtId="0" fontId="0" fillId="0" borderId="0" xfId="0"/>
    <xf numFmtId="0" fontId="0" fillId="0" borderId="1" xfId="0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 horizontal="center" vertical="center" wrapText="1"/>
      <protection/>
    </xf>
    <xf numFmtId="0" fontId="0" fillId="2" borderId="1" xfId="0" applyFill="1" applyBorder="1" applyAlignment="1" applyProtection="1">
      <alignment horizontal="center" vertical="center"/>
      <protection/>
    </xf>
    <xf numFmtId="0" fontId="0" fillId="2" borderId="1" xfId="0" applyFill="1" applyBorder="1" applyAlignment="1" applyProtection="1">
      <alignment horizontal="center" vertical="center" wrapText="1"/>
      <protection/>
    </xf>
    <xf numFmtId="0" fontId="0" fillId="2" borderId="1" xfId="0" applyFont="1" applyFill="1" applyBorder="1" applyAlignment="1" applyProtection="1">
      <alignment horizontal="center" vertical="center"/>
      <protection/>
    </xf>
    <xf numFmtId="0" fontId="0" fillId="3" borderId="1" xfId="0" applyFill="1" applyBorder="1" applyAlignment="1" applyProtection="1">
      <alignment horizontal="center" vertical="center"/>
      <protection/>
    </xf>
    <xf numFmtId="0" fontId="2" fillId="3" borderId="1" xfId="0" applyFont="1" applyFill="1" applyBorder="1" applyAlignment="1" applyProtection="1">
      <alignment horizontal="center" vertical="center" wrapText="1"/>
      <protection/>
    </xf>
    <xf numFmtId="0" fontId="0" fillId="3" borderId="1" xfId="0" applyFill="1" applyBorder="1" applyAlignment="1" applyProtection="1">
      <alignment horizontal="center" vertical="center" wrapText="1"/>
      <protection/>
    </xf>
    <xf numFmtId="0" fontId="2" fillId="3" borderId="1" xfId="0" applyFont="1" applyFill="1" applyBorder="1" applyAlignment="1" applyProtection="1">
      <alignment horizontal="center" vertical="center"/>
      <protection/>
    </xf>
    <xf numFmtId="0" fontId="3" fillId="0" borderId="1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0" fontId="2" fillId="0" borderId="2" xfId="0" applyFont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0" xfId="0" applyProtection="1">
      <protection/>
    </xf>
    <xf numFmtId="0" fontId="0" fillId="0" borderId="0" xfId="0" applyFill="1"/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2" fillId="0" borderId="0" xfId="0" applyFont="1" applyFill="1" applyBorder="1" applyAlignment="1">
      <alignment vertical="center"/>
    </xf>
    <xf numFmtId="2" fontId="0" fillId="3" borderId="1" xfId="0" applyNumberFormat="1" applyFill="1" applyBorder="1" applyAlignment="1" applyProtection="1">
      <alignment horizontal="center" vertical="center"/>
      <protection/>
    </xf>
    <xf numFmtId="2" fontId="0" fillId="2" borderId="1" xfId="0" applyNumberFormat="1" applyFill="1" applyBorder="1" applyAlignment="1" applyProtection="1">
      <alignment horizontal="center" vertical="center"/>
      <protection/>
    </xf>
    <xf numFmtId="2" fontId="0" fillId="0" borderId="1" xfId="0" applyNumberForma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5" fillId="3" borderId="4" xfId="0" applyFont="1" applyFill="1" applyBorder="1" applyAlignment="1">
      <alignment horizontal="center" vertical="center"/>
    </xf>
    <xf numFmtId="0" fontId="0" fillId="0" borderId="0" xfId="0" applyFont="1"/>
    <xf numFmtId="0" fontId="5" fillId="3" borderId="2" xfId="0" applyFont="1" applyFill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2" xfId="0" applyFont="1" applyBorder="1" applyAlignment="1" applyProtection="1">
      <alignment horizontal="right" vertical="center"/>
      <protection/>
    </xf>
    <xf numFmtId="0" fontId="0" fillId="0" borderId="0" xfId="0" applyFont="1" applyAlignment="1">
      <alignment horizontal="center"/>
    </xf>
    <xf numFmtId="0" fontId="0" fillId="3" borderId="1" xfId="0" applyFont="1" applyFill="1" applyBorder="1" applyAlignment="1" applyProtection="1">
      <alignment horizontal="center" vertical="center" wrapText="1"/>
      <protection/>
    </xf>
    <xf numFmtId="0" fontId="0" fillId="3" borderId="1" xfId="0" applyFont="1" applyFill="1" applyBorder="1" applyAlignment="1" applyProtection="1">
      <alignment horizontal="center" vertical="center"/>
      <protection/>
    </xf>
    <xf numFmtId="2" fontId="0" fillId="3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Font="1" applyBorder="1" applyAlignment="1" applyProtection="1">
      <alignment horizontal="center" vertical="center"/>
      <protection/>
    </xf>
    <xf numFmtId="0" fontId="0" fillId="0" borderId="1" xfId="0" applyFont="1" applyBorder="1" applyAlignment="1" applyProtection="1">
      <alignment horizontal="center" vertical="center" wrapText="1"/>
      <protection/>
    </xf>
    <xf numFmtId="2" fontId="0" fillId="0" borderId="1" xfId="0" applyNumberFormat="1" applyFont="1" applyBorder="1" applyAlignment="1" applyProtection="1">
      <alignment horizontal="center" vertical="center"/>
      <protection/>
    </xf>
    <xf numFmtId="0" fontId="0" fillId="2" borderId="1" xfId="0" applyFont="1" applyFill="1" applyBorder="1" applyAlignment="1" applyProtection="1">
      <alignment horizontal="center" vertical="center"/>
      <protection/>
    </xf>
    <xf numFmtId="0" fontId="0" fillId="2" borderId="1" xfId="0" applyFont="1" applyFill="1" applyBorder="1" applyAlignment="1" applyProtection="1">
      <alignment horizontal="center" vertical="center" wrapText="1"/>
      <protection/>
    </xf>
    <xf numFmtId="2" fontId="0" fillId="2" borderId="1" xfId="0" applyNumberFormat="1" applyFont="1" applyFill="1" applyBorder="1" applyAlignment="1" applyProtection="1">
      <alignment horizontal="center" vertical="center"/>
      <protection/>
    </xf>
    <xf numFmtId="2" fontId="0" fillId="0" borderId="1" xfId="0" applyNumberFormat="1" applyFont="1" applyBorder="1" applyAlignment="1" applyProtection="1">
      <alignment horizontal="center" vertical="center" wrapText="1"/>
      <protection/>
    </xf>
    <xf numFmtId="0" fontId="5" fillId="4" borderId="2" xfId="0" applyFont="1" applyFill="1" applyBorder="1" applyAlignment="1" applyProtection="1">
      <alignment horizontal="center" vertical="center"/>
      <protection locked="0"/>
    </xf>
    <xf numFmtId="164" fontId="3" fillId="0" borderId="1" xfId="0" applyNumberFormat="1" applyFont="1" applyBorder="1" applyAlignment="1" applyProtection="1">
      <alignment horizontal="center" vertical="center" wrapText="1"/>
      <protection/>
    </xf>
    <xf numFmtId="164" fontId="0" fillId="3" borderId="1" xfId="0" applyNumberFormat="1" applyFill="1" applyBorder="1" applyAlignment="1" applyProtection="1">
      <alignment horizontal="center" vertical="center"/>
      <protection/>
    </xf>
    <xf numFmtId="164" fontId="0" fillId="0" borderId="1" xfId="0" applyNumberFormat="1" applyBorder="1" applyAlignment="1" applyProtection="1">
      <alignment horizontal="center" vertical="center"/>
      <protection/>
    </xf>
    <xf numFmtId="164" fontId="0" fillId="3" borderId="1" xfId="0" applyNumberFormat="1" applyFont="1" applyFill="1" applyBorder="1" applyAlignment="1" applyProtection="1">
      <alignment horizontal="center" vertical="center"/>
      <protection/>
    </xf>
    <xf numFmtId="164" fontId="0" fillId="0" borderId="1" xfId="0" applyNumberFormat="1" applyFont="1" applyBorder="1" applyAlignment="1" applyProtection="1">
      <alignment horizontal="center" vertical="center"/>
      <protection/>
    </xf>
    <xf numFmtId="164" fontId="0" fillId="2" borderId="1" xfId="0" applyNumberFormat="1" applyFont="1" applyFill="1" applyBorder="1" applyAlignment="1" applyProtection="1">
      <alignment horizontal="center" vertical="center"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 horizontal="justify" vertical="center" wrapText="1"/>
      <protection/>
    </xf>
    <xf numFmtId="0" fontId="0" fillId="2" borderId="1" xfId="0" applyFont="1" applyFill="1" applyBorder="1" applyAlignment="1" applyProtection="1">
      <alignment horizontal="justify" vertical="center" wrapText="1"/>
      <protection/>
    </xf>
    <xf numFmtId="0" fontId="0" fillId="0" borderId="1" xfId="0" applyFill="1" applyBorder="1" applyAlignment="1" applyProtection="1">
      <alignment horizontal="center" vertical="center"/>
      <protection/>
    </xf>
    <xf numFmtId="0" fontId="0" fillId="0" borderId="1" xfId="0" applyFont="1" applyBorder="1" applyAlignment="1" applyProtection="1">
      <alignment horizontal="center" vertical="center"/>
      <protection/>
    </xf>
    <xf numFmtId="0" fontId="0" fillId="0" borderId="1" xfId="0" applyFont="1" applyBorder="1" applyAlignment="1" applyProtection="1">
      <alignment horizontal="justify" vertical="center" wrapText="1"/>
      <protection/>
    </xf>
    <xf numFmtId="0" fontId="0" fillId="0" borderId="1" xfId="0" applyFont="1" applyBorder="1" applyAlignment="1" applyProtection="1">
      <alignment horizontal="center" vertical="center" wrapText="1"/>
      <protection/>
    </xf>
    <xf numFmtId="0" fontId="0" fillId="0" borderId="2" xfId="0" applyBorder="1" applyAlignment="1" applyProtection="1">
      <alignment horizontal="center" vertical="center"/>
      <protection/>
    </xf>
    <xf numFmtId="0" fontId="2" fillId="3" borderId="1" xfId="0" applyFont="1" applyFill="1" applyBorder="1" applyAlignment="1" applyProtection="1">
      <alignment horizontal="center" vertical="center" wrapText="1"/>
      <protection/>
    </xf>
    <xf numFmtId="0" fontId="0" fillId="0" borderId="1" xfId="0" applyBorder="1" applyAlignment="1" applyProtection="1">
      <alignment horizontal="center" vertical="center"/>
      <protection/>
    </xf>
    <xf numFmtId="0" fontId="2" fillId="2" borderId="1" xfId="0" applyFont="1" applyFill="1" applyBorder="1" applyAlignment="1" applyProtection="1">
      <alignment horizontal="center" vertical="center"/>
      <protection/>
    </xf>
    <xf numFmtId="0" fontId="2" fillId="3" borderId="1" xfId="0" applyFont="1" applyFill="1" applyBorder="1" applyAlignment="1" applyProtection="1">
      <alignment horizontal="center" vertical="center"/>
      <protection/>
    </xf>
    <xf numFmtId="0" fontId="4" fillId="0" borderId="1" xfId="20" applyFont="1" applyBorder="1" applyAlignment="1" applyProtection="1">
      <alignment horizontal="center" vertical="center"/>
      <protection/>
    </xf>
    <xf numFmtId="0" fontId="0" fillId="0" borderId="5" xfId="0" applyFont="1" applyFill="1" applyBorder="1" applyAlignment="1" applyProtection="1">
      <alignment horizontal="center" vertical="center"/>
      <protection/>
    </xf>
    <xf numFmtId="0" fontId="0" fillId="0" borderId="1" xfId="0" applyFont="1" applyFill="1" applyBorder="1" applyAlignment="1" applyProtection="1">
      <alignment horizontal="center" vertical="center"/>
      <protection/>
    </xf>
    <xf numFmtId="2" fontId="0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justify" vertical="center" wrapText="1"/>
      <protection/>
    </xf>
    <xf numFmtId="2" fontId="0" fillId="0" borderId="0" xfId="0" applyNumberFormat="1"/>
    <xf numFmtId="0" fontId="2" fillId="0" borderId="2" xfId="0" applyFont="1" applyBorder="1" applyAlignment="1" applyProtection="1">
      <alignment horizontal="left" vertical="center"/>
      <protection/>
    </xf>
    <xf numFmtId="0" fontId="4" fillId="0" borderId="1" xfId="0" applyFont="1" applyBorder="1" applyAlignment="1" applyProtection="1">
      <alignment horizontal="center" vertical="center" wrapText="1"/>
      <protection/>
    </xf>
    <xf numFmtId="0" fontId="0" fillId="0" borderId="1" xfId="0" applyBorder="1" applyAlignment="1" applyProtection="1">
      <alignment horizontal="center" vertical="center"/>
      <protection/>
    </xf>
    <xf numFmtId="2" fontId="0" fillId="0" borderId="1" xfId="0" applyNumberFormat="1" applyFill="1" applyBorder="1" applyAlignment="1" applyProtection="1">
      <alignment horizontal="center" vertical="center"/>
      <protection/>
    </xf>
    <xf numFmtId="0" fontId="0" fillId="0" borderId="1" xfId="0" applyFont="1" applyBorder="1" applyAlignment="1" applyProtection="1">
      <alignment horizontal="justify" vertical="center" wrapText="1"/>
      <protection/>
    </xf>
    <xf numFmtId="0" fontId="0" fillId="2" borderId="1" xfId="0" applyFont="1" applyFill="1" applyBorder="1" applyAlignment="1" applyProtection="1">
      <alignment horizontal="justify" vertical="center" wrapText="1"/>
      <protection/>
    </xf>
    <xf numFmtId="2" fontId="0" fillId="4" borderId="1" xfId="0" applyNumberFormat="1" applyFont="1" applyFill="1" applyBorder="1" applyAlignment="1" applyProtection="1">
      <alignment horizontal="center" vertical="center"/>
      <protection locked="0"/>
    </xf>
    <xf numFmtId="2" fontId="0" fillId="4" borderId="1" xfId="0" applyNumberForma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 wrapText="1"/>
      <protection/>
    </xf>
    <xf numFmtId="2" fontId="0" fillId="0" borderId="1" xfId="0" applyNumberForma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2" fontId="4" fillId="0" borderId="1" xfId="0" applyNumberFormat="1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justify" vertical="center" wrapText="1"/>
      <protection/>
    </xf>
    <xf numFmtId="0" fontId="0" fillId="0" borderId="1" xfId="0" applyFont="1" applyBorder="1" applyAlignment="1" applyProtection="1">
      <alignment horizontal="justify" vertical="center" wrapText="1"/>
      <protection/>
    </xf>
    <xf numFmtId="2" fontId="0" fillId="0" borderId="1" xfId="0" applyNumberFormat="1" applyFont="1" applyBorder="1" applyAlignment="1" applyProtection="1">
      <alignment horizontal="center" vertical="center"/>
      <protection/>
    </xf>
    <xf numFmtId="2" fontId="4" fillId="0" borderId="1" xfId="20" applyNumberFormat="1" applyFont="1" applyBorder="1" applyAlignment="1" applyProtection="1">
      <alignment horizontal="center" vertical="center"/>
      <protection/>
    </xf>
    <xf numFmtId="2" fontId="0" fillId="0" borderId="1" xfId="0" applyNumberFormat="1" applyBorder="1" applyAlignment="1" applyProtection="1" quotePrefix="1">
      <alignment horizontal="center" vertical="center"/>
      <protection/>
    </xf>
    <xf numFmtId="2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justify" vertical="center"/>
      <protection/>
    </xf>
    <xf numFmtId="0" fontId="0" fillId="0" borderId="0" xfId="0" applyAlignment="1">
      <alignment horizontal="justify"/>
    </xf>
    <xf numFmtId="2" fontId="0" fillId="0" borderId="1" xfId="0" applyNumberFormat="1" applyFill="1" applyBorder="1" applyAlignment="1" applyProtection="1">
      <alignment horizontal="center" vertical="center"/>
      <protection/>
    </xf>
    <xf numFmtId="2" fontId="0" fillId="0" borderId="1" xfId="0" applyNumberFormat="1" applyFill="1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 horizontal="center" vertical="center"/>
      <protection/>
    </xf>
    <xf numFmtId="0" fontId="2" fillId="3" borderId="1" xfId="0" applyFont="1" applyFill="1" applyBorder="1" applyAlignment="1" applyProtection="1">
      <alignment horizontal="center" vertical="center"/>
      <protection/>
    </xf>
    <xf numFmtId="0" fontId="2" fillId="3" borderId="1" xfId="0" applyFont="1" applyFill="1" applyBorder="1" applyAlignment="1" applyProtection="1">
      <alignment horizontal="center" vertical="center" wrapText="1"/>
      <protection/>
    </xf>
    <xf numFmtId="0" fontId="0" fillId="0" borderId="1" xfId="0" applyBorder="1" applyAlignment="1" applyProtection="1">
      <alignment horizontal="center" vertical="center"/>
      <protection/>
    </xf>
    <xf numFmtId="0" fontId="0" fillId="2" borderId="1" xfId="0" applyFont="1" applyFill="1" applyBorder="1" applyAlignment="1" applyProtection="1">
      <alignment horizontal="left" vertical="center" wrapText="1"/>
      <protection/>
    </xf>
    <xf numFmtId="165" fontId="0" fillId="0" borderId="1" xfId="0" applyNumberFormat="1" applyBorder="1" applyAlignment="1" applyProtection="1">
      <alignment horizontal="center" vertical="center"/>
      <protection/>
    </xf>
    <xf numFmtId="165" fontId="0" fillId="2" borderId="1" xfId="0" applyNumberFormat="1" applyFill="1" applyBorder="1" applyAlignment="1" applyProtection="1">
      <alignment horizontal="center" vertical="center"/>
      <protection/>
    </xf>
    <xf numFmtId="164" fontId="12" fillId="0" borderId="1" xfId="0" applyNumberFormat="1" applyFont="1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 horizontal="center" vertical="center"/>
      <protection/>
    </xf>
    <xf numFmtId="165" fontId="0" fillId="0" borderId="1" xfId="0" applyNumberFormat="1" applyBorder="1" applyAlignment="1" applyProtection="1">
      <alignment horizontal="center" vertical="center" wrapText="1"/>
      <protection/>
    </xf>
    <xf numFmtId="0" fontId="0" fillId="2" borderId="1" xfId="0" applyFill="1" applyBorder="1" applyAlignment="1" applyProtection="1">
      <alignment horizontal="justify" vertical="center" wrapText="1"/>
      <protection/>
    </xf>
    <xf numFmtId="0" fontId="0" fillId="2" borderId="0" xfId="0" applyFill="1"/>
    <xf numFmtId="0" fontId="0" fillId="0" borderId="1" xfId="0" applyBorder="1" applyAlignment="1" applyProtection="1">
      <alignment horizontal="center" vertical="center"/>
      <protection/>
    </xf>
    <xf numFmtId="4" fontId="0" fillId="2" borderId="1" xfId="0" applyNumberFormat="1" applyFill="1" applyBorder="1" applyAlignment="1" applyProtection="1">
      <alignment horizontal="center" vertical="center"/>
      <protection/>
    </xf>
    <xf numFmtId="4" fontId="0" fillId="0" borderId="1" xfId="0" applyNumberFormat="1" applyBorder="1" applyAlignment="1" applyProtection="1">
      <alignment horizontal="center" vertical="center"/>
      <protection/>
    </xf>
    <xf numFmtId="0" fontId="0" fillId="2" borderId="0" xfId="0" applyFill="1" applyBorder="1"/>
    <xf numFmtId="0" fontId="13" fillId="0" borderId="0" xfId="0" applyFont="1" applyFill="1" applyBorder="1"/>
    <xf numFmtId="0" fontId="14" fillId="0" borderId="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5" fillId="0" borderId="2" xfId="0" applyFont="1" applyFill="1" applyBorder="1" applyAlignment="1" applyProtection="1">
      <alignment horizontal="left" vertical="center"/>
      <protection/>
    </xf>
    <xf numFmtId="0" fontId="15" fillId="0" borderId="3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15" fillId="0" borderId="2" xfId="0" applyFont="1" applyFill="1" applyBorder="1" applyAlignment="1" applyProtection="1">
      <alignment horizontal="right" vertical="center"/>
      <protection/>
    </xf>
    <xf numFmtId="0" fontId="16" fillId="0" borderId="1" xfId="0" applyFont="1" applyFill="1" applyBorder="1" applyAlignment="1" applyProtection="1">
      <alignment horizontal="center" vertical="center"/>
      <protection/>
    </xf>
    <xf numFmtId="0" fontId="16" fillId="0" borderId="1" xfId="0" applyFont="1" applyFill="1" applyBorder="1" applyAlignment="1" applyProtection="1">
      <alignment horizontal="center" vertical="center" wrapText="1"/>
      <protection/>
    </xf>
    <xf numFmtId="164" fontId="16" fillId="0" borderId="1" xfId="0" applyNumberFormat="1" applyFont="1" applyFill="1" applyBorder="1" applyAlignment="1" applyProtection="1">
      <alignment horizontal="center" vertical="center" wrapText="1"/>
      <protection/>
    </xf>
    <xf numFmtId="0" fontId="15" fillId="5" borderId="1" xfId="0" applyFont="1" applyFill="1" applyBorder="1" applyAlignment="1" applyProtection="1">
      <alignment horizontal="center" vertical="center"/>
      <protection/>
    </xf>
    <xf numFmtId="0" fontId="13" fillId="5" borderId="1" xfId="0" applyFont="1" applyFill="1" applyBorder="1" applyAlignment="1" applyProtection="1">
      <alignment horizontal="center" vertical="center" wrapText="1"/>
      <protection/>
    </xf>
    <xf numFmtId="0" fontId="15" fillId="5" borderId="1" xfId="0" applyFont="1" applyFill="1" applyBorder="1" applyAlignment="1" applyProtection="1">
      <alignment horizontal="center" vertical="center" wrapText="1"/>
      <protection/>
    </xf>
    <xf numFmtId="0" fontId="13" fillId="5" borderId="1" xfId="0" applyFont="1" applyFill="1" applyBorder="1" applyAlignment="1" applyProtection="1">
      <alignment horizontal="center" vertical="center"/>
      <protection/>
    </xf>
    <xf numFmtId="2" fontId="13" fillId="5" borderId="1" xfId="0" applyNumberFormat="1" applyFont="1" applyFill="1" applyBorder="1" applyAlignment="1" applyProtection="1">
      <alignment horizontal="center" vertical="center"/>
      <protection/>
    </xf>
    <xf numFmtId="164" fontId="13" fillId="5" borderId="1" xfId="0" applyNumberFormat="1" applyFont="1" applyFill="1" applyBorder="1" applyAlignment="1" applyProtection="1">
      <alignment horizontal="center" vertical="center"/>
      <protection/>
    </xf>
    <xf numFmtId="0" fontId="13" fillId="0" borderId="1" xfId="0" applyFont="1" applyFill="1" applyBorder="1" applyAlignment="1" applyProtection="1">
      <alignment horizontal="center" vertical="center"/>
      <protection/>
    </xf>
    <xf numFmtId="0" fontId="13" fillId="0" borderId="1" xfId="0" applyFont="1" applyFill="1" applyBorder="1" applyAlignment="1" applyProtection="1">
      <alignment horizontal="center" vertical="center" wrapText="1"/>
      <protection/>
    </xf>
    <xf numFmtId="0" fontId="13" fillId="0" borderId="1" xfId="0" applyFont="1" applyFill="1" applyBorder="1" applyAlignment="1" applyProtection="1">
      <alignment horizontal="justify" vertical="center" wrapText="1"/>
      <protection/>
    </xf>
    <xf numFmtId="2" fontId="13" fillId="0" borderId="1" xfId="0" applyNumberFormat="1" applyFont="1" applyFill="1" applyBorder="1" applyAlignment="1" applyProtection="1">
      <alignment horizontal="center" vertical="center"/>
      <protection/>
    </xf>
    <xf numFmtId="165" fontId="13" fillId="0" borderId="1" xfId="0" applyNumberFormat="1" applyFont="1" applyFill="1" applyBorder="1" applyAlignment="1" applyProtection="1">
      <alignment horizontal="center" vertical="center"/>
      <protection/>
    </xf>
    <xf numFmtId="0" fontId="17" fillId="0" borderId="1" xfId="0" applyFont="1" applyFill="1" applyBorder="1" applyAlignment="1" applyProtection="1">
      <alignment horizontal="center" vertical="center" wrapText="1"/>
      <protection/>
    </xf>
    <xf numFmtId="164" fontId="13" fillId="0" borderId="1" xfId="0" applyNumberFormat="1" applyFont="1" applyFill="1" applyBorder="1" applyAlignment="1" applyProtection="1">
      <alignment horizontal="center" vertical="center"/>
      <protection/>
    </xf>
    <xf numFmtId="0" fontId="13" fillId="6" borderId="1" xfId="0" applyFont="1" applyFill="1" applyBorder="1" applyAlignment="1" applyProtection="1">
      <alignment horizontal="center" vertical="center"/>
      <protection/>
    </xf>
    <xf numFmtId="0" fontId="13" fillId="6" borderId="1" xfId="0" applyFont="1" applyFill="1" applyBorder="1" applyAlignment="1" applyProtection="1">
      <alignment horizontal="center" vertical="center" wrapText="1"/>
      <protection/>
    </xf>
    <xf numFmtId="0" fontId="13" fillId="6" borderId="1" xfId="0" applyFont="1" applyFill="1" applyBorder="1" applyAlignment="1" applyProtection="1">
      <alignment horizontal="justify" vertical="center" wrapText="1"/>
      <protection/>
    </xf>
    <xf numFmtId="4" fontId="13" fillId="6" borderId="1" xfId="0" applyNumberFormat="1" applyFont="1" applyFill="1" applyBorder="1" applyAlignment="1" applyProtection="1">
      <alignment horizontal="center" vertical="center"/>
      <protection/>
    </xf>
    <xf numFmtId="165" fontId="13" fillId="6" borderId="1" xfId="0" applyNumberFormat="1" applyFont="1" applyFill="1" applyBorder="1" applyAlignment="1" applyProtection="1">
      <alignment horizontal="center" vertical="center"/>
      <protection/>
    </xf>
    <xf numFmtId="0" fontId="13" fillId="6" borderId="1" xfId="0" applyFont="1" applyFill="1" applyBorder="1" applyAlignment="1" applyProtection="1">
      <alignment horizontal="left" vertical="center" wrapText="1"/>
      <protection/>
    </xf>
    <xf numFmtId="4" fontId="13" fillId="0" borderId="1" xfId="0" applyNumberFormat="1" applyFont="1" applyFill="1" applyBorder="1" applyAlignment="1" applyProtection="1">
      <alignment horizontal="center" vertical="center"/>
      <protection/>
    </xf>
    <xf numFmtId="164" fontId="18" fillId="0" borderId="1" xfId="0" applyNumberFormat="1" applyFont="1" applyFill="1" applyBorder="1" applyAlignment="1" applyProtection="1">
      <alignment horizontal="center" vertical="center"/>
      <protection/>
    </xf>
    <xf numFmtId="2" fontId="13" fillId="6" borderId="1" xfId="0" applyNumberFormat="1" applyFont="1" applyFill="1" applyBorder="1" applyAlignment="1" applyProtection="1">
      <alignment horizontal="center" vertical="center"/>
      <protection/>
    </xf>
    <xf numFmtId="0" fontId="17" fillId="0" borderId="1" xfId="0" applyFont="1" applyFill="1" applyBorder="1" applyAlignment="1" applyProtection="1">
      <alignment horizontal="justify" vertical="center" wrapText="1"/>
      <protection/>
    </xf>
    <xf numFmtId="165" fontId="13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5" xfId="0" applyFont="1" applyBorder="1" applyAlignment="1" applyProtection="1">
      <alignment horizontal="right" vertical="center"/>
      <protection/>
    </xf>
    <xf numFmtId="0" fontId="2" fillId="0" borderId="6" xfId="0" applyFont="1" applyBorder="1" applyAlignment="1" applyProtection="1">
      <alignment horizontal="right" vertical="center"/>
      <protection/>
    </xf>
    <xf numFmtId="0" fontId="2" fillId="0" borderId="7" xfId="0" applyFont="1" applyBorder="1" applyAlignment="1" applyProtection="1">
      <alignment horizontal="right" vertical="center"/>
      <protection/>
    </xf>
    <xf numFmtId="0" fontId="5" fillId="3" borderId="8" xfId="0" applyFont="1" applyFill="1" applyBorder="1" applyAlignment="1" applyProtection="1">
      <alignment horizontal="center" vertical="center"/>
      <protection/>
    </xf>
    <xf numFmtId="0" fontId="5" fillId="3" borderId="9" xfId="0" applyFont="1" applyFill="1" applyBorder="1" applyAlignment="1" applyProtection="1">
      <alignment horizontal="center" vertical="center"/>
      <protection/>
    </xf>
    <xf numFmtId="0" fontId="5" fillId="3" borderId="4" xfId="0" applyFont="1" applyFill="1" applyBorder="1" applyAlignment="1" applyProtection="1">
      <alignment horizontal="center" vertical="center"/>
      <protection/>
    </xf>
    <xf numFmtId="0" fontId="3" fillId="0" borderId="1" xfId="0" applyFont="1" applyBorder="1" applyAlignment="1" applyProtection="1">
      <alignment horizontal="center" vertical="center"/>
      <protection/>
    </xf>
    <xf numFmtId="0" fontId="5" fillId="4" borderId="5" xfId="0" applyFont="1" applyFill="1" applyBorder="1" applyAlignment="1" applyProtection="1">
      <alignment horizontal="center" vertical="center"/>
      <protection locked="0"/>
    </xf>
    <xf numFmtId="0" fontId="5" fillId="4" borderId="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right" vertical="center"/>
      <protection/>
    </xf>
    <xf numFmtId="164" fontId="0" fillId="0" borderId="5" xfId="0" applyNumberFormat="1" applyBorder="1" applyAlignment="1" applyProtection="1">
      <alignment horizontal="center" vertical="center"/>
      <protection/>
    </xf>
    <xf numFmtId="164" fontId="0" fillId="0" borderId="7" xfId="0" applyNumberFormat="1" applyBorder="1" applyAlignment="1" applyProtection="1">
      <alignment horizontal="center" vertical="center"/>
      <protection/>
    </xf>
    <xf numFmtId="0" fontId="2" fillId="0" borderId="5" xfId="0" applyFont="1" applyBorder="1" applyAlignment="1" applyProtection="1">
      <alignment horizontal="center" vertical="center"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0" fontId="5" fillId="4" borderId="3" xfId="0" applyFont="1" applyFill="1" applyBorder="1" applyAlignment="1" applyProtection="1">
      <alignment horizontal="center" vertical="center"/>
      <protection locked="0"/>
    </xf>
    <xf numFmtId="0" fontId="5" fillId="4" borderId="0" xfId="0" applyFont="1" applyFill="1" applyBorder="1" applyAlignment="1" applyProtection="1">
      <alignment horizontal="center" vertical="center"/>
      <protection locked="0"/>
    </xf>
    <xf numFmtId="0" fontId="5" fillId="4" borderId="2" xfId="0" applyFont="1" applyFill="1" applyBorder="1" applyAlignment="1" applyProtection="1">
      <alignment horizontal="center" vertical="center"/>
      <protection locked="0"/>
    </xf>
    <xf numFmtId="0" fontId="5" fillId="3" borderId="3" xfId="0" applyFont="1" applyFill="1" applyBorder="1" applyAlignment="1" applyProtection="1">
      <alignment horizontal="center" vertical="center"/>
      <protection/>
    </xf>
    <xf numFmtId="0" fontId="5" fillId="3" borderId="0" xfId="0" applyFont="1" applyFill="1" applyBorder="1" applyAlignment="1" applyProtection="1">
      <alignment horizontal="center" vertical="center"/>
      <protection/>
    </xf>
    <xf numFmtId="0" fontId="5" fillId="3" borderId="2" xfId="0" applyFont="1" applyFill="1" applyBorder="1" applyAlignment="1" applyProtection="1">
      <alignment horizontal="center" vertical="center"/>
      <protection/>
    </xf>
    <xf numFmtId="0" fontId="5" fillId="4" borderId="5" xfId="0" applyFont="1" applyFill="1" applyBorder="1" applyAlignment="1" applyProtection="1">
      <alignment horizontal="center" vertical="center"/>
      <protection locked="0"/>
    </xf>
    <xf numFmtId="0" fontId="5" fillId="4" borderId="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center" vertical="center"/>
      <protection locked="0"/>
    </xf>
    <xf numFmtId="0" fontId="5" fillId="3" borderId="8" xfId="0" applyFont="1" applyFill="1" applyBorder="1" applyAlignment="1" applyProtection="1">
      <alignment horizontal="center" vertical="center"/>
      <protection/>
    </xf>
    <xf numFmtId="0" fontId="5" fillId="3" borderId="9" xfId="0" applyFont="1" applyFill="1" applyBorder="1" applyAlignment="1" applyProtection="1">
      <alignment horizontal="center" vertical="center"/>
      <protection/>
    </xf>
    <xf numFmtId="0" fontId="5" fillId="4" borderId="3" xfId="0" applyFont="1" applyFill="1" applyBorder="1" applyAlignment="1" applyProtection="1">
      <alignment horizontal="center" vertical="center"/>
      <protection locked="0"/>
    </xf>
    <xf numFmtId="0" fontId="5" fillId="4" borderId="0" xfId="0" applyFont="1" applyFill="1" applyBorder="1" applyAlignment="1" applyProtection="1">
      <alignment horizontal="center" vertical="center"/>
      <protection locked="0"/>
    </xf>
    <xf numFmtId="0" fontId="5" fillId="3" borderId="3" xfId="0" applyFont="1" applyFill="1" applyBorder="1" applyAlignment="1" applyProtection="1">
      <alignment horizontal="center" vertical="center"/>
      <protection/>
    </xf>
    <xf numFmtId="0" fontId="5" fillId="3" borderId="0" xfId="0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164" fontId="0" fillId="0" borderId="5" xfId="0" applyNumberFormat="1" applyFont="1" applyBorder="1" applyAlignment="1" applyProtection="1">
      <alignment horizontal="center" vertical="center"/>
      <protection/>
    </xf>
    <xf numFmtId="164" fontId="0" fillId="0" borderId="7" xfId="0" applyNumberFormat="1" applyFont="1" applyBorder="1" applyAlignment="1" applyProtection="1">
      <alignment horizontal="center" vertical="center"/>
      <protection/>
    </xf>
    <xf numFmtId="2" fontId="0" fillId="0" borderId="5" xfId="0" applyNumberFormat="1" applyFill="1" applyBorder="1" applyAlignment="1" applyProtection="1">
      <alignment horizontal="center" vertical="center"/>
      <protection/>
    </xf>
    <xf numFmtId="2" fontId="0" fillId="0" borderId="7" xfId="0" applyNumberFormat="1" applyFill="1" applyBorder="1" applyAlignment="1" applyProtection="1">
      <alignment horizontal="center" vertical="center"/>
      <protection/>
    </xf>
    <xf numFmtId="0" fontId="0" fillId="0" borderId="5" xfId="0" applyBorder="1" applyAlignment="1" applyProtection="1">
      <alignment horizontal="center" vertical="center"/>
      <protection/>
    </xf>
    <xf numFmtId="0" fontId="0" fillId="0" borderId="6" xfId="0" applyBorder="1" applyAlignment="1" applyProtection="1">
      <alignment horizontal="center" vertical="center"/>
      <protection/>
    </xf>
    <xf numFmtId="0" fontId="0" fillId="0" borderId="7" xfId="0" applyBorder="1" applyAlignment="1" applyProtection="1">
      <alignment horizontal="center" vertical="center"/>
      <protection/>
    </xf>
    <xf numFmtId="0" fontId="2" fillId="2" borderId="5" xfId="0" applyFont="1" applyFill="1" applyBorder="1" applyAlignment="1" applyProtection="1">
      <alignment horizontal="center" vertical="center"/>
      <protection/>
    </xf>
    <xf numFmtId="0" fontId="2" fillId="2" borderId="6" xfId="0" applyFont="1" applyFill="1" applyBorder="1" applyAlignment="1" applyProtection="1">
      <alignment horizontal="center" vertical="center"/>
      <protection/>
    </xf>
    <xf numFmtId="0" fontId="2" fillId="2" borderId="7" xfId="0" applyFont="1" applyFill="1" applyBorder="1" applyAlignment="1" applyProtection="1">
      <alignment horizontal="center" vertical="center"/>
      <protection/>
    </xf>
    <xf numFmtId="0" fontId="2" fillId="0" borderId="5" xfId="0" applyFont="1" applyFill="1" applyBorder="1" applyAlignment="1" applyProtection="1">
      <alignment horizontal="center" vertical="center"/>
      <protection/>
    </xf>
    <xf numFmtId="0" fontId="2" fillId="0" borderId="6" xfId="0" applyFont="1" applyFill="1" applyBorder="1" applyAlignment="1" applyProtection="1">
      <alignment horizontal="center" vertical="center"/>
      <protection/>
    </xf>
    <xf numFmtId="0" fontId="2" fillId="0" borderId="7" xfId="0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justify" vertical="center" wrapText="1"/>
      <protection/>
    </xf>
    <xf numFmtId="0" fontId="2" fillId="0" borderId="11" xfId="0" applyFont="1" applyBorder="1" applyAlignment="1" applyProtection="1">
      <alignment horizontal="justify" vertical="center" wrapText="1"/>
      <protection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2" fillId="0" borderId="7" xfId="0" applyFont="1" applyFill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2" fillId="0" borderId="4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0" fillId="0" borderId="5" xfId="0" applyFont="1" applyBorder="1" applyAlignment="1" applyProtection="1">
      <alignment horizontal="center" vertical="center"/>
      <protection/>
    </xf>
    <xf numFmtId="0" fontId="0" fillId="0" borderId="6" xfId="0" applyFont="1" applyBorder="1" applyAlignment="1" applyProtection="1">
      <alignment horizontal="center" vertical="center"/>
      <protection/>
    </xf>
    <xf numFmtId="0" fontId="0" fillId="0" borderId="7" xfId="0" applyFont="1" applyBorder="1" applyAlignment="1" applyProtection="1">
      <alignment horizontal="center" vertical="center"/>
      <protection/>
    </xf>
    <xf numFmtId="0" fontId="2" fillId="3" borderId="1" xfId="0" applyFont="1" applyFill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2" borderId="10" xfId="0" applyFont="1" applyFill="1" applyBorder="1" applyAlignment="1" applyProtection="1">
      <alignment horizontal="justify" vertical="center" wrapText="1"/>
      <protection/>
    </xf>
    <xf numFmtId="0" fontId="2" fillId="2" borderId="11" xfId="0" applyFont="1" applyFill="1" applyBorder="1" applyAlignment="1" applyProtection="1">
      <alignment horizontal="justify" vertical="center" wrapText="1"/>
      <protection/>
    </xf>
    <xf numFmtId="0" fontId="2" fillId="0" borderId="8" xfId="0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center" vertical="center"/>
      <protection locked="0"/>
    </xf>
    <xf numFmtId="2" fontId="0" fillId="0" borderId="5" xfId="0" applyNumberFormat="1" applyBorder="1" applyAlignment="1" applyProtection="1">
      <alignment horizontal="center" vertical="center"/>
      <protection/>
    </xf>
    <xf numFmtId="2" fontId="0" fillId="0" borderId="7" xfId="0" applyNumberFormat="1" applyBorder="1" applyAlignment="1" applyProtection="1">
      <alignment horizontal="center" vertical="center"/>
      <protection/>
    </xf>
    <xf numFmtId="0" fontId="2" fillId="2" borderId="1" xfId="0" applyFont="1" applyFill="1" applyBorder="1" applyAlignment="1" applyProtection="1">
      <alignment horizontal="center" vertical="center"/>
      <protection/>
    </xf>
    <xf numFmtId="0" fontId="2" fillId="2" borderId="1" xfId="0" applyFont="1" applyFill="1" applyBorder="1" applyAlignment="1" applyProtection="1">
      <alignment horizontal="justify" vertical="center"/>
      <protection/>
    </xf>
    <xf numFmtId="0" fontId="2" fillId="0" borderId="1" xfId="0" applyFont="1" applyFill="1" applyBorder="1" applyAlignment="1" applyProtection="1">
      <alignment horizontal="center" vertical="center"/>
      <protection/>
    </xf>
    <xf numFmtId="0" fontId="2" fillId="0" borderId="1" xfId="0" applyFont="1" applyFill="1" applyBorder="1" applyAlignment="1" applyProtection="1">
      <alignment horizontal="center" vertical="center"/>
      <protection locked="0"/>
    </xf>
    <xf numFmtId="2" fontId="0" fillId="4" borderId="5" xfId="0" applyNumberFormat="1" applyFill="1" applyBorder="1" applyAlignment="1" applyProtection="1">
      <alignment horizontal="center" vertical="center"/>
      <protection locked="0"/>
    </xf>
    <xf numFmtId="2" fontId="0" fillId="4" borderId="7" xfId="0" applyNumberForma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5" fillId="4" borderId="13" xfId="0" applyFont="1" applyFill="1" applyBorder="1" applyAlignment="1" applyProtection="1">
      <alignment horizontal="center" vertical="center"/>
      <protection locked="0"/>
    </xf>
    <xf numFmtId="0" fontId="5" fillId="4" borderId="14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/>
      <protection/>
    </xf>
    <xf numFmtId="0" fontId="2" fillId="2" borderId="11" xfId="0" applyFont="1" applyFill="1" applyBorder="1" applyAlignment="1" applyProtection="1">
      <alignment horizontal="center" vertical="center"/>
      <protection/>
    </xf>
    <xf numFmtId="0" fontId="2" fillId="2" borderId="10" xfId="0" applyFont="1" applyFill="1" applyBorder="1" applyAlignment="1" applyProtection="1">
      <alignment horizontal="justify" vertical="center"/>
      <protection/>
    </xf>
    <xf numFmtId="0" fontId="2" fillId="2" borderId="11" xfId="0" applyFont="1" applyFill="1" applyBorder="1" applyAlignment="1" applyProtection="1">
      <alignment horizontal="justify" vertical="center"/>
      <protection/>
    </xf>
    <xf numFmtId="0" fontId="2" fillId="3" borderId="5" xfId="0" applyFont="1" applyFill="1" applyBorder="1" applyAlignment="1" applyProtection="1">
      <alignment horizontal="center" vertical="center"/>
      <protection/>
    </xf>
    <xf numFmtId="0" fontId="2" fillId="3" borderId="6" xfId="0" applyFont="1" applyFill="1" applyBorder="1" applyAlignment="1" applyProtection="1">
      <alignment horizontal="center" vertical="center"/>
      <protection/>
    </xf>
    <xf numFmtId="0" fontId="2" fillId="3" borderId="7" xfId="0" applyFont="1" applyFill="1" applyBorder="1" applyAlignment="1" applyProtection="1">
      <alignment horizontal="center" vertical="center"/>
      <protection/>
    </xf>
    <xf numFmtId="0" fontId="2" fillId="3" borderId="1" xfId="0" applyFont="1" applyFill="1" applyBorder="1" applyAlignment="1" applyProtection="1">
      <alignment horizontal="center" vertical="center" wrapText="1"/>
      <protection/>
    </xf>
    <xf numFmtId="0" fontId="0" fillId="0" borderId="1" xfId="0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 horizontal="justify" vertical="center"/>
      <protection/>
    </xf>
    <xf numFmtId="0" fontId="2" fillId="2" borderId="8" xfId="0" applyFont="1" applyFill="1" applyBorder="1" applyAlignment="1" applyProtection="1">
      <alignment horizontal="center" vertical="center"/>
      <protection/>
    </xf>
    <xf numFmtId="0" fontId="2" fillId="2" borderId="9" xfId="0" applyFont="1" applyFill="1" applyBorder="1" applyAlignment="1" applyProtection="1">
      <alignment horizontal="center" vertical="center"/>
      <protection/>
    </xf>
    <xf numFmtId="0" fontId="2" fillId="2" borderId="4" xfId="0" applyFont="1" applyFill="1" applyBorder="1" applyAlignment="1" applyProtection="1">
      <alignment horizontal="center" vertical="center"/>
      <protection/>
    </xf>
    <xf numFmtId="0" fontId="2" fillId="2" borderId="12" xfId="0" applyFont="1" applyFill="1" applyBorder="1" applyAlignment="1" applyProtection="1">
      <alignment horizontal="center" vertical="center"/>
      <protection/>
    </xf>
    <xf numFmtId="0" fontId="2" fillId="2" borderId="13" xfId="0" applyFont="1" applyFill="1" applyBorder="1" applyAlignment="1" applyProtection="1">
      <alignment horizontal="center" vertical="center"/>
      <protection/>
    </xf>
    <xf numFmtId="0" fontId="2" fillId="2" borderId="14" xfId="0" applyFont="1" applyFill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2" fontId="0" fillId="0" borderId="1" xfId="0" applyNumberFormat="1" applyFill="1" applyBorder="1" applyAlignment="1" applyProtection="1">
      <alignment horizontal="center" vertical="center"/>
      <protection/>
    </xf>
    <xf numFmtId="0" fontId="16" fillId="0" borderId="1" xfId="0" applyFont="1" applyFill="1" applyBorder="1" applyAlignment="1" applyProtection="1">
      <alignment horizontal="center" vertical="center"/>
      <protection/>
    </xf>
    <xf numFmtId="164" fontId="13" fillId="0" borderId="5" xfId="0" applyNumberFormat="1" applyFont="1" applyFill="1" applyBorder="1" applyAlignment="1" applyProtection="1">
      <alignment horizontal="center" vertical="center"/>
      <protection/>
    </xf>
    <xf numFmtId="164" fontId="13" fillId="0" borderId="7" xfId="0" applyNumberFormat="1" applyFont="1" applyFill="1" applyBorder="1" applyAlignment="1" applyProtection="1">
      <alignment horizontal="center" vertical="center"/>
      <protection/>
    </xf>
    <xf numFmtId="0" fontId="15" fillId="0" borderId="5" xfId="0" applyFont="1" applyFill="1" applyBorder="1" applyAlignment="1" applyProtection="1">
      <alignment horizontal="right" vertical="center"/>
      <protection/>
    </xf>
    <xf numFmtId="0" fontId="15" fillId="0" borderId="6" xfId="0" applyFont="1" applyFill="1" applyBorder="1" applyAlignment="1" applyProtection="1">
      <alignment horizontal="right" vertical="center"/>
      <protection/>
    </xf>
    <xf numFmtId="0" fontId="15" fillId="0" borderId="7" xfId="0" applyFont="1" applyFill="1" applyBorder="1" applyAlignment="1" applyProtection="1">
      <alignment horizontal="right" vertical="center"/>
      <protection/>
    </xf>
    <xf numFmtId="0" fontId="15" fillId="0" borderId="5" xfId="0" applyFont="1" applyFill="1" applyBorder="1" applyAlignment="1" applyProtection="1">
      <alignment horizontal="center" vertical="center"/>
      <protection/>
    </xf>
    <xf numFmtId="0" fontId="15" fillId="0" borderId="6" xfId="0" applyFont="1" applyFill="1" applyBorder="1" applyAlignment="1" applyProtection="1">
      <alignment horizontal="center" vertical="center"/>
      <protection/>
    </xf>
    <xf numFmtId="0" fontId="15" fillId="0" borderId="7" xfId="0" applyFont="1" applyFill="1" applyBorder="1" applyAlignment="1" applyProtection="1">
      <alignment horizontal="center" vertical="center"/>
      <protection/>
    </xf>
    <xf numFmtId="0" fontId="14" fillId="5" borderId="8" xfId="0" applyFont="1" applyFill="1" applyBorder="1" applyAlignment="1" applyProtection="1">
      <alignment horizontal="center" vertical="center"/>
      <protection/>
    </xf>
    <xf numFmtId="0" fontId="14" fillId="5" borderId="9" xfId="0" applyFont="1" applyFill="1" applyBorder="1" applyAlignment="1" applyProtection="1">
      <alignment horizontal="center" vertical="center"/>
      <protection/>
    </xf>
    <xf numFmtId="0" fontId="14" fillId="5" borderId="4" xfId="0" applyFont="1" applyFill="1" applyBorder="1" applyAlignment="1" applyProtection="1">
      <alignment horizontal="center" vertical="center"/>
      <protection/>
    </xf>
    <xf numFmtId="0" fontId="14" fillId="7" borderId="3" xfId="0" applyFont="1" applyFill="1" applyBorder="1" applyAlignment="1" applyProtection="1">
      <alignment horizontal="center" vertical="center"/>
      <protection locked="0"/>
    </xf>
    <xf numFmtId="0" fontId="14" fillId="7" borderId="0" xfId="0" applyFont="1" applyFill="1" applyBorder="1" applyAlignment="1" applyProtection="1">
      <alignment horizontal="center" vertical="center"/>
      <protection locked="0"/>
    </xf>
    <xf numFmtId="0" fontId="14" fillId="7" borderId="2" xfId="0" applyFont="1" applyFill="1" applyBorder="1" applyAlignment="1" applyProtection="1">
      <alignment horizontal="center" vertical="center"/>
      <protection locked="0"/>
    </xf>
    <xf numFmtId="0" fontId="14" fillId="5" borderId="3" xfId="0" applyFont="1" applyFill="1" applyBorder="1" applyAlignment="1" applyProtection="1">
      <alignment horizontal="center" vertical="center"/>
      <protection/>
    </xf>
    <xf numFmtId="0" fontId="14" fillId="5" borderId="0" xfId="0" applyFont="1" applyFill="1" applyBorder="1" applyAlignment="1" applyProtection="1">
      <alignment horizontal="center" vertical="center"/>
      <protection/>
    </xf>
    <xf numFmtId="0" fontId="14" fillId="5" borderId="2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14" fillId="7" borderId="5" xfId="0" applyFont="1" applyFill="1" applyBorder="1" applyAlignment="1" applyProtection="1">
      <alignment horizontal="center" vertical="center"/>
      <protection locked="0"/>
    </xf>
    <xf numFmtId="0" fontId="14" fillId="7" borderId="6" xfId="0" applyFont="1" applyFill="1" applyBorder="1" applyAlignment="1" applyProtection="1">
      <alignment horizontal="center" vertical="center"/>
      <protection locked="0"/>
    </xf>
    <xf numFmtId="0" fontId="14" fillId="7" borderId="7" xfId="0" applyFont="1" applyFill="1" applyBorder="1" applyAlignment="1" applyProtection="1">
      <alignment horizontal="center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link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Relationship Id="rId4" Type="http://schemas.openxmlformats.org/officeDocument/2006/relationships/image" Target="../media/image6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Relationship Id="rId4" Type="http://schemas.openxmlformats.org/officeDocument/2006/relationships/image" Target="../media/image6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Relationship Id="rId4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0</xdr:row>
      <xdr:rowOff>95250</xdr:rowOff>
    </xdr:from>
    <xdr:to>
      <xdr:col>6</xdr:col>
      <xdr:colOff>1143000</xdr:colOff>
      <xdr:row>5</xdr:row>
      <xdr:rowOff>180975</xdr:rowOff>
    </xdr:to>
    <xdr:pic>
      <xdr:nvPicPr>
        <xdr:cNvPr id="4" name="Imagem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28925" y="95250"/>
          <a:ext cx="3619500" cy="1038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9</xdr:col>
      <xdr:colOff>19050</xdr:colOff>
      <xdr:row>0</xdr:row>
      <xdr:rowOff>152400</xdr:rowOff>
    </xdr:from>
    <xdr:to>
      <xdr:col>10</xdr:col>
      <xdr:colOff>85725</xdr:colOff>
      <xdr:row>5</xdr:row>
      <xdr:rowOff>180975</xdr:rowOff>
    </xdr:to>
    <xdr:pic>
      <xdr:nvPicPr>
        <xdr:cNvPr id="5" name="Imagem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8239125" y="152400"/>
          <a:ext cx="1028700" cy="981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4</xdr:col>
      <xdr:colOff>9525</xdr:colOff>
      <xdr:row>0</xdr:row>
      <xdr:rowOff>95250</xdr:rowOff>
    </xdr:from>
    <xdr:to>
      <xdr:col>6</xdr:col>
      <xdr:colOff>1143000</xdr:colOff>
      <xdr:row>5</xdr:row>
      <xdr:rowOff>180975</xdr:rowOff>
    </xdr:to>
    <xdr:pic>
      <xdr:nvPicPr>
        <xdr:cNvPr id="6" name="Imagem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28925" y="95250"/>
          <a:ext cx="3619500" cy="1038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9</xdr:col>
      <xdr:colOff>19050</xdr:colOff>
      <xdr:row>0</xdr:row>
      <xdr:rowOff>152400</xdr:rowOff>
    </xdr:from>
    <xdr:to>
      <xdr:col>10</xdr:col>
      <xdr:colOff>85725</xdr:colOff>
      <xdr:row>5</xdr:row>
      <xdr:rowOff>180975</xdr:rowOff>
    </xdr:to>
    <xdr:pic>
      <xdr:nvPicPr>
        <xdr:cNvPr id="7" name="Imagem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8239125" y="152400"/>
          <a:ext cx="1028700" cy="9810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</xdr:colOff>
      <xdr:row>0</xdr:row>
      <xdr:rowOff>95250</xdr:rowOff>
    </xdr:from>
    <xdr:to>
      <xdr:col>6</xdr:col>
      <xdr:colOff>1143000</xdr:colOff>
      <xdr:row>5</xdr:row>
      <xdr:rowOff>180975</xdr:rowOff>
    </xdr:to>
    <xdr:pic>
      <xdr:nvPicPr>
        <xdr:cNvPr id="4" name="Imagem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305175" y="95250"/>
          <a:ext cx="4791075" cy="1038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>
    <xdr:from>
      <xdr:col>9</xdr:col>
      <xdr:colOff>19050</xdr:colOff>
      <xdr:row>0</xdr:row>
      <xdr:rowOff>152400</xdr:rowOff>
    </xdr:from>
    <xdr:to>
      <xdr:col>10</xdr:col>
      <xdr:colOff>85725</xdr:colOff>
      <xdr:row>5</xdr:row>
      <xdr:rowOff>180975</xdr:rowOff>
    </xdr:to>
    <xdr:pic>
      <xdr:nvPicPr>
        <xdr:cNvPr id="5" name="Imagem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0448925" y="152400"/>
          <a:ext cx="1495425" cy="98107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2%20-%20OR&#199;AMENTO%20PA-251%20-%20TRECHO%20PA-124%20(OUR&#201;M)%20-%20BR-316%20(SANTA%20LUZIA%20DO%20PAR&#193;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RONOGRAMA"/>
      <sheetName val="CBUQ DESONERADA"/>
      <sheetName val="MEMORIAL QUANT. CBUQ"/>
    </sheetNames>
    <sheetDataSet>
      <sheetData sheetId="0"/>
      <sheetData sheetId="1"/>
      <sheetData sheetId="2">
        <row r="50">
          <cell r="K50">
            <v>950.4000000000001</v>
          </cell>
        </row>
        <row r="52">
          <cell r="K52">
            <v>0</v>
          </cell>
        </row>
        <row r="53">
          <cell r="K53">
            <v>0</v>
          </cell>
        </row>
        <row r="54">
          <cell r="K54">
            <v>0</v>
          </cell>
        </row>
        <row r="55">
          <cell r="K55">
            <v>0</v>
          </cell>
        </row>
        <row r="56">
          <cell r="K56">
            <v>0</v>
          </cell>
        </row>
        <row r="57">
          <cell r="K57">
            <v>0</v>
          </cell>
        </row>
        <row r="62">
          <cell r="K62">
            <v>0</v>
          </cell>
        </row>
        <row r="63">
          <cell r="K63">
            <v>0</v>
          </cell>
        </row>
        <row r="64">
          <cell r="K64">
            <v>0</v>
          </cell>
        </row>
        <row r="65">
          <cell r="K6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m@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3.vml" /><Relationship Id="rId4" Type="http://schemas.openxmlformats.org/officeDocument/2006/relationships/vmlDrawing" Target="../drawings/vmlDrawing4.v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N83"/>
  <sheetViews>
    <sheetView tabSelected="1" view="pageBreakPreview" zoomScaleSheetLayoutView="100" workbookViewId="0" topLeftCell="A3">
      <selection activeCell="M13" sqref="M13"/>
    </sheetView>
  </sheetViews>
  <sheetFormatPr defaultColWidth="9.140625" defaultRowHeight="15"/>
  <cols>
    <col min="1" max="1" width="7.8515625" style="0" customWidth="1"/>
    <col min="2" max="2" width="10.00390625" style="0" customWidth="1"/>
    <col min="3" max="3" width="10.7109375" style="0" customWidth="1"/>
    <col min="4" max="4" width="13.7109375" style="0" customWidth="1"/>
    <col min="5" max="5" width="30.57421875" style="0" customWidth="1"/>
    <col min="6" max="6" width="6.7109375" style="0" customWidth="1"/>
    <col min="7" max="7" width="17.421875" style="0" customWidth="1"/>
    <col min="8" max="8" width="14.421875" style="0" customWidth="1"/>
    <col min="9" max="9" width="11.8515625" style="0" customWidth="1"/>
    <col min="10" max="11" width="14.421875" style="0" customWidth="1"/>
  </cols>
  <sheetData>
    <row r="8" spans="1:11" ht="18.75">
      <c r="A8" s="155" t="s">
        <v>69</v>
      </c>
      <c r="B8" s="156"/>
      <c r="C8" s="156"/>
      <c r="D8" s="156"/>
      <c r="E8" s="156"/>
      <c r="F8" s="156"/>
      <c r="G8" s="156"/>
      <c r="H8" s="156"/>
      <c r="I8" s="156"/>
      <c r="J8" s="156"/>
      <c r="K8" s="157"/>
    </row>
    <row r="9" spans="1:11" ht="18.75">
      <c r="A9" s="168" t="s">
        <v>187</v>
      </c>
      <c r="B9" s="169"/>
      <c r="C9" s="169"/>
      <c r="D9" s="169"/>
      <c r="E9" s="169"/>
      <c r="F9" s="169"/>
      <c r="G9" s="169"/>
      <c r="H9" s="169"/>
      <c r="I9" s="169"/>
      <c r="J9" s="169"/>
      <c r="K9" s="170"/>
    </row>
    <row r="10" spans="1:11" ht="18.75">
      <c r="A10" s="171" t="s">
        <v>68</v>
      </c>
      <c r="B10" s="172"/>
      <c r="C10" s="172"/>
      <c r="D10" s="172"/>
      <c r="E10" s="172"/>
      <c r="F10" s="172"/>
      <c r="G10" s="172"/>
      <c r="H10" s="172"/>
      <c r="I10" s="172"/>
      <c r="J10" s="172"/>
      <c r="K10" s="173"/>
    </row>
    <row r="11" spans="1:11" ht="18.75">
      <c r="A11" s="17"/>
      <c r="B11" s="16"/>
      <c r="C11" s="16"/>
      <c r="D11" s="16"/>
      <c r="E11" s="16"/>
      <c r="F11" s="16"/>
      <c r="G11" s="16"/>
      <c r="H11" s="16"/>
      <c r="I11" s="162" t="s">
        <v>67</v>
      </c>
      <c r="J11" s="162"/>
      <c r="K11" s="78">
        <v>14.02</v>
      </c>
    </row>
    <row r="12" spans="1:11" ht="15">
      <c r="A12" s="15" t="s">
        <v>186</v>
      </c>
      <c r="B12" s="14"/>
      <c r="C12" s="14"/>
      <c r="D12" s="14"/>
      <c r="E12" s="14"/>
      <c r="F12" s="14"/>
      <c r="G12" s="14"/>
      <c r="H12" s="13"/>
      <c r="I12" s="162" t="s">
        <v>66</v>
      </c>
      <c r="J12" s="162"/>
      <c r="K12" s="78">
        <v>20.97</v>
      </c>
    </row>
    <row r="13" spans="1:14" ht="15">
      <c r="A13" s="15"/>
      <c r="B13" s="14"/>
      <c r="C13" s="14"/>
      <c r="D13" s="14"/>
      <c r="E13" s="14"/>
      <c r="F13" s="14"/>
      <c r="G13" s="14"/>
      <c r="H13" s="13"/>
      <c r="I13" s="13"/>
      <c r="J13" s="58"/>
      <c r="K13" s="12"/>
      <c r="N13" s="77"/>
    </row>
    <row r="14" spans="1:13" ht="18.75">
      <c r="A14" s="159" t="s">
        <v>189</v>
      </c>
      <c r="B14" s="160"/>
      <c r="C14" s="160"/>
      <c r="D14" s="160"/>
      <c r="E14" s="160"/>
      <c r="F14" s="160"/>
      <c r="G14" s="160"/>
      <c r="H14" s="160"/>
      <c r="I14" s="160"/>
      <c r="J14" s="160"/>
      <c r="K14" s="161"/>
      <c r="M14" s="11"/>
    </row>
    <row r="15" spans="1:11" ht="51.75">
      <c r="A15" s="57" t="s">
        <v>65</v>
      </c>
      <c r="B15" s="57" t="s">
        <v>64</v>
      </c>
      <c r="C15" s="57" t="s">
        <v>63</v>
      </c>
      <c r="D15" s="10" t="s">
        <v>62</v>
      </c>
      <c r="E15" s="57" t="s">
        <v>61</v>
      </c>
      <c r="F15" s="57" t="s">
        <v>60</v>
      </c>
      <c r="G15" s="10" t="s">
        <v>59</v>
      </c>
      <c r="H15" s="10" t="s">
        <v>105</v>
      </c>
      <c r="I15" s="10" t="s">
        <v>58</v>
      </c>
      <c r="J15" s="51" t="s">
        <v>57</v>
      </c>
      <c r="K15" s="51" t="s">
        <v>56</v>
      </c>
    </row>
    <row r="16" spans="1:11" ht="21" customHeight="1">
      <c r="A16" s="9">
        <v>1</v>
      </c>
      <c r="B16" s="8"/>
      <c r="C16" s="8"/>
      <c r="D16" s="8"/>
      <c r="E16" s="7" t="s">
        <v>167</v>
      </c>
      <c r="F16" s="6"/>
      <c r="G16" s="6"/>
      <c r="H16" s="24"/>
      <c r="I16" s="24"/>
      <c r="J16" s="52"/>
      <c r="K16" s="52"/>
    </row>
    <row r="17" spans="1:13" ht="15">
      <c r="A17" s="1" t="s">
        <v>54</v>
      </c>
      <c r="B17" s="2">
        <v>11340</v>
      </c>
      <c r="C17" s="2" t="s">
        <v>183</v>
      </c>
      <c r="D17" s="2" t="s">
        <v>5</v>
      </c>
      <c r="E17" s="61" t="s">
        <v>168</v>
      </c>
      <c r="F17" s="1" t="s">
        <v>27</v>
      </c>
      <c r="G17" s="87">
        <v>64</v>
      </c>
      <c r="H17" s="105">
        <v>157.77</v>
      </c>
      <c r="I17" s="105">
        <f>IF(D17="S",($K$12/100)*H17,($K$11/100)*H17)+H17</f>
        <v>190.85436900000002</v>
      </c>
      <c r="J17" s="105">
        <f>G17*H17</f>
        <v>10097.28</v>
      </c>
      <c r="K17" s="105">
        <f>I17*G17</f>
        <v>12214.679616000001</v>
      </c>
      <c r="M17" s="77"/>
    </row>
    <row r="18" spans="1:11" ht="15">
      <c r="A18" s="1" t="s">
        <v>52</v>
      </c>
      <c r="B18" s="79">
        <v>10767</v>
      </c>
      <c r="C18" s="2" t="s">
        <v>183</v>
      </c>
      <c r="D18" s="2" t="s">
        <v>5</v>
      </c>
      <c r="E18" s="61" t="s">
        <v>169</v>
      </c>
      <c r="F18" s="1" t="s">
        <v>27</v>
      </c>
      <c r="G18" s="87">
        <v>164</v>
      </c>
      <c r="H18" s="105">
        <v>385.88</v>
      </c>
      <c r="I18" s="105">
        <f aca="true" t="shared" si="0" ref="I18:I19">IF(D18="S",($K$12/100)*H18,($K$11/100)*H18)+H18</f>
        <v>466.799036</v>
      </c>
      <c r="J18" s="105">
        <f aca="true" t="shared" si="1" ref="J18:J19">G18*H18</f>
        <v>63284.32</v>
      </c>
      <c r="K18" s="105">
        <f aca="true" t="shared" si="2" ref="K18:K19">I18*G18</f>
        <v>76555.041904</v>
      </c>
    </row>
    <row r="19" spans="1:11" ht="64.5" customHeight="1">
      <c r="A19" s="1" t="s">
        <v>94</v>
      </c>
      <c r="B19" s="79" t="s">
        <v>119</v>
      </c>
      <c r="C19" s="2" t="s">
        <v>192</v>
      </c>
      <c r="D19" s="2" t="s">
        <v>5</v>
      </c>
      <c r="E19" s="61" t="s">
        <v>170</v>
      </c>
      <c r="F19" s="1" t="s">
        <v>14</v>
      </c>
      <c r="G19" s="87">
        <v>1</v>
      </c>
      <c r="H19" s="105">
        <v>37694.3</v>
      </c>
      <c r="I19" s="105">
        <f t="shared" si="0"/>
        <v>45598.79471</v>
      </c>
      <c r="J19" s="105">
        <f t="shared" si="1"/>
        <v>37694.3</v>
      </c>
      <c r="K19" s="105">
        <f t="shared" si="2"/>
        <v>45598.79471</v>
      </c>
    </row>
    <row r="20" spans="1:11" ht="15">
      <c r="A20" s="152" t="s">
        <v>2</v>
      </c>
      <c r="B20" s="153"/>
      <c r="C20" s="153"/>
      <c r="D20" s="153"/>
      <c r="E20" s="153"/>
      <c r="F20" s="153"/>
      <c r="G20" s="153"/>
      <c r="H20" s="153"/>
      <c r="I20" s="154"/>
      <c r="J20" s="53">
        <f>SUM(J17:J19)</f>
        <v>111075.90000000001</v>
      </c>
      <c r="K20" s="53">
        <f>SUM(K17:K19)</f>
        <v>134368.51623</v>
      </c>
    </row>
    <row r="21" spans="1:11" ht="33" customHeight="1">
      <c r="A21" s="9">
        <v>2</v>
      </c>
      <c r="B21" s="8"/>
      <c r="C21" s="8"/>
      <c r="D21" s="8"/>
      <c r="E21" s="7" t="s">
        <v>171</v>
      </c>
      <c r="F21" s="6"/>
      <c r="G21" s="6"/>
      <c r="H21" s="24"/>
      <c r="I21" s="24"/>
      <c r="J21" s="52"/>
      <c r="K21" s="52"/>
    </row>
    <row r="22" spans="1:11" ht="15">
      <c r="A22" s="5" t="s">
        <v>49</v>
      </c>
      <c r="B22" s="4" t="s">
        <v>193</v>
      </c>
      <c r="C22" s="4" t="s">
        <v>194</v>
      </c>
      <c r="D22" s="4" t="s">
        <v>5</v>
      </c>
      <c r="E22" s="62" t="s">
        <v>172</v>
      </c>
      <c r="F22" s="3" t="s">
        <v>27</v>
      </c>
      <c r="G22" s="113">
        <v>290400</v>
      </c>
      <c r="H22" s="106">
        <v>0.52</v>
      </c>
      <c r="I22" s="105">
        <f>IF(D22="S",($K$12/100)*H22,($K$11/100)*H22)+H22</f>
        <v>0.629044</v>
      </c>
      <c r="J22" s="106">
        <f>G22*H22</f>
        <v>151008</v>
      </c>
      <c r="K22" s="105">
        <f>I22*G22</f>
        <v>182674.3776</v>
      </c>
    </row>
    <row r="23" spans="1:11" ht="15">
      <c r="A23" s="5" t="s">
        <v>48</v>
      </c>
      <c r="B23" s="4" t="s">
        <v>119</v>
      </c>
      <c r="C23" s="4" t="s">
        <v>192</v>
      </c>
      <c r="D23" s="4" t="s">
        <v>5</v>
      </c>
      <c r="E23" s="104" t="s">
        <v>173</v>
      </c>
      <c r="F23" s="3" t="s">
        <v>3</v>
      </c>
      <c r="G23" s="113">
        <v>96800</v>
      </c>
      <c r="H23" s="106">
        <v>0.12</v>
      </c>
      <c r="I23" s="105">
        <f aca="true" t="shared" si="3" ref="I23">IF(D23="S",($K$12/100)*H23,($K$11/100)*H23)+H23</f>
        <v>0.145164</v>
      </c>
      <c r="J23" s="106">
        <f>G23*H23</f>
        <v>11616</v>
      </c>
      <c r="K23" s="105">
        <f>I23*G23</f>
        <v>14051.875199999999</v>
      </c>
    </row>
    <row r="24" spans="1:11" ht="15">
      <c r="A24" s="165" t="s">
        <v>2</v>
      </c>
      <c r="B24" s="166"/>
      <c r="C24" s="166"/>
      <c r="D24" s="166"/>
      <c r="E24" s="166"/>
      <c r="F24" s="166"/>
      <c r="G24" s="166"/>
      <c r="H24" s="166"/>
      <c r="I24" s="167"/>
      <c r="J24" s="53">
        <f>SUM(J22:J23)</f>
        <v>162624</v>
      </c>
      <c r="K24" s="53">
        <f>SUM(K22:K23)</f>
        <v>196726.25280000002</v>
      </c>
    </row>
    <row r="25" spans="1:11" ht="15" customHeight="1" hidden="1">
      <c r="A25" s="9">
        <v>3</v>
      </c>
      <c r="B25" s="8"/>
      <c r="C25" s="8"/>
      <c r="D25" s="8"/>
      <c r="E25" s="7" t="s">
        <v>42</v>
      </c>
      <c r="F25" s="6"/>
      <c r="G25" s="6"/>
      <c r="H25" s="24"/>
      <c r="I25" s="24"/>
      <c r="J25" s="52"/>
      <c r="K25" s="52"/>
    </row>
    <row r="26" spans="1:11" ht="105" hidden="1">
      <c r="A26" s="1" t="s">
        <v>41</v>
      </c>
      <c r="B26" s="2">
        <v>94996</v>
      </c>
      <c r="C26" s="2" t="s">
        <v>6</v>
      </c>
      <c r="D26" s="2" t="s">
        <v>5</v>
      </c>
      <c r="E26" s="61" t="s">
        <v>112</v>
      </c>
      <c r="F26" s="1" t="s">
        <v>27</v>
      </c>
      <c r="G26" s="87">
        <v>0</v>
      </c>
      <c r="H26" s="87">
        <v>83.62</v>
      </c>
      <c r="I26" s="87">
        <f aca="true" t="shared" si="4" ref="I26">IF(D26="S",($K$12/100)*H26,($K$11/100)*H26)+H26</f>
        <v>101.155114</v>
      </c>
      <c r="J26" s="87">
        <f>G26*H26</f>
        <v>0</v>
      </c>
      <c r="K26" s="87">
        <f>G26*I26</f>
        <v>0</v>
      </c>
    </row>
    <row r="27" spans="1:11" ht="15" hidden="1">
      <c r="A27" s="152" t="s">
        <v>2</v>
      </c>
      <c r="B27" s="153"/>
      <c r="C27" s="153"/>
      <c r="D27" s="153"/>
      <c r="E27" s="153"/>
      <c r="F27" s="153"/>
      <c r="G27" s="153"/>
      <c r="H27" s="153"/>
      <c r="I27" s="154"/>
      <c r="J27" s="53">
        <f>J26</f>
        <v>0</v>
      </c>
      <c r="K27" s="53">
        <f>K26</f>
        <v>0</v>
      </c>
    </row>
    <row r="28" spans="1:11" ht="21" customHeight="1">
      <c r="A28" s="9">
        <v>3</v>
      </c>
      <c r="B28" s="7"/>
      <c r="C28" s="7"/>
      <c r="D28" s="7"/>
      <c r="E28" s="7" t="s">
        <v>174</v>
      </c>
      <c r="F28" s="6"/>
      <c r="G28" s="6"/>
      <c r="H28" s="24"/>
      <c r="I28" s="24"/>
      <c r="J28" s="52"/>
      <c r="K28" s="52"/>
    </row>
    <row r="29" spans="1:11" ht="15">
      <c r="A29" s="112" t="s">
        <v>41</v>
      </c>
      <c r="B29" s="2" t="s">
        <v>195</v>
      </c>
      <c r="C29" s="4" t="s">
        <v>196</v>
      </c>
      <c r="D29" s="2" t="s">
        <v>5</v>
      </c>
      <c r="E29" s="61" t="s">
        <v>184</v>
      </c>
      <c r="F29" s="1" t="s">
        <v>25</v>
      </c>
      <c r="G29" s="114">
        <v>338800</v>
      </c>
      <c r="H29" s="105">
        <v>0.74</v>
      </c>
      <c r="I29" s="105">
        <f aca="true" t="shared" si="5" ref="I29:I31">IF(D29="S",($K$12/100)*H29,($K$11/100)*H29)+H29</f>
        <v>0.895178</v>
      </c>
      <c r="J29" s="105">
        <f>G29*H29</f>
        <v>250712</v>
      </c>
      <c r="K29" s="105">
        <f>I29*G29</f>
        <v>303286.3064</v>
      </c>
    </row>
    <row r="30" spans="1:11" ht="75" hidden="1">
      <c r="A30" s="108" t="s">
        <v>38</v>
      </c>
      <c r="B30" s="2">
        <v>72947</v>
      </c>
      <c r="C30" s="4" t="s">
        <v>183</v>
      </c>
      <c r="D30" s="2" t="s">
        <v>5</v>
      </c>
      <c r="E30" s="61" t="s">
        <v>146</v>
      </c>
      <c r="F30" s="103" t="s">
        <v>166</v>
      </c>
      <c r="G30" s="114">
        <v>108</v>
      </c>
      <c r="H30" s="105">
        <v>24.63</v>
      </c>
      <c r="I30" s="105">
        <f t="shared" si="5"/>
        <v>29.794911</v>
      </c>
      <c r="J30" s="105">
        <f aca="true" t="shared" si="6" ref="J30:J31">G30*H30</f>
        <v>2660.04</v>
      </c>
      <c r="K30" s="105">
        <f aca="true" t="shared" si="7" ref="K30:K31">I30*G30</f>
        <v>3217.850388</v>
      </c>
    </row>
    <row r="31" spans="1:11" ht="30">
      <c r="A31" s="112" t="s">
        <v>190</v>
      </c>
      <c r="B31" s="4">
        <v>94316</v>
      </c>
      <c r="C31" s="2" t="s">
        <v>6</v>
      </c>
      <c r="D31" s="2" t="s">
        <v>5</v>
      </c>
      <c r="E31" s="61" t="s">
        <v>188</v>
      </c>
      <c r="F31" s="108" t="s">
        <v>25</v>
      </c>
      <c r="G31" s="114">
        <v>12558</v>
      </c>
      <c r="H31" s="105">
        <v>25.29</v>
      </c>
      <c r="I31" s="105">
        <f t="shared" si="5"/>
        <v>30.593313</v>
      </c>
      <c r="J31" s="105">
        <f t="shared" si="6"/>
        <v>317591.82</v>
      </c>
      <c r="K31" s="105">
        <f t="shared" si="7"/>
        <v>384190.824654</v>
      </c>
    </row>
    <row r="32" spans="1:11" ht="45">
      <c r="A32" s="112" t="s">
        <v>191</v>
      </c>
      <c r="B32" s="2" t="s">
        <v>197</v>
      </c>
      <c r="C32" s="4" t="s">
        <v>196</v>
      </c>
      <c r="D32" s="2" t="s">
        <v>5</v>
      </c>
      <c r="E32" s="61" t="s">
        <v>198</v>
      </c>
      <c r="F32" s="103" t="s">
        <v>182</v>
      </c>
      <c r="G32" s="114">
        <v>615342</v>
      </c>
      <c r="H32" s="105">
        <v>0.94</v>
      </c>
      <c r="I32" s="105">
        <f aca="true" t="shared" si="8" ref="I32">IF(D32="S",($K$12/100)*H32,($K$11/100)*H32)+H32</f>
        <v>1.1371179999999999</v>
      </c>
      <c r="J32" s="105">
        <f aca="true" t="shared" si="9" ref="J32">G32*H32</f>
        <v>578421.48</v>
      </c>
      <c r="K32" s="105">
        <f aca="true" t="shared" si="10" ref="K32">I32*G32</f>
        <v>699716.464356</v>
      </c>
    </row>
    <row r="33" spans="1:11" ht="15">
      <c r="A33" s="152" t="s">
        <v>2</v>
      </c>
      <c r="B33" s="153"/>
      <c r="C33" s="153"/>
      <c r="D33" s="153"/>
      <c r="E33" s="153"/>
      <c r="F33" s="153"/>
      <c r="G33" s="153"/>
      <c r="H33" s="153"/>
      <c r="I33" s="154"/>
      <c r="J33" s="107">
        <f>SUM(J29:J32)</f>
        <v>1149385.3399999999</v>
      </c>
      <c r="K33" s="107">
        <f>SUM(K29:K32)</f>
        <v>1390411.4457979999</v>
      </c>
    </row>
    <row r="34" spans="1:11" ht="15.75" customHeight="1">
      <c r="A34" s="9">
        <v>4</v>
      </c>
      <c r="B34" s="8"/>
      <c r="C34" s="8"/>
      <c r="D34" s="8"/>
      <c r="E34" s="7" t="s">
        <v>175</v>
      </c>
      <c r="F34" s="6"/>
      <c r="G34" s="6"/>
      <c r="H34" s="24"/>
      <c r="I34" s="24"/>
      <c r="J34" s="52"/>
      <c r="K34" s="52"/>
    </row>
    <row r="35" spans="1:11" ht="60" hidden="1">
      <c r="A35" s="5" t="s">
        <v>32</v>
      </c>
      <c r="B35" s="2">
        <v>94265</v>
      </c>
      <c r="C35" s="2" t="s">
        <v>6</v>
      </c>
      <c r="D35" s="4" t="s">
        <v>5</v>
      </c>
      <c r="E35" s="61" t="s">
        <v>33</v>
      </c>
      <c r="F35" s="25" t="s">
        <v>3</v>
      </c>
      <c r="G35" s="25">
        <v>0</v>
      </c>
      <c r="H35" s="25">
        <v>31.39</v>
      </c>
      <c r="I35" s="87">
        <f aca="true" t="shared" si="11" ref="I35:I53">IF(D35="S",($K$12/100)*H35,($K$11/100)*H35)+H35</f>
        <v>37.972483</v>
      </c>
      <c r="J35" s="25">
        <f aca="true" t="shared" si="12" ref="J35:J53">G35*H35</f>
        <v>0</v>
      </c>
      <c r="K35" s="87">
        <f aca="true" t="shared" si="13" ref="K35:K53">I35*G35</f>
        <v>0</v>
      </c>
    </row>
    <row r="36" spans="1:11" ht="60" hidden="1">
      <c r="A36" s="100" t="s">
        <v>30</v>
      </c>
      <c r="B36" s="2">
        <v>94281</v>
      </c>
      <c r="C36" s="2" t="s">
        <v>6</v>
      </c>
      <c r="D36" s="2" t="s">
        <v>5</v>
      </c>
      <c r="E36" s="61" t="s">
        <v>31</v>
      </c>
      <c r="F36" s="87" t="s">
        <v>3</v>
      </c>
      <c r="G36" s="87">
        <v>0</v>
      </c>
      <c r="H36" s="87">
        <v>37.49</v>
      </c>
      <c r="I36" s="87">
        <f t="shared" si="11"/>
        <v>45.351653</v>
      </c>
      <c r="J36" s="25">
        <f t="shared" si="12"/>
        <v>0</v>
      </c>
      <c r="K36" s="87">
        <f t="shared" si="13"/>
        <v>0</v>
      </c>
    </row>
    <row r="37" spans="1:11" ht="165" hidden="1">
      <c r="A37" s="5" t="s">
        <v>29</v>
      </c>
      <c r="B37" s="2">
        <v>90105</v>
      </c>
      <c r="C37" s="2" t="s">
        <v>6</v>
      </c>
      <c r="D37" s="2" t="s">
        <v>5</v>
      </c>
      <c r="E37" s="61" t="s">
        <v>150</v>
      </c>
      <c r="F37" s="87" t="s">
        <v>25</v>
      </c>
      <c r="G37" s="87">
        <v>0</v>
      </c>
      <c r="H37" s="87">
        <v>11.93</v>
      </c>
      <c r="I37" s="87">
        <f t="shared" si="11"/>
        <v>14.431721</v>
      </c>
      <c r="J37" s="25">
        <f t="shared" si="12"/>
        <v>0</v>
      </c>
      <c r="K37" s="87">
        <f t="shared" si="13"/>
        <v>0</v>
      </c>
    </row>
    <row r="38" spans="1:11" ht="60" hidden="1">
      <c r="A38" s="100" t="s">
        <v>26</v>
      </c>
      <c r="B38" s="2">
        <v>94097</v>
      </c>
      <c r="C38" s="2" t="s">
        <v>6</v>
      </c>
      <c r="D38" s="2" t="s">
        <v>5</v>
      </c>
      <c r="E38" s="61" t="s">
        <v>28</v>
      </c>
      <c r="F38" s="87" t="s">
        <v>27</v>
      </c>
      <c r="G38" s="87">
        <v>0</v>
      </c>
      <c r="H38" s="87">
        <v>4.6</v>
      </c>
      <c r="I38" s="87">
        <f t="shared" si="11"/>
        <v>5.56462</v>
      </c>
      <c r="J38" s="25">
        <f t="shared" si="12"/>
        <v>0</v>
      </c>
      <c r="K38" s="87">
        <f t="shared" si="13"/>
        <v>0</v>
      </c>
    </row>
    <row r="39" spans="1:11" ht="45" hidden="1">
      <c r="A39" s="1" t="s">
        <v>26</v>
      </c>
      <c r="B39" s="2">
        <v>95290</v>
      </c>
      <c r="C39" s="2" t="s">
        <v>6</v>
      </c>
      <c r="D39" s="2" t="s">
        <v>5</v>
      </c>
      <c r="E39" s="76" t="s">
        <v>23</v>
      </c>
      <c r="F39" s="87" t="s">
        <v>135</v>
      </c>
      <c r="G39" s="87">
        <f>'MEMORIAL QUANT. CBUQ'!K50</f>
        <v>950.4000000000001</v>
      </c>
      <c r="H39" s="87">
        <v>1.76</v>
      </c>
      <c r="I39" s="87">
        <f t="shared" si="11"/>
        <v>2.129072</v>
      </c>
      <c r="J39" s="25">
        <f aca="true" t="shared" si="14" ref="J39:J51">G39*H39</f>
        <v>1672.7040000000002</v>
      </c>
      <c r="K39" s="87">
        <f aca="true" t="shared" si="15" ref="K39:K51">G39*I39</f>
        <v>2023.4700288000001</v>
      </c>
    </row>
    <row r="40" spans="1:11" ht="30" hidden="1">
      <c r="A40" s="1" t="s">
        <v>24</v>
      </c>
      <c r="B40" s="2">
        <v>7781</v>
      </c>
      <c r="C40" s="2" t="s">
        <v>6</v>
      </c>
      <c r="D40" s="2" t="s">
        <v>10</v>
      </c>
      <c r="E40" s="61" t="s">
        <v>9</v>
      </c>
      <c r="F40" s="87" t="s">
        <v>3</v>
      </c>
      <c r="G40" s="87">
        <f>'MEMORIAL QUANT. CBUQ'!K52</f>
        <v>0</v>
      </c>
      <c r="H40" s="87">
        <v>51.95</v>
      </c>
      <c r="I40" s="87">
        <f t="shared" si="11"/>
        <v>59.23339</v>
      </c>
      <c r="J40" s="25">
        <f t="shared" si="14"/>
        <v>0</v>
      </c>
      <c r="K40" s="87">
        <f t="shared" si="15"/>
        <v>0</v>
      </c>
    </row>
    <row r="41" spans="1:11" ht="165" hidden="1">
      <c r="A41" s="1" t="s">
        <v>21</v>
      </c>
      <c r="B41" s="2">
        <v>90106</v>
      </c>
      <c r="C41" s="2" t="s">
        <v>6</v>
      </c>
      <c r="D41" s="2" t="s">
        <v>5</v>
      </c>
      <c r="E41" s="61" t="s">
        <v>155</v>
      </c>
      <c r="F41" s="87" t="s">
        <v>25</v>
      </c>
      <c r="G41" s="87">
        <f>'MEMORIAL QUANT. CBUQ'!K53</f>
        <v>0</v>
      </c>
      <c r="H41" s="87">
        <v>10.22</v>
      </c>
      <c r="I41" s="87">
        <f t="shared" si="11"/>
        <v>12.363134</v>
      </c>
      <c r="J41" s="25">
        <f t="shared" si="14"/>
        <v>0</v>
      </c>
      <c r="K41" s="87">
        <f t="shared" si="15"/>
        <v>0</v>
      </c>
    </row>
    <row r="42" spans="1:11" ht="60" hidden="1">
      <c r="A42" s="1" t="s">
        <v>18</v>
      </c>
      <c r="B42" s="2">
        <v>94097</v>
      </c>
      <c r="C42" s="2" t="s">
        <v>6</v>
      </c>
      <c r="D42" s="2" t="s">
        <v>5</v>
      </c>
      <c r="E42" s="61" t="s">
        <v>28</v>
      </c>
      <c r="F42" s="87" t="s">
        <v>25</v>
      </c>
      <c r="G42" s="87">
        <f>'MEMORIAL QUANT. CBUQ'!K54</f>
        <v>0</v>
      </c>
      <c r="H42" s="87">
        <v>4.6</v>
      </c>
      <c r="I42" s="87">
        <f t="shared" si="11"/>
        <v>5.56462</v>
      </c>
      <c r="J42" s="25">
        <f t="shared" si="14"/>
        <v>0</v>
      </c>
      <c r="K42" s="87">
        <f t="shared" si="15"/>
        <v>0</v>
      </c>
    </row>
    <row r="43" spans="1:11" ht="90" hidden="1">
      <c r="A43" s="1" t="s">
        <v>16</v>
      </c>
      <c r="B43" s="2">
        <v>93378</v>
      </c>
      <c r="C43" s="2" t="s">
        <v>6</v>
      </c>
      <c r="D43" s="2" t="s">
        <v>5</v>
      </c>
      <c r="E43" s="61" t="s">
        <v>147</v>
      </c>
      <c r="F43" s="87" t="s">
        <v>25</v>
      </c>
      <c r="G43" s="87">
        <f>'MEMORIAL QUANT. CBUQ'!K55</f>
        <v>0</v>
      </c>
      <c r="H43" s="87">
        <v>19.6</v>
      </c>
      <c r="I43" s="87">
        <f t="shared" si="11"/>
        <v>23.710120000000003</v>
      </c>
      <c r="J43" s="25">
        <f t="shared" si="14"/>
        <v>0</v>
      </c>
      <c r="K43" s="87">
        <f t="shared" si="15"/>
        <v>0</v>
      </c>
    </row>
    <row r="44" spans="1:11" ht="90" hidden="1">
      <c r="A44" s="1" t="s">
        <v>13</v>
      </c>
      <c r="B44" s="2">
        <v>92809</v>
      </c>
      <c r="C44" s="2" t="s">
        <v>6</v>
      </c>
      <c r="D44" s="2" t="s">
        <v>5</v>
      </c>
      <c r="E44" s="61" t="s">
        <v>148</v>
      </c>
      <c r="F44" s="87" t="s">
        <v>3</v>
      </c>
      <c r="G44" s="87">
        <f>'MEMORIAL QUANT. CBUQ'!K56</f>
        <v>0</v>
      </c>
      <c r="H44" s="87">
        <v>37.54</v>
      </c>
      <c r="I44" s="87">
        <f t="shared" si="11"/>
        <v>45.412138</v>
      </c>
      <c r="J44" s="25">
        <f t="shared" si="14"/>
        <v>0</v>
      </c>
      <c r="K44" s="87">
        <f t="shared" si="15"/>
        <v>0</v>
      </c>
    </row>
    <row r="45" spans="1:11" ht="45" hidden="1">
      <c r="A45" s="1" t="s">
        <v>11</v>
      </c>
      <c r="B45" s="4">
        <v>95290</v>
      </c>
      <c r="C45" s="2" t="s">
        <v>6</v>
      </c>
      <c r="D45" s="2" t="s">
        <v>5</v>
      </c>
      <c r="E45" s="62" t="s">
        <v>23</v>
      </c>
      <c r="F45" s="25" t="s">
        <v>22</v>
      </c>
      <c r="G45" s="87">
        <f>'MEMORIAL QUANT. CBUQ'!K57</f>
        <v>0</v>
      </c>
      <c r="H45" s="87">
        <v>1.76</v>
      </c>
      <c r="I45" s="87">
        <f t="shared" si="11"/>
        <v>2.129072</v>
      </c>
      <c r="J45" s="25">
        <f t="shared" si="14"/>
        <v>0</v>
      </c>
      <c r="K45" s="87">
        <f t="shared" si="15"/>
        <v>0</v>
      </c>
    </row>
    <row r="46" spans="1:11" ht="30" hidden="1">
      <c r="A46" s="1" t="s">
        <v>32</v>
      </c>
      <c r="B46" s="2">
        <v>7793</v>
      </c>
      <c r="C46" s="2" t="s">
        <v>6</v>
      </c>
      <c r="D46" s="2" t="s">
        <v>10</v>
      </c>
      <c r="E46" s="61" t="s">
        <v>12</v>
      </c>
      <c r="F46" s="87" t="s">
        <v>3</v>
      </c>
      <c r="G46" s="87">
        <v>0</v>
      </c>
      <c r="H46" s="87">
        <v>104.87</v>
      </c>
      <c r="I46" s="87">
        <f t="shared" si="11"/>
        <v>119.57277400000001</v>
      </c>
      <c r="J46" s="25">
        <f t="shared" si="14"/>
        <v>0</v>
      </c>
      <c r="K46" s="87">
        <f t="shared" si="15"/>
        <v>0</v>
      </c>
    </row>
    <row r="47" spans="1:11" ht="165" hidden="1">
      <c r="A47" s="1" t="s">
        <v>30</v>
      </c>
      <c r="B47" s="2">
        <v>90106</v>
      </c>
      <c r="C47" s="2" t="s">
        <v>6</v>
      </c>
      <c r="D47" s="2" t="s">
        <v>5</v>
      </c>
      <c r="E47" s="62" t="s">
        <v>156</v>
      </c>
      <c r="F47" s="25" t="s">
        <v>25</v>
      </c>
      <c r="G47" s="87">
        <v>0</v>
      </c>
      <c r="H47" s="87">
        <v>10.22</v>
      </c>
      <c r="I47" s="87">
        <f t="shared" si="11"/>
        <v>12.363134</v>
      </c>
      <c r="J47" s="25">
        <f t="shared" si="14"/>
        <v>0</v>
      </c>
      <c r="K47" s="87">
        <f t="shared" si="15"/>
        <v>0</v>
      </c>
    </row>
    <row r="48" spans="1:11" ht="60" hidden="1">
      <c r="A48" s="1" t="s">
        <v>29</v>
      </c>
      <c r="B48" s="2">
        <v>94097</v>
      </c>
      <c r="C48" s="2" t="s">
        <v>6</v>
      </c>
      <c r="D48" s="2" t="s">
        <v>5</v>
      </c>
      <c r="E48" s="61" t="s">
        <v>28</v>
      </c>
      <c r="F48" s="87" t="s">
        <v>25</v>
      </c>
      <c r="G48" s="87">
        <v>0</v>
      </c>
      <c r="H48" s="87">
        <v>4.6</v>
      </c>
      <c r="I48" s="87">
        <f t="shared" si="11"/>
        <v>5.56462</v>
      </c>
      <c r="J48" s="25">
        <f t="shared" si="14"/>
        <v>0</v>
      </c>
      <c r="K48" s="87">
        <f t="shared" si="15"/>
        <v>0</v>
      </c>
    </row>
    <row r="49" spans="1:11" ht="90" hidden="1">
      <c r="A49" s="1" t="s">
        <v>26</v>
      </c>
      <c r="B49" s="2">
        <v>93378</v>
      </c>
      <c r="C49" s="2" t="s">
        <v>6</v>
      </c>
      <c r="D49" s="2" t="s">
        <v>5</v>
      </c>
      <c r="E49" s="61" t="s">
        <v>147</v>
      </c>
      <c r="F49" s="87" t="s">
        <v>25</v>
      </c>
      <c r="G49" s="87">
        <v>0</v>
      </c>
      <c r="H49" s="87">
        <v>19.6</v>
      </c>
      <c r="I49" s="87">
        <f t="shared" si="11"/>
        <v>23.710120000000003</v>
      </c>
      <c r="J49" s="25">
        <f t="shared" si="14"/>
        <v>0</v>
      </c>
      <c r="K49" s="87">
        <f t="shared" si="15"/>
        <v>0</v>
      </c>
    </row>
    <row r="50" spans="1:11" ht="90" hidden="1">
      <c r="A50" s="1" t="s">
        <v>139</v>
      </c>
      <c r="B50" s="2">
        <v>92811</v>
      </c>
      <c r="C50" s="2" t="s">
        <v>6</v>
      </c>
      <c r="D50" s="2" t="s">
        <v>5</v>
      </c>
      <c r="E50" s="61" t="s">
        <v>4</v>
      </c>
      <c r="F50" s="87" t="s">
        <v>3</v>
      </c>
      <c r="G50" s="87">
        <f>'MEMORIAL QUANT. CBUQ'!K62</f>
        <v>0</v>
      </c>
      <c r="H50" s="87">
        <v>54.41</v>
      </c>
      <c r="I50" s="87">
        <f t="shared" si="11"/>
        <v>65.81977699999999</v>
      </c>
      <c r="J50" s="25">
        <f t="shared" si="14"/>
        <v>0</v>
      </c>
      <c r="K50" s="87">
        <f t="shared" si="15"/>
        <v>0</v>
      </c>
    </row>
    <row r="51" spans="1:11" ht="45" hidden="1">
      <c r="A51" s="1" t="s">
        <v>140</v>
      </c>
      <c r="B51" s="4">
        <v>95290</v>
      </c>
      <c r="C51" s="2" t="s">
        <v>6</v>
      </c>
      <c r="D51" s="2" t="s">
        <v>5</v>
      </c>
      <c r="E51" s="62" t="s">
        <v>23</v>
      </c>
      <c r="F51" s="25" t="s">
        <v>22</v>
      </c>
      <c r="G51" s="87">
        <f>'MEMORIAL QUANT. CBUQ'!K63</f>
        <v>0</v>
      </c>
      <c r="H51" s="87">
        <v>1.76</v>
      </c>
      <c r="I51" s="87">
        <f t="shared" si="11"/>
        <v>2.129072</v>
      </c>
      <c r="J51" s="25">
        <f t="shared" si="14"/>
        <v>0</v>
      </c>
      <c r="K51" s="87">
        <f t="shared" si="15"/>
        <v>0</v>
      </c>
    </row>
    <row r="52" spans="1:11" ht="75" hidden="1">
      <c r="A52" s="1" t="s">
        <v>141</v>
      </c>
      <c r="B52" s="2">
        <v>83659</v>
      </c>
      <c r="C52" s="2" t="s">
        <v>20</v>
      </c>
      <c r="D52" s="2" t="s">
        <v>5</v>
      </c>
      <c r="E52" s="61" t="s">
        <v>19</v>
      </c>
      <c r="F52" s="87" t="s">
        <v>14</v>
      </c>
      <c r="G52" s="87">
        <f>'MEMORIAL QUANT. CBUQ'!K64</f>
        <v>0</v>
      </c>
      <c r="H52" s="87">
        <v>694.56</v>
      </c>
      <c r="I52" s="87">
        <f t="shared" si="11"/>
        <v>840.2092319999999</v>
      </c>
      <c r="J52" s="25">
        <f t="shared" si="12"/>
        <v>0</v>
      </c>
      <c r="K52" s="87">
        <f t="shared" si="13"/>
        <v>0</v>
      </c>
    </row>
    <row r="53" spans="1:11" ht="75" hidden="1">
      <c r="A53" s="1" t="s">
        <v>142</v>
      </c>
      <c r="B53" s="2" t="s">
        <v>149</v>
      </c>
      <c r="C53" s="2" t="s">
        <v>6</v>
      </c>
      <c r="D53" s="2" t="s">
        <v>5</v>
      </c>
      <c r="E53" s="61" t="s">
        <v>17</v>
      </c>
      <c r="F53" s="87" t="s">
        <v>14</v>
      </c>
      <c r="G53" s="87">
        <f>'MEMORIAL QUANT. CBUQ'!K65</f>
        <v>0</v>
      </c>
      <c r="H53" s="87">
        <v>332.61</v>
      </c>
      <c r="I53" s="87">
        <f t="shared" si="11"/>
        <v>402.358317</v>
      </c>
      <c r="J53" s="25">
        <f t="shared" si="12"/>
        <v>0</v>
      </c>
      <c r="K53" s="87">
        <f t="shared" si="13"/>
        <v>0</v>
      </c>
    </row>
    <row r="54" spans="1:11" ht="45">
      <c r="A54" s="112" t="s">
        <v>39</v>
      </c>
      <c r="B54" s="86" t="s">
        <v>200</v>
      </c>
      <c r="C54" s="4" t="s">
        <v>196</v>
      </c>
      <c r="D54" s="2" t="s">
        <v>10</v>
      </c>
      <c r="E54" s="61" t="s">
        <v>177</v>
      </c>
      <c r="F54" s="87" t="s">
        <v>25</v>
      </c>
      <c r="G54" s="114">
        <v>39930</v>
      </c>
      <c r="H54" s="105">
        <v>10.54</v>
      </c>
      <c r="I54" s="87">
        <f aca="true" t="shared" si="16" ref="I54">IF(D54="S",($K$12/100)*H54,($K$11/100)*H54)+H54</f>
        <v>12.017707999999999</v>
      </c>
      <c r="J54" s="106">
        <f aca="true" t="shared" si="17" ref="J54">G54*H54</f>
        <v>420862.19999999995</v>
      </c>
      <c r="K54" s="105">
        <f aca="true" t="shared" si="18" ref="K54">I54*G54</f>
        <v>479867.08043999993</v>
      </c>
    </row>
    <row r="55" spans="1:14" s="111" customFormat="1" ht="45">
      <c r="A55" s="3" t="s">
        <v>38</v>
      </c>
      <c r="B55" s="2" t="s">
        <v>197</v>
      </c>
      <c r="C55" s="4" t="s">
        <v>196</v>
      </c>
      <c r="D55" s="4" t="s">
        <v>10</v>
      </c>
      <c r="E55" s="110" t="s">
        <v>199</v>
      </c>
      <c r="F55" s="25" t="s">
        <v>182</v>
      </c>
      <c r="G55" s="113">
        <v>2543541</v>
      </c>
      <c r="H55" s="106">
        <v>0.94</v>
      </c>
      <c r="I55" s="25">
        <f aca="true" t="shared" si="19" ref="I55">IF(D55="S",($K$12/100)*H55,($K$11/100)*H55)+H55</f>
        <v>1.071788</v>
      </c>
      <c r="J55" s="106">
        <f aca="true" t="shared" si="20" ref="J55">G55*H55</f>
        <v>2390928.54</v>
      </c>
      <c r="K55" s="106">
        <f aca="true" t="shared" si="21" ref="K55">I55*G55</f>
        <v>2726136.721308</v>
      </c>
      <c r="L55" s="115"/>
      <c r="M55" s="115"/>
      <c r="N55" s="115"/>
    </row>
    <row r="56" spans="1:11" ht="15">
      <c r="A56" s="152" t="s">
        <v>2</v>
      </c>
      <c r="B56" s="153"/>
      <c r="C56" s="153"/>
      <c r="D56" s="153"/>
      <c r="E56" s="153"/>
      <c r="F56" s="153"/>
      <c r="G56" s="153"/>
      <c r="H56" s="153"/>
      <c r="I56" s="154"/>
      <c r="J56" s="107">
        <f>SUM(J35:J55)</f>
        <v>2813463.444</v>
      </c>
      <c r="K56" s="107">
        <f>SUM(K35:K55)</f>
        <v>3208027.2717768</v>
      </c>
    </row>
    <row r="57" spans="1:11" ht="30">
      <c r="A57" s="101">
        <v>5</v>
      </c>
      <c r="B57" s="8"/>
      <c r="C57" s="8"/>
      <c r="D57" s="8"/>
      <c r="E57" s="102" t="s">
        <v>176</v>
      </c>
      <c r="F57" s="6"/>
      <c r="G57" s="6"/>
      <c r="H57" s="24"/>
      <c r="I57" s="24"/>
      <c r="J57" s="52"/>
      <c r="K57" s="52"/>
    </row>
    <row r="58" spans="1:11" ht="30">
      <c r="A58" s="112" t="s">
        <v>34</v>
      </c>
      <c r="B58" s="2" t="s">
        <v>201</v>
      </c>
      <c r="C58" s="4" t="s">
        <v>196</v>
      </c>
      <c r="D58" s="2" t="s">
        <v>5</v>
      </c>
      <c r="E58" s="61" t="s">
        <v>178</v>
      </c>
      <c r="F58" s="103" t="s">
        <v>25</v>
      </c>
      <c r="G58" s="87">
        <v>253.05</v>
      </c>
      <c r="H58" s="109">
        <v>5.68</v>
      </c>
      <c r="I58" s="105">
        <f aca="true" t="shared" si="22" ref="I58:I80">IF(D58="S",($K$12/100)*H58,($K$11/100)*H58)+H58</f>
        <v>6.871096</v>
      </c>
      <c r="J58" s="106">
        <f>G58*H58</f>
        <v>1437.324</v>
      </c>
      <c r="K58" s="105">
        <f>I58*G58</f>
        <v>1738.7308428</v>
      </c>
    </row>
    <row r="59" spans="1:11" ht="60" hidden="1">
      <c r="A59" s="5" t="s">
        <v>32</v>
      </c>
      <c r="B59" s="2">
        <v>94265</v>
      </c>
      <c r="C59" s="2" t="s">
        <v>6</v>
      </c>
      <c r="D59" s="4" t="s">
        <v>5</v>
      </c>
      <c r="E59" s="61" t="s">
        <v>33</v>
      </c>
      <c r="F59" s="25" t="s">
        <v>3</v>
      </c>
      <c r="G59" s="25">
        <v>0</v>
      </c>
      <c r="H59" s="106">
        <v>31.39</v>
      </c>
      <c r="I59" s="105">
        <f t="shared" si="22"/>
        <v>37.972483</v>
      </c>
      <c r="J59" s="106">
        <f aca="true" t="shared" si="23" ref="J59:J80">G59*H59</f>
        <v>0</v>
      </c>
      <c r="K59" s="105">
        <f aca="true" t="shared" si="24" ref="K59:K62">I59*G59</f>
        <v>0</v>
      </c>
    </row>
    <row r="60" spans="1:11" ht="60" hidden="1">
      <c r="A60" s="103" t="s">
        <v>30</v>
      </c>
      <c r="B60" s="2">
        <v>94281</v>
      </c>
      <c r="C60" s="2" t="s">
        <v>6</v>
      </c>
      <c r="D60" s="2" t="s">
        <v>5</v>
      </c>
      <c r="E60" s="61" t="s">
        <v>31</v>
      </c>
      <c r="F60" s="87" t="s">
        <v>3</v>
      </c>
      <c r="G60" s="87">
        <v>0</v>
      </c>
      <c r="H60" s="105">
        <v>37.49</v>
      </c>
      <c r="I60" s="105">
        <f t="shared" si="22"/>
        <v>45.351653</v>
      </c>
      <c r="J60" s="106">
        <f t="shared" si="23"/>
        <v>0</v>
      </c>
      <c r="K60" s="105">
        <f t="shared" si="24"/>
        <v>0</v>
      </c>
    </row>
    <row r="61" spans="1:11" ht="165" hidden="1">
      <c r="A61" s="5" t="s">
        <v>29</v>
      </c>
      <c r="B61" s="2">
        <v>90105</v>
      </c>
      <c r="C61" s="2" t="s">
        <v>6</v>
      </c>
      <c r="D61" s="2" t="s">
        <v>5</v>
      </c>
      <c r="E61" s="61" t="s">
        <v>150</v>
      </c>
      <c r="F61" s="87" t="s">
        <v>25</v>
      </c>
      <c r="G61" s="87">
        <v>0</v>
      </c>
      <c r="H61" s="105">
        <v>11.93</v>
      </c>
      <c r="I61" s="105">
        <f t="shared" si="22"/>
        <v>14.431721</v>
      </c>
      <c r="J61" s="106">
        <f t="shared" si="23"/>
        <v>0</v>
      </c>
      <c r="K61" s="105">
        <f t="shared" si="24"/>
        <v>0</v>
      </c>
    </row>
    <row r="62" spans="1:11" ht="60" hidden="1">
      <c r="A62" s="103" t="s">
        <v>26</v>
      </c>
      <c r="B62" s="2">
        <v>94097</v>
      </c>
      <c r="C62" s="2" t="s">
        <v>6</v>
      </c>
      <c r="D62" s="2" t="s">
        <v>5</v>
      </c>
      <c r="E62" s="61" t="s">
        <v>28</v>
      </c>
      <c r="F62" s="87" t="s">
        <v>27</v>
      </c>
      <c r="G62" s="87">
        <v>0</v>
      </c>
      <c r="H62" s="105">
        <v>4.6</v>
      </c>
      <c r="I62" s="105">
        <f t="shared" si="22"/>
        <v>5.56462</v>
      </c>
      <c r="J62" s="106">
        <f t="shared" si="23"/>
        <v>0</v>
      </c>
      <c r="K62" s="105">
        <f t="shared" si="24"/>
        <v>0</v>
      </c>
    </row>
    <row r="63" spans="1:11" ht="45" hidden="1">
      <c r="A63" s="103" t="s">
        <v>26</v>
      </c>
      <c r="B63" s="2">
        <v>95290</v>
      </c>
      <c r="C63" s="2" t="s">
        <v>6</v>
      </c>
      <c r="D63" s="2" t="s">
        <v>5</v>
      </c>
      <c r="E63" s="90" t="s">
        <v>23</v>
      </c>
      <c r="F63" s="87" t="s">
        <v>135</v>
      </c>
      <c r="G63" s="87">
        <f>'MEMORIAL QUANT. CBUQ'!K75</f>
        <v>0</v>
      </c>
      <c r="H63" s="105">
        <v>1.76</v>
      </c>
      <c r="I63" s="105">
        <f t="shared" si="22"/>
        <v>2.129072</v>
      </c>
      <c r="J63" s="106">
        <f t="shared" si="23"/>
        <v>0</v>
      </c>
      <c r="K63" s="105">
        <f aca="true" t="shared" si="25" ref="K63:K75">G63*I63</f>
        <v>0</v>
      </c>
    </row>
    <row r="64" spans="1:11" ht="30" hidden="1">
      <c r="A64" s="103" t="s">
        <v>24</v>
      </c>
      <c r="B64" s="2">
        <v>7781</v>
      </c>
      <c r="C64" s="2" t="s">
        <v>6</v>
      </c>
      <c r="D64" s="2" t="s">
        <v>10</v>
      </c>
      <c r="E64" s="61" t="s">
        <v>9</v>
      </c>
      <c r="F64" s="87" t="s">
        <v>3</v>
      </c>
      <c r="G64" s="87">
        <f>'MEMORIAL QUANT. CBUQ'!K77</f>
        <v>0</v>
      </c>
      <c r="H64" s="105">
        <v>51.95</v>
      </c>
      <c r="I64" s="105">
        <f t="shared" si="22"/>
        <v>59.23339</v>
      </c>
      <c r="J64" s="106">
        <f t="shared" si="23"/>
        <v>0</v>
      </c>
      <c r="K64" s="105">
        <f t="shared" si="25"/>
        <v>0</v>
      </c>
    </row>
    <row r="65" spans="1:11" ht="165" hidden="1">
      <c r="A65" s="103" t="s">
        <v>21</v>
      </c>
      <c r="B65" s="2">
        <v>90106</v>
      </c>
      <c r="C65" s="2" t="s">
        <v>6</v>
      </c>
      <c r="D65" s="2" t="s">
        <v>5</v>
      </c>
      <c r="E65" s="61" t="s">
        <v>155</v>
      </c>
      <c r="F65" s="87" t="s">
        <v>25</v>
      </c>
      <c r="G65" s="87">
        <f>'MEMORIAL QUANT. CBUQ'!K78</f>
        <v>0</v>
      </c>
      <c r="H65" s="105">
        <v>10.22</v>
      </c>
      <c r="I65" s="105">
        <f t="shared" si="22"/>
        <v>12.363134</v>
      </c>
      <c r="J65" s="106">
        <f t="shared" si="23"/>
        <v>0</v>
      </c>
      <c r="K65" s="105">
        <f t="shared" si="25"/>
        <v>0</v>
      </c>
    </row>
    <row r="66" spans="1:11" ht="60" hidden="1">
      <c r="A66" s="103" t="s">
        <v>18</v>
      </c>
      <c r="B66" s="2">
        <v>94097</v>
      </c>
      <c r="C66" s="2" t="s">
        <v>6</v>
      </c>
      <c r="D66" s="2" t="s">
        <v>5</v>
      </c>
      <c r="E66" s="61" t="s">
        <v>28</v>
      </c>
      <c r="F66" s="87" t="s">
        <v>25</v>
      </c>
      <c r="G66" s="87">
        <f>'MEMORIAL QUANT. CBUQ'!K79</f>
        <v>0</v>
      </c>
      <c r="H66" s="105">
        <v>4.6</v>
      </c>
      <c r="I66" s="105">
        <f t="shared" si="22"/>
        <v>5.56462</v>
      </c>
      <c r="J66" s="106">
        <f t="shared" si="23"/>
        <v>0</v>
      </c>
      <c r="K66" s="105">
        <f t="shared" si="25"/>
        <v>0</v>
      </c>
    </row>
    <row r="67" spans="1:11" ht="90" hidden="1">
      <c r="A67" s="103" t="s">
        <v>16</v>
      </c>
      <c r="B67" s="2">
        <v>93378</v>
      </c>
      <c r="C67" s="2" t="s">
        <v>6</v>
      </c>
      <c r="D67" s="2" t="s">
        <v>5</v>
      </c>
      <c r="E67" s="61" t="s">
        <v>147</v>
      </c>
      <c r="F67" s="87" t="s">
        <v>25</v>
      </c>
      <c r="G67" s="87">
        <f>'MEMORIAL QUANT. CBUQ'!K80</f>
        <v>0</v>
      </c>
      <c r="H67" s="105">
        <v>19.6</v>
      </c>
      <c r="I67" s="105">
        <f t="shared" si="22"/>
        <v>23.710120000000003</v>
      </c>
      <c r="J67" s="106">
        <f t="shared" si="23"/>
        <v>0</v>
      </c>
      <c r="K67" s="105">
        <f t="shared" si="25"/>
        <v>0</v>
      </c>
    </row>
    <row r="68" spans="1:11" ht="90" hidden="1">
      <c r="A68" s="103" t="s">
        <v>13</v>
      </c>
      <c r="B68" s="2">
        <v>92809</v>
      </c>
      <c r="C68" s="2" t="s">
        <v>6</v>
      </c>
      <c r="D68" s="2" t="s">
        <v>5</v>
      </c>
      <c r="E68" s="61" t="s">
        <v>148</v>
      </c>
      <c r="F68" s="87" t="s">
        <v>3</v>
      </c>
      <c r="G68" s="87">
        <f>'MEMORIAL QUANT. CBUQ'!K81</f>
        <v>0</v>
      </c>
      <c r="H68" s="105">
        <v>37.54</v>
      </c>
      <c r="I68" s="105">
        <f t="shared" si="22"/>
        <v>45.412138</v>
      </c>
      <c r="J68" s="106">
        <f t="shared" si="23"/>
        <v>0</v>
      </c>
      <c r="K68" s="105">
        <f t="shared" si="25"/>
        <v>0</v>
      </c>
    </row>
    <row r="69" spans="1:11" ht="45" hidden="1">
      <c r="A69" s="103" t="s">
        <v>11</v>
      </c>
      <c r="B69" s="4">
        <v>95290</v>
      </c>
      <c r="C69" s="2" t="s">
        <v>6</v>
      </c>
      <c r="D69" s="2" t="s">
        <v>5</v>
      </c>
      <c r="E69" s="62" t="s">
        <v>23</v>
      </c>
      <c r="F69" s="25" t="s">
        <v>22</v>
      </c>
      <c r="G69" s="87">
        <f>'MEMORIAL QUANT. CBUQ'!K82</f>
        <v>0</v>
      </c>
      <c r="H69" s="105">
        <v>1.76</v>
      </c>
      <c r="I69" s="105">
        <f t="shared" si="22"/>
        <v>2.129072</v>
      </c>
      <c r="J69" s="106">
        <f t="shared" si="23"/>
        <v>0</v>
      </c>
      <c r="K69" s="105">
        <f t="shared" si="25"/>
        <v>0</v>
      </c>
    </row>
    <row r="70" spans="1:11" ht="30" hidden="1">
      <c r="A70" s="103" t="s">
        <v>32</v>
      </c>
      <c r="B70" s="2">
        <v>7793</v>
      </c>
      <c r="C70" s="2" t="s">
        <v>6</v>
      </c>
      <c r="D70" s="2" t="s">
        <v>10</v>
      </c>
      <c r="E70" s="61" t="s">
        <v>12</v>
      </c>
      <c r="F70" s="87" t="s">
        <v>3</v>
      </c>
      <c r="G70" s="87">
        <v>0</v>
      </c>
      <c r="H70" s="105">
        <v>104.87</v>
      </c>
      <c r="I70" s="105">
        <f t="shared" si="22"/>
        <v>119.57277400000001</v>
      </c>
      <c r="J70" s="106">
        <f t="shared" si="23"/>
        <v>0</v>
      </c>
      <c r="K70" s="105">
        <f t="shared" si="25"/>
        <v>0</v>
      </c>
    </row>
    <row r="71" spans="1:11" ht="165" hidden="1">
      <c r="A71" s="103" t="s">
        <v>30</v>
      </c>
      <c r="B71" s="2">
        <v>90106</v>
      </c>
      <c r="C71" s="2" t="s">
        <v>6</v>
      </c>
      <c r="D71" s="2" t="s">
        <v>5</v>
      </c>
      <c r="E71" s="62" t="s">
        <v>156</v>
      </c>
      <c r="F71" s="25" t="s">
        <v>25</v>
      </c>
      <c r="G71" s="87">
        <v>0</v>
      </c>
      <c r="H71" s="105">
        <v>10.22</v>
      </c>
      <c r="I71" s="105">
        <f t="shared" si="22"/>
        <v>12.363134</v>
      </c>
      <c r="J71" s="106">
        <f t="shared" si="23"/>
        <v>0</v>
      </c>
      <c r="K71" s="105">
        <f t="shared" si="25"/>
        <v>0</v>
      </c>
    </row>
    <row r="72" spans="1:11" ht="60" hidden="1">
      <c r="A72" s="103" t="s">
        <v>29</v>
      </c>
      <c r="B72" s="2">
        <v>94097</v>
      </c>
      <c r="C72" s="2" t="s">
        <v>6</v>
      </c>
      <c r="D72" s="2" t="s">
        <v>5</v>
      </c>
      <c r="E72" s="61" t="s">
        <v>28</v>
      </c>
      <c r="F72" s="87" t="s">
        <v>25</v>
      </c>
      <c r="G72" s="87">
        <v>0</v>
      </c>
      <c r="H72" s="105">
        <v>4.6</v>
      </c>
      <c r="I72" s="105">
        <f t="shared" si="22"/>
        <v>5.56462</v>
      </c>
      <c r="J72" s="106">
        <f t="shared" si="23"/>
        <v>0</v>
      </c>
      <c r="K72" s="105">
        <f t="shared" si="25"/>
        <v>0</v>
      </c>
    </row>
    <row r="73" spans="1:11" ht="90" hidden="1">
      <c r="A73" s="103" t="s">
        <v>26</v>
      </c>
      <c r="B73" s="2">
        <v>93378</v>
      </c>
      <c r="C73" s="2" t="s">
        <v>6</v>
      </c>
      <c r="D73" s="2" t="s">
        <v>5</v>
      </c>
      <c r="E73" s="61" t="s">
        <v>147</v>
      </c>
      <c r="F73" s="87" t="s">
        <v>25</v>
      </c>
      <c r="G73" s="87">
        <v>0</v>
      </c>
      <c r="H73" s="105">
        <v>19.6</v>
      </c>
      <c r="I73" s="105">
        <f t="shared" si="22"/>
        <v>23.710120000000003</v>
      </c>
      <c r="J73" s="106">
        <f t="shared" si="23"/>
        <v>0</v>
      </c>
      <c r="K73" s="105">
        <f t="shared" si="25"/>
        <v>0</v>
      </c>
    </row>
    <row r="74" spans="1:11" ht="90" hidden="1">
      <c r="A74" s="103" t="s">
        <v>139</v>
      </c>
      <c r="B74" s="2">
        <v>92811</v>
      </c>
      <c r="C74" s="2" t="s">
        <v>6</v>
      </c>
      <c r="D74" s="2" t="s">
        <v>5</v>
      </c>
      <c r="E74" s="61" t="s">
        <v>4</v>
      </c>
      <c r="F74" s="87" t="s">
        <v>3</v>
      </c>
      <c r="G74" s="87">
        <f>'MEMORIAL QUANT. CBUQ'!K87</f>
        <v>0</v>
      </c>
      <c r="H74" s="105">
        <v>54.41</v>
      </c>
      <c r="I74" s="105">
        <f t="shared" si="22"/>
        <v>65.81977699999999</v>
      </c>
      <c r="J74" s="106">
        <f t="shared" si="23"/>
        <v>0</v>
      </c>
      <c r="K74" s="105">
        <f t="shared" si="25"/>
        <v>0</v>
      </c>
    </row>
    <row r="75" spans="1:11" ht="45" hidden="1">
      <c r="A75" s="103" t="s">
        <v>140</v>
      </c>
      <c r="B75" s="4">
        <v>95290</v>
      </c>
      <c r="C75" s="2" t="s">
        <v>6</v>
      </c>
      <c r="D75" s="2" t="s">
        <v>5</v>
      </c>
      <c r="E75" s="62" t="s">
        <v>23</v>
      </c>
      <c r="F75" s="25" t="s">
        <v>22</v>
      </c>
      <c r="G75" s="87">
        <f>'MEMORIAL QUANT. CBUQ'!K88</f>
        <v>0</v>
      </c>
      <c r="H75" s="105">
        <v>1.76</v>
      </c>
      <c r="I75" s="105">
        <f t="shared" si="22"/>
        <v>2.129072</v>
      </c>
      <c r="J75" s="106">
        <f t="shared" si="23"/>
        <v>0</v>
      </c>
      <c r="K75" s="105">
        <f t="shared" si="25"/>
        <v>0</v>
      </c>
    </row>
    <row r="76" spans="1:11" ht="75" hidden="1">
      <c r="A76" s="103" t="s">
        <v>141</v>
      </c>
      <c r="B76" s="2">
        <v>83659</v>
      </c>
      <c r="C76" s="2" t="s">
        <v>20</v>
      </c>
      <c r="D76" s="2" t="s">
        <v>5</v>
      </c>
      <c r="E76" s="61" t="s">
        <v>19</v>
      </c>
      <c r="F76" s="87" t="s">
        <v>14</v>
      </c>
      <c r="G76" s="87">
        <f>'MEMORIAL QUANT. CBUQ'!K89</f>
        <v>0</v>
      </c>
      <c r="H76" s="105">
        <v>694.56</v>
      </c>
      <c r="I76" s="105">
        <f t="shared" si="22"/>
        <v>840.2092319999999</v>
      </c>
      <c r="J76" s="106">
        <f t="shared" si="23"/>
        <v>0</v>
      </c>
      <c r="K76" s="105">
        <f aca="true" t="shared" si="26" ref="K76:K80">I76*G76</f>
        <v>0</v>
      </c>
    </row>
    <row r="77" spans="1:11" ht="75" hidden="1">
      <c r="A77" s="103" t="s">
        <v>142</v>
      </c>
      <c r="B77" s="2" t="s">
        <v>149</v>
      </c>
      <c r="C77" s="2" t="s">
        <v>6</v>
      </c>
      <c r="D77" s="2" t="s">
        <v>5</v>
      </c>
      <c r="E77" s="61" t="s">
        <v>17</v>
      </c>
      <c r="F77" s="87" t="s">
        <v>14</v>
      </c>
      <c r="G77" s="87">
        <f>'MEMORIAL QUANT. CBUQ'!K90</f>
        <v>0</v>
      </c>
      <c r="H77" s="105">
        <v>332.61</v>
      </c>
      <c r="I77" s="105">
        <f t="shared" si="22"/>
        <v>402.358317</v>
      </c>
      <c r="J77" s="106">
        <f t="shared" si="23"/>
        <v>0</v>
      </c>
      <c r="K77" s="105">
        <f t="shared" si="26"/>
        <v>0</v>
      </c>
    </row>
    <row r="78" spans="1:11" ht="15">
      <c r="A78" s="112" t="s">
        <v>32</v>
      </c>
      <c r="B78" s="2" t="s">
        <v>202</v>
      </c>
      <c r="C78" s="4" t="s">
        <v>196</v>
      </c>
      <c r="D78" s="2" t="s">
        <v>10</v>
      </c>
      <c r="E78" s="61" t="s">
        <v>179</v>
      </c>
      <c r="F78" s="87" t="s">
        <v>3</v>
      </c>
      <c r="G78" s="87">
        <v>84</v>
      </c>
      <c r="H78" s="105">
        <v>512.57</v>
      </c>
      <c r="I78" s="105">
        <f t="shared" si="22"/>
        <v>584.432314</v>
      </c>
      <c r="J78" s="106">
        <f t="shared" si="23"/>
        <v>43055.880000000005</v>
      </c>
      <c r="K78" s="105">
        <f t="shared" si="26"/>
        <v>49092.314376</v>
      </c>
    </row>
    <row r="79" spans="1:11" ht="15">
      <c r="A79" s="112" t="s">
        <v>30</v>
      </c>
      <c r="B79" s="2">
        <v>93370</v>
      </c>
      <c r="C79" s="2" t="s">
        <v>6</v>
      </c>
      <c r="D79" s="2" t="s">
        <v>10</v>
      </c>
      <c r="E79" s="61" t="s">
        <v>180</v>
      </c>
      <c r="F79" s="87" t="s">
        <v>25</v>
      </c>
      <c r="G79" s="87">
        <v>191.09</v>
      </c>
      <c r="H79" s="105">
        <v>8.57</v>
      </c>
      <c r="I79" s="105">
        <f t="shared" si="22"/>
        <v>9.771514</v>
      </c>
      <c r="J79" s="106">
        <f t="shared" si="23"/>
        <v>1637.6413</v>
      </c>
      <c r="K79" s="105">
        <f t="shared" si="26"/>
        <v>1867.23861026</v>
      </c>
    </row>
    <row r="80" spans="1:11" ht="15">
      <c r="A80" s="112" t="s">
        <v>29</v>
      </c>
      <c r="B80" s="2" t="s">
        <v>185</v>
      </c>
      <c r="C80" s="2" t="s">
        <v>6</v>
      </c>
      <c r="D80" s="2" t="s">
        <v>10</v>
      </c>
      <c r="E80" s="61" t="s">
        <v>181</v>
      </c>
      <c r="F80" s="87" t="s">
        <v>14</v>
      </c>
      <c r="G80" s="87">
        <v>14</v>
      </c>
      <c r="H80" s="105">
        <v>1782.21</v>
      </c>
      <c r="I80" s="105">
        <f t="shared" si="22"/>
        <v>2032.075842</v>
      </c>
      <c r="J80" s="106">
        <f t="shared" si="23"/>
        <v>24950.940000000002</v>
      </c>
      <c r="K80" s="105">
        <f t="shared" si="26"/>
        <v>28449.061788</v>
      </c>
    </row>
    <row r="81" spans="1:11" ht="15">
      <c r="A81" s="152" t="s">
        <v>2</v>
      </c>
      <c r="B81" s="153"/>
      <c r="C81" s="153"/>
      <c r="D81" s="153"/>
      <c r="E81" s="153"/>
      <c r="F81" s="153"/>
      <c r="G81" s="153"/>
      <c r="H81" s="153"/>
      <c r="I81" s="154"/>
      <c r="J81" s="107">
        <f>SUM(J58:J80)</f>
        <v>71081.78530000002</v>
      </c>
      <c r="K81" s="107">
        <f>SUM(K58:K80)</f>
        <v>81147.34561706</v>
      </c>
    </row>
    <row r="82" spans="1:11" ht="17.25">
      <c r="A82" s="158" t="s">
        <v>1</v>
      </c>
      <c r="B82" s="158"/>
      <c r="C82" s="158"/>
      <c r="D82" s="158"/>
      <c r="E82" s="158"/>
      <c r="F82" s="158"/>
      <c r="G82" s="158"/>
      <c r="H82" s="158"/>
      <c r="I82" s="57"/>
      <c r="J82" s="163">
        <f>SUM(J81,J56,J33,J24,J20)</f>
        <v>4307630.4693</v>
      </c>
      <c r="K82" s="164"/>
    </row>
    <row r="83" spans="1:11" ht="17.25">
      <c r="A83" s="158" t="s">
        <v>0</v>
      </c>
      <c r="B83" s="158"/>
      <c r="C83" s="158"/>
      <c r="D83" s="158"/>
      <c r="E83" s="158"/>
      <c r="F83" s="158"/>
      <c r="G83" s="158"/>
      <c r="H83" s="158"/>
      <c r="I83" s="57"/>
      <c r="J83" s="163">
        <f>SUM(K81,K56,K33,K24,K20)</f>
        <v>5010680.83222186</v>
      </c>
      <c r="K83" s="164"/>
    </row>
  </sheetData>
  <autoFilter ref="A15:K83"/>
  <mergeCells count="16">
    <mergeCell ref="A56:I56"/>
    <mergeCell ref="A8:K8"/>
    <mergeCell ref="A81:I81"/>
    <mergeCell ref="A82:H82"/>
    <mergeCell ref="A83:H83"/>
    <mergeCell ref="A14:K14"/>
    <mergeCell ref="I11:J11"/>
    <mergeCell ref="J82:K82"/>
    <mergeCell ref="J83:K83"/>
    <mergeCell ref="I12:J12"/>
    <mergeCell ref="A20:I20"/>
    <mergeCell ref="A24:I24"/>
    <mergeCell ref="A27:I27"/>
    <mergeCell ref="A33:I33"/>
    <mergeCell ref="A9:K9"/>
    <mergeCell ref="A10:K10"/>
  </mergeCells>
  <printOptions/>
  <pageMargins left="0.5118110236220472" right="0.5118110236220472" top="1.3779527559055118" bottom="1.1811023622047245" header="0.31496062992125984" footer="0.31496062992125984"/>
  <pageSetup horizontalDpi="600" verticalDpi="600" orientation="portrait" paperSize="9" scale="60" r:id="rId3"/>
  <colBreaks count="1" manualBreakCount="1">
    <brk id="11" max="16383" man="1"/>
  </colBreaks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4"/>
  <sheetViews>
    <sheetView view="pageBreakPreview" zoomScale="115" zoomScaleSheetLayoutView="115" workbookViewId="0" topLeftCell="A49">
      <selection activeCell="J54" sqref="J54:K54"/>
    </sheetView>
  </sheetViews>
  <sheetFormatPr defaultColWidth="9.140625" defaultRowHeight="15"/>
  <cols>
    <col min="1" max="1" width="9.140625" style="29" customWidth="1"/>
    <col min="2" max="2" width="10.57421875" style="29" customWidth="1"/>
    <col min="3" max="3" width="9.140625" style="29" customWidth="1"/>
    <col min="4" max="4" width="12.140625" style="29" customWidth="1"/>
    <col min="5" max="5" width="30.57421875" style="29" customWidth="1"/>
    <col min="6" max="6" width="6.7109375" style="29" customWidth="1"/>
    <col min="7" max="7" width="17.421875" style="29" customWidth="1"/>
    <col min="8" max="8" width="14.421875" style="29" customWidth="1"/>
    <col min="9" max="9" width="11.8515625" style="29" customWidth="1"/>
    <col min="10" max="10" width="16.140625" style="29" customWidth="1"/>
    <col min="11" max="11" width="15.7109375" style="29" customWidth="1"/>
    <col min="12" max="16384" width="9.140625" style="29" customWidth="1"/>
  </cols>
  <sheetData>
    <row r="1" spans="1:11" ht="18.75">
      <c r="A1" s="177" t="s">
        <v>69</v>
      </c>
      <c r="B1" s="178"/>
      <c r="C1" s="178"/>
      <c r="D1" s="178"/>
      <c r="E1" s="178"/>
      <c r="F1" s="178"/>
      <c r="G1" s="178"/>
      <c r="H1" s="178"/>
      <c r="I1" s="178"/>
      <c r="J1" s="178"/>
      <c r="K1" s="28"/>
    </row>
    <row r="2" spans="1:11" ht="18.75">
      <c r="A2" s="179" t="str">
        <f>'ORÇAMENTO SÃO MIGUEL'!A9:K9</f>
        <v>PREFEITURA MUNICIPAL DE OURÉM</v>
      </c>
      <c r="B2" s="180"/>
      <c r="C2" s="180"/>
      <c r="D2" s="180"/>
      <c r="E2" s="180"/>
      <c r="F2" s="180"/>
      <c r="G2" s="180"/>
      <c r="H2" s="180"/>
      <c r="I2" s="180"/>
      <c r="J2" s="180"/>
      <c r="K2" s="50"/>
    </row>
    <row r="3" spans="1:11" ht="18.75">
      <c r="A3" s="181" t="s">
        <v>68</v>
      </c>
      <c r="B3" s="182"/>
      <c r="C3" s="182"/>
      <c r="D3" s="182"/>
      <c r="E3" s="182"/>
      <c r="F3" s="182"/>
      <c r="G3" s="182"/>
      <c r="H3" s="182"/>
      <c r="I3" s="182"/>
      <c r="J3" s="182"/>
      <c r="K3" s="30"/>
    </row>
    <row r="4" spans="1:11" ht="18.75">
      <c r="A4" s="31"/>
      <c r="B4" s="32"/>
      <c r="C4" s="32"/>
      <c r="D4" s="32"/>
      <c r="E4" s="32"/>
      <c r="F4" s="32"/>
      <c r="G4" s="32"/>
      <c r="H4" s="32"/>
      <c r="I4" s="183" t="s">
        <v>67</v>
      </c>
      <c r="J4" s="183"/>
      <c r="K4" s="33">
        <v>14.02</v>
      </c>
    </row>
    <row r="5" spans="1:11" ht="15">
      <c r="A5" s="34" t="s">
        <v>104</v>
      </c>
      <c r="B5" s="35"/>
      <c r="C5" s="35"/>
      <c r="D5" s="35"/>
      <c r="E5" s="35"/>
      <c r="F5" s="35"/>
      <c r="G5" s="35"/>
      <c r="H5" s="36"/>
      <c r="I5" s="183" t="s">
        <v>66</v>
      </c>
      <c r="J5" s="183"/>
      <c r="K5" s="33">
        <v>27.03</v>
      </c>
    </row>
    <row r="6" spans="1:11" ht="15">
      <c r="A6" s="34"/>
      <c r="B6" s="35"/>
      <c r="C6" s="35"/>
      <c r="D6" s="35"/>
      <c r="E6" s="35"/>
      <c r="F6" s="35"/>
      <c r="G6" s="35"/>
      <c r="H6" s="36"/>
      <c r="I6" s="36"/>
      <c r="J6" s="37"/>
      <c r="K6" s="38"/>
    </row>
    <row r="7" spans="1:13" ht="18.75">
      <c r="A7" s="174" t="str">
        <f>'ORÇAMENTO SÃO MIGUEL'!A14:K14</f>
        <v>PA-251 - TRECHO BR-010 (São Miguel do Guamá) / PA-124 (Ourém)</v>
      </c>
      <c r="B7" s="175"/>
      <c r="C7" s="175"/>
      <c r="D7" s="175"/>
      <c r="E7" s="175"/>
      <c r="F7" s="175"/>
      <c r="G7" s="175"/>
      <c r="H7" s="175"/>
      <c r="I7" s="175"/>
      <c r="J7" s="175"/>
      <c r="K7" s="176"/>
      <c r="M7" s="39"/>
    </row>
    <row r="8" spans="1:11" ht="51.75">
      <c r="A8" s="60" t="s">
        <v>65</v>
      </c>
      <c r="B8" s="60" t="s">
        <v>64</v>
      </c>
      <c r="C8" s="60" t="s">
        <v>63</v>
      </c>
      <c r="D8" s="10" t="s">
        <v>62</v>
      </c>
      <c r="E8" s="60" t="s">
        <v>61</v>
      </c>
      <c r="F8" s="60" t="s">
        <v>60</v>
      </c>
      <c r="G8" s="10" t="s">
        <v>59</v>
      </c>
      <c r="H8" s="10" t="s">
        <v>105</v>
      </c>
      <c r="I8" s="10" t="s">
        <v>58</v>
      </c>
      <c r="J8" s="51" t="s">
        <v>57</v>
      </c>
      <c r="K8" s="51" t="s">
        <v>56</v>
      </c>
    </row>
    <row r="9" spans="1:11" ht="21" customHeight="1">
      <c r="A9" s="71">
        <v>1</v>
      </c>
      <c r="B9" s="40"/>
      <c r="C9" s="40"/>
      <c r="D9" s="40"/>
      <c r="E9" s="68" t="s">
        <v>55</v>
      </c>
      <c r="F9" s="41"/>
      <c r="G9" s="41"/>
      <c r="H9" s="42"/>
      <c r="I9" s="42"/>
      <c r="J9" s="54"/>
      <c r="K9" s="54"/>
    </row>
    <row r="10" spans="1:11" ht="30">
      <c r="A10" s="43" t="s">
        <v>54</v>
      </c>
      <c r="B10" s="44">
        <v>72961</v>
      </c>
      <c r="C10" s="44" t="s">
        <v>6</v>
      </c>
      <c r="D10" s="44" t="s">
        <v>5</v>
      </c>
      <c r="E10" s="82" t="s">
        <v>53</v>
      </c>
      <c r="F10" s="43" t="s">
        <v>27</v>
      </c>
      <c r="G10" s="87">
        <f>'MEMORIAL QUANT. CBUQ'!I9</f>
        <v>4521.6</v>
      </c>
      <c r="H10" s="45">
        <v>1.2</v>
      </c>
      <c r="I10" s="45">
        <f>IF(D10="S",($K$5/100)*H10,($K$4/100)*H10)+H10</f>
        <v>1.52436</v>
      </c>
      <c r="J10" s="55">
        <f>G10*H10</f>
        <v>5425.92</v>
      </c>
      <c r="K10" s="55">
        <f>I10*G10</f>
        <v>6892.546176</v>
      </c>
    </row>
    <row r="11" spans="1:11" ht="90">
      <c r="A11" s="43" t="s">
        <v>52</v>
      </c>
      <c r="B11" s="79">
        <v>96387</v>
      </c>
      <c r="C11" s="44" t="s">
        <v>6</v>
      </c>
      <c r="D11" s="44" t="s">
        <v>5</v>
      </c>
      <c r="E11" s="82" t="s">
        <v>51</v>
      </c>
      <c r="F11" s="43" t="s">
        <v>25</v>
      </c>
      <c r="G11" s="87">
        <f>'MEMORIAL QUANT. CBUQ'!I10</f>
        <v>678.24</v>
      </c>
      <c r="H11" s="45">
        <v>6.23</v>
      </c>
      <c r="I11" s="45">
        <f aca="true" t="shared" si="0" ref="I11:I13">IF(D11="S",($K$5/100)*H11,($K$4/100)*H11)+H11</f>
        <v>7.913969000000001</v>
      </c>
      <c r="J11" s="55">
        <f aca="true" t="shared" si="1" ref="J11:J13">G11*H11</f>
        <v>4225.4352</v>
      </c>
      <c r="K11" s="55">
        <f aca="true" t="shared" si="2" ref="K11:K13">I11*G11</f>
        <v>5367.57033456</v>
      </c>
    </row>
    <row r="12" spans="1:11" ht="60">
      <c r="A12" s="43" t="s">
        <v>94</v>
      </c>
      <c r="B12" s="79" t="s">
        <v>96</v>
      </c>
      <c r="C12" s="44" t="s">
        <v>6</v>
      </c>
      <c r="D12" s="44" t="s">
        <v>5</v>
      </c>
      <c r="E12" s="82" t="s">
        <v>97</v>
      </c>
      <c r="F12" s="43" t="s">
        <v>25</v>
      </c>
      <c r="G12" s="87">
        <f>'MEMORIAL QUANT. CBUQ'!I11</f>
        <v>678.24</v>
      </c>
      <c r="H12" s="45">
        <v>4.33</v>
      </c>
      <c r="I12" s="45">
        <f t="shared" si="0"/>
        <v>5.500399</v>
      </c>
      <c r="J12" s="55">
        <f t="shared" si="1"/>
        <v>2936.7792</v>
      </c>
      <c r="K12" s="55">
        <f t="shared" si="2"/>
        <v>3730.59061776</v>
      </c>
    </row>
    <row r="13" spans="1:11" ht="60">
      <c r="A13" s="43" t="s">
        <v>95</v>
      </c>
      <c r="B13" s="47">
        <v>72838</v>
      </c>
      <c r="C13" s="44" t="s">
        <v>6</v>
      </c>
      <c r="D13" s="44" t="s">
        <v>5</v>
      </c>
      <c r="E13" s="62" t="s">
        <v>108</v>
      </c>
      <c r="F13" s="46" t="s">
        <v>98</v>
      </c>
      <c r="G13" s="87">
        <f>'MEMORIAL QUANT. CBUQ'!I12</f>
        <v>6511.103999999999</v>
      </c>
      <c r="H13" s="45">
        <v>0.83</v>
      </c>
      <c r="I13" s="45">
        <f t="shared" si="0"/>
        <v>1.054349</v>
      </c>
      <c r="J13" s="55">
        <f t="shared" si="1"/>
        <v>5404.2163199999995</v>
      </c>
      <c r="K13" s="55">
        <f t="shared" si="2"/>
        <v>6864.975991295999</v>
      </c>
    </row>
    <row r="14" spans="1:11" ht="15">
      <c r="A14" s="152" t="s">
        <v>2</v>
      </c>
      <c r="B14" s="153"/>
      <c r="C14" s="153"/>
      <c r="D14" s="153"/>
      <c r="E14" s="153"/>
      <c r="F14" s="153"/>
      <c r="G14" s="153"/>
      <c r="H14" s="153"/>
      <c r="I14" s="154"/>
      <c r="J14" s="55">
        <f>SUM(J10:J13)</f>
        <v>17992.35072</v>
      </c>
      <c r="K14" s="55">
        <f>SUM(K10:K13)</f>
        <v>22855.683119616002</v>
      </c>
    </row>
    <row r="15" spans="1:11" ht="33" customHeight="1">
      <c r="A15" s="71">
        <v>2</v>
      </c>
      <c r="B15" s="40"/>
      <c r="C15" s="40"/>
      <c r="D15" s="40"/>
      <c r="E15" s="68" t="s">
        <v>50</v>
      </c>
      <c r="F15" s="41"/>
      <c r="G15" s="41"/>
      <c r="H15" s="42"/>
      <c r="I15" s="42"/>
      <c r="J15" s="54"/>
      <c r="K15" s="54"/>
    </row>
    <row r="16" spans="1:11" ht="30">
      <c r="A16" s="46" t="s">
        <v>49</v>
      </c>
      <c r="B16" s="47">
        <v>96401</v>
      </c>
      <c r="C16" s="47" t="s">
        <v>6</v>
      </c>
      <c r="D16" s="47" t="s">
        <v>5</v>
      </c>
      <c r="E16" s="83" t="s">
        <v>99</v>
      </c>
      <c r="F16" s="46" t="s">
        <v>27</v>
      </c>
      <c r="G16" s="25">
        <f>'MEMORIAL QUANT. CBUQ'!H16</f>
        <v>3888.0000000000005</v>
      </c>
      <c r="H16" s="48">
        <v>4.28</v>
      </c>
      <c r="I16" s="45">
        <f aca="true" t="shared" si="3" ref="I16:I20">IF(D16="S",($K$5/100)*H16,($K$4/100)*H16)+H16</f>
        <v>5.436884</v>
      </c>
      <c r="J16" s="56">
        <f>G16*H16</f>
        <v>16640.640000000003</v>
      </c>
      <c r="K16" s="55">
        <f>I16*G16</f>
        <v>21138.604992000004</v>
      </c>
    </row>
    <row r="17" spans="1:11" ht="75">
      <c r="A17" s="46" t="s">
        <v>48</v>
      </c>
      <c r="B17" s="47">
        <v>72840</v>
      </c>
      <c r="C17" s="47" t="s">
        <v>6</v>
      </c>
      <c r="D17" s="47" t="s">
        <v>5</v>
      </c>
      <c r="E17" s="62" t="s">
        <v>144</v>
      </c>
      <c r="F17" s="46" t="s">
        <v>98</v>
      </c>
      <c r="G17" s="25">
        <f>'MEMORIAL QUANT. CBUQ'!H17</f>
        <v>320.52672000000007</v>
      </c>
      <c r="H17" s="48">
        <v>0.56</v>
      </c>
      <c r="I17" s="45">
        <f t="shared" si="3"/>
        <v>0.711368</v>
      </c>
      <c r="J17" s="56">
        <f>G17*H17</f>
        <v>179.49496320000006</v>
      </c>
      <c r="K17" s="55">
        <f>I17*G17</f>
        <v>228.01245175296006</v>
      </c>
    </row>
    <row r="18" spans="1:11" ht="75">
      <c r="A18" s="43" t="s">
        <v>47</v>
      </c>
      <c r="B18" s="44">
        <v>95996</v>
      </c>
      <c r="C18" s="44" t="s">
        <v>6</v>
      </c>
      <c r="D18" s="44" t="s">
        <v>5</v>
      </c>
      <c r="E18" s="82" t="s">
        <v>46</v>
      </c>
      <c r="F18" s="43" t="s">
        <v>25</v>
      </c>
      <c r="G18" s="87">
        <f>'MEMORIAL QUANT. CBUQ'!H18</f>
        <v>194.40000000000003</v>
      </c>
      <c r="H18" s="45">
        <v>641.91</v>
      </c>
      <c r="I18" s="45">
        <f t="shared" si="3"/>
        <v>815.418273</v>
      </c>
      <c r="J18" s="56">
        <f>G18*H18</f>
        <v>124787.30400000002</v>
      </c>
      <c r="K18" s="55">
        <f>I18*G18</f>
        <v>158517.31227120003</v>
      </c>
    </row>
    <row r="19" spans="1:11" ht="60">
      <c r="A19" s="43" t="s">
        <v>45</v>
      </c>
      <c r="B19" s="47">
        <v>95303</v>
      </c>
      <c r="C19" s="47" t="s">
        <v>6</v>
      </c>
      <c r="D19" s="47" t="s">
        <v>5</v>
      </c>
      <c r="E19" s="83" t="s">
        <v>44</v>
      </c>
      <c r="F19" s="46" t="s">
        <v>22</v>
      </c>
      <c r="G19" s="87">
        <f>'MEMORIAL QUANT. CBUQ'!H19</f>
        <v>13355.280000000002</v>
      </c>
      <c r="H19" s="45">
        <v>0.95</v>
      </c>
      <c r="I19" s="45">
        <f t="shared" si="3"/>
        <v>1.206785</v>
      </c>
      <c r="J19" s="56">
        <f>G19*H19</f>
        <v>12687.516000000001</v>
      </c>
      <c r="K19" s="55">
        <f>I19*G19</f>
        <v>16116.951574800003</v>
      </c>
    </row>
    <row r="20" spans="1:11" ht="45">
      <c r="A20" s="43" t="s">
        <v>43</v>
      </c>
      <c r="B20" s="44">
        <v>94963</v>
      </c>
      <c r="C20" s="44" t="s">
        <v>6</v>
      </c>
      <c r="D20" s="44" t="s">
        <v>5</v>
      </c>
      <c r="E20" s="65" t="s">
        <v>145</v>
      </c>
      <c r="F20" s="43" t="s">
        <v>25</v>
      </c>
      <c r="G20" s="87">
        <f>'MEMORIAL QUANT. CBUQ'!G22:H22</f>
        <v>0.22607999999999998</v>
      </c>
      <c r="H20" s="49">
        <v>339.24</v>
      </c>
      <c r="I20" s="45">
        <f t="shared" si="3"/>
        <v>430.936572</v>
      </c>
      <c r="J20" s="56">
        <f>G20*H20</f>
        <v>76.69537919999999</v>
      </c>
      <c r="K20" s="55">
        <f>I20*G20</f>
        <v>97.42614019775999</v>
      </c>
    </row>
    <row r="21" spans="1:11" ht="15">
      <c r="A21" s="165" t="s">
        <v>2</v>
      </c>
      <c r="B21" s="166"/>
      <c r="C21" s="166"/>
      <c r="D21" s="166"/>
      <c r="E21" s="166"/>
      <c r="F21" s="166"/>
      <c r="G21" s="166"/>
      <c r="H21" s="166"/>
      <c r="I21" s="167"/>
      <c r="J21" s="55">
        <f>SUM(J16:J20)</f>
        <v>154371.65034240004</v>
      </c>
      <c r="K21" s="55">
        <f>SUM(K16:K20)</f>
        <v>196098.30742995077</v>
      </c>
    </row>
    <row r="22" spans="1:11" ht="15" customHeight="1">
      <c r="A22" s="71">
        <v>3</v>
      </c>
      <c r="B22" s="40"/>
      <c r="C22" s="40"/>
      <c r="D22" s="40"/>
      <c r="E22" s="68" t="s">
        <v>42</v>
      </c>
      <c r="F22" s="41"/>
      <c r="G22" s="41"/>
      <c r="H22" s="42"/>
      <c r="I22" s="42"/>
      <c r="J22" s="54"/>
      <c r="K22" s="54"/>
    </row>
    <row r="23" spans="1:11" ht="105">
      <c r="A23" s="43" t="s">
        <v>41</v>
      </c>
      <c r="B23" s="44">
        <v>94996</v>
      </c>
      <c r="C23" s="44" t="s">
        <v>6</v>
      </c>
      <c r="D23" s="44" t="s">
        <v>5</v>
      </c>
      <c r="E23" s="61" t="s">
        <v>112</v>
      </c>
      <c r="F23" s="43" t="s">
        <v>27</v>
      </c>
      <c r="G23" s="87">
        <f>'MEMORIAL QUANT. CBUQ'!I26</f>
        <v>24.48</v>
      </c>
      <c r="H23" s="45">
        <v>80.97</v>
      </c>
      <c r="I23" s="45">
        <f aca="true" t="shared" si="4" ref="I23">IF(D23="S",($K$5/100)*H23,($K$4/100)*H23)+H23</f>
        <v>102.856191</v>
      </c>
      <c r="J23" s="55">
        <f>G23*H23</f>
        <v>1982.1456</v>
      </c>
      <c r="K23" s="55">
        <f>G23*I23</f>
        <v>2517.91955568</v>
      </c>
    </row>
    <row r="24" spans="1:11" ht="15">
      <c r="A24" s="152" t="s">
        <v>2</v>
      </c>
      <c r="B24" s="153"/>
      <c r="C24" s="153"/>
      <c r="D24" s="153"/>
      <c r="E24" s="153"/>
      <c r="F24" s="153"/>
      <c r="G24" s="153"/>
      <c r="H24" s="153"/>
      <c r="I24" s="154"/>
      <c r="J24" s="55">
        <f>J23</f>
        <v>1982.1456</v>
      </c>
      <c r="K24" s="55">
        <f>K23</f>
        <v>2517.91955568</v>
      </c>
    </row>
    <row r="25" spans="1:11" ht="21" customHeight="1">
      <c r="A25" s="71">
        <v>4</v>
      </c>
      <c r="B25" s="68"/>
      <c r="C25" s="68"/>
      <c r="D25" s="68"/>
      <c r="E25" s="68" t="s">
        <v>40</v>
      </c>
      <c r="F25" s="41"/>
      <c r="G25" s="41"/>
      <c r="H25" s="42"/>
      <c r="I25" s="42"/>
      <c r="J25" s="54"/>
      <c r="K25" s="54"/>
    </row>
    <row r="26" spans="1:11" ht="75">
      <c r="A26" s="43" t="s">
        <v>39</v>
      </c>
      <c r="B26" s="44">
        <v>72947</v>
      </c>
      <c r="C26" s="44" t="s">
        <v>6</v>
      </c>
      <c r="D26" s="44" t="s">
        <v>5</v>
      </c>
      <c r="E26" s="61" t="s">
        <v>146</v>
      </c>
      <c r="F26" s="43" t="s">
        <v>27</v>
      </c>
      <c r="G26" s="87">
        <f>SUM('MEMORIAL QUANT. CBUQ'!G30:G31)</f>
        <v>272.52</v>
      </c>
      <c r="H26" s="45">
        <v>24.57</v>
      </c>
      <c r="I26" s="45">
        <f aca="true" t="shared" si="5" ref="I26:I29">IF(D26="S",($K$5/100)*H26,($K$4/100)*H26)+H26</f>
        <v>31.211271</v>
      </c>
      <c r="J26" s="55">
        <f>G26*H26</f>
        <v>6695.8164</v>
      </c>
      <c r="K26" s="55">
        <f>I26*G26</f>
        <v>8505.69557292</v>
      </c>
    </row>
    <row r="27" spans="1:11" ht="45">
      <c r="A27" s="80" t="s">
        <v>38</v>
      </c>
      <c r="B27" s="86">
        <v>36178</v>
      </c>
      <c r="C27" s="86" t="s">
        <v>6</v>
      </c>
      <c r="D27" s="86" t="s">
        <v>10</v>
      </c>
      <c r="E27" s="90" t="s">
        <v>121</v>
      </c>
      <c r="F27" s="88" t="s">
        <v>14</v>
      </c>
      <c r="G27" s="89">
        <f>'MEMORIAL QUANT. CBUQ'!G32</f>
        <v>35.99999999999999</v>
      </c>
      <c r="H27" s="45">
        <v>6.67</v>
      </c>
      <c r="I27" s="45">
        <f t="shared" si="5"/>
        <v>7.605134</v>
      </c>
      <c r="J27" s="55">
        <f>G27*H27</f>
        <v>240.11999999999995</v>
      </c>
      <c r="K27" s="55">
        <f>I27*G27</f>
        <v>273.78482399999996</v>
      </c>
    </row>
    <row r="28" spans="1:11" ht="30">
      <c r="A28" s="43" t="s">
        <v>37</v>
      </c>
      <c r="B28" s="44">
        <v>34723</v>
      </c>
      <c r="C28" s="44" t="s">
        <v>6</v>
      </c>
      <c r="D28" s="44" t="s">
        <v>10</v>
      </c>
      <c r="E28" s="82" t="s">
        <v>36</v>
      </c>
      <c r="F28" s="43" t="s">
        <v>27</v>
      </c>
      <c r="G28" s="87">
        <f>SUM('MEMORIAL QUANT. CBUQ'!G35:G38)</f>
        <v>2.7</v>
      </c>
      <c r="H28" s="45">
        <v>519.75</v>
      </c>
      <c r="I28" s="45">
        <f t="shared" si="5"/>
        <v>592.61895</v>
      </c>
      <c r="J28" s="55">
        <f>G28*H28</f>
        <v>1403.325</v>
      </c>
      <c r="K28" s="55">
        <f>I28*G28</f>
        <v>1600.0711650000003</v>
      </c>
    </row>
    <row r="29" spans="1:11" ht="60">
      <c r="A29" s="64" t="s">
        <v>131</v>
      </c>
      <c r="B29" s="44">
        <v>21013</v>
      </c>
      <c r="C29" s="66" t="s">
        <v>6</v>
      </c>
      <c r="D29" s="66" t="s">
        <v>10</v>
      </c>
      <c r="E29" s="90" t="s">
        <v>152</v>
      </c>
      <c r="F29" s="64" t="s">
        <v>3</v>
      </c>
      <c r="G29" s="87">
        <f>'MEMORIAL QUANT. CBUQ'!G41</f>
        <v>44.8</v>
      </c>
      <c r="H29" s="45">
        <v>33.31</v>
      </c>
      <c r="I29" s="45">
        <f t="shared" si="5"/>
        <v>37.980062000000004</v>
      </c>
      <c r="J29" s="55">
        <f>G29*H29</f>
        <v>1492.288</v>
      </c>
      <c r="K29" s="55">
        <f>G29*I29</f>
        <v>1701.5067776</v>
      </c>
    </row>
    <row r="30" spans="1:11" ht="15.75" customHeight="1">
      <c r="A30" s="152" t="s">
        <v>2</v>
      </c>
      <c r="B30" s="153"/>
      <c r="C30" s="153"/>
      <c r="D30" s="153"/>
      <c r="E30" s="153"/>
      <c r="F30" s="153"/>
      <c r="G30" s="153"/>
      <c r="H30" s="153"/>
      <c r="I30" s="154"/>
      <c r="J30" s="55">
        <f>SUM(J26:J29)</f>
        <v>9831.5494</v>
      </c>
      <c r="K30" s="55">
        <f>SUM(K26:K29)</f>
        <v>12081.058339520001</v>
      </c>
    </row>
    <row r="31" spans="1:11" ht="15">
      <c r="A31" s="71">
        <v>5</v>
      </c>
      <c r="B31" s="40"/>
      <c r="C31" s="40"/>
      <c r="D31" s="40"/>
      <c r="E31" s="68" t="s">
        <v>35</v>
      </c>
      <c r="F31" s="41"/>
      <c r="G31" s="41"/>
      <c r="H31" s="42"/>
      <c r="I31" s="42"/>
      <c r="J31" s="54"/>
      <c r="K31" s="54"/>
    </row>
    <row r="32" spans="1:11" ht="60">
      <c r="A32" s="46" t="s">
        <v>34</v>
      </c>
      <c r="B32" s="44">
        <v>94265</v>
      </c>
      <c r="C32" s="44" t="s">
        <v>6</v>
      </c>
      <c r="D32" s="47" t="s">
        <v>5</v>
      </c>
      <c r="E32" s="82" t="s">
        <v>33</v>
      </c>
      <c r="F32" s="46" t="s">
        <v>3</v>
      </c>
      <c r="G32" s="25">
        <f>'MEMORIAL QUANT. CBUQ'!K46</f>
        <v>1440</v>
      </c>
      <c r="H32" s="48">
        <v>30.08</v>
      </c>
      <c r="I32" s="45">
        <f aca="true" t="shared" si="6" ref="I32:I51">IF(D32="S",($K$5/100)*H32,($K$4/100)*H32)+H32</f>
        <v>38.210623999999996</v>
      </c>
      <c r="J32" s="56">
        <f aca="true" t="shared" si="7" ref="J32:J51">G32*H32</f>
        <v>43315.2</v>
      </c>
      <c r="K32" s="55">
        <f aca="true" t="shared" si="8" ref="K32:K51">I32*G32</f>
        <v>55023.298559999996</v>
      </c>
    </row>
    <row r="33" spans="1:11" ht="60">
      <c r="A33" s="43" t="s">
        <v>32</v>
      </c>
      <c r="B33" s="44">
        <v>94281</v>
      </c>
      <c r="C33" s="44" t="s">
        <v>6</v>
      </c>
      <c r="D33" s="44" t="s">
        <v>5</v>
      </c>
      <c r="E33" s="82" t="s">
        <v>31</v>
      </c>
      <c r="F33" s="43" t="s">
        <v>3</v>
      </c>
      <c r="G33" s="87">
        <f>'MEMORIAL QUANT. CBUQ'!K47</f>
        <v>1440</v>
      </c>
      <c r="H33" s="45">
        <v>35.81</v>
      </c>
      <c r="I33" s="45">
        <f t="shared" si="6"/>
        <v>45.489443</v>
      </c>
      <c r="J33" s="56">
        <f t="shared" si="7"/>
        <v>51566.4</v>
      </c>
      <c r="K33" s="55">
        <f t="shared" si="8"/>
        <v>65504.797920000005</v>
      </c>
    </row>
    <row r="34" spans="1:11" ht="165">
      <c r="A34" s="80" t="s">
        <v>30</v>
      </c>
      <c r="B34" s="2">
        <v>90105</v>
      </c>
      <c r="C34" s="2" t="s">
        <v>6</v>
      </c>
      <c r="D34" s="2" t="s">
        <v>5</v>
      </c>
      <c r="E34" s="61" t="s">
        <v>150</v>
      </c>
      <c r="F34" s="43" t="s">
        <v>25</v>
      </c>
      <c r="G34" s="87">
        <f>'MEMORIAL QUANT. CBUQ'!K48</f>
        <v>95.04</v>
      </c>
      <c r="H34" s="45">
        <v>11.38</v>
      </c>
      <c r="I34" s="45">
        <f t="shared" si="6"/>
        <v>14.456014000000001</v>
      </c>
      <c r="J34" s="56">
        <f t="shared" si="7"/>
        <v>1081.5552000000002</v>
      </c>
      <c r="K34" s="55">
        <f t="shared" si="8"/>
        <v>1373.8995705600003</v>
      </c>
    </row>
    <row r="35" spans="1:11" ht="60">
      <c r="A35" s="43" t="s">
        <v>29</v>
      </c>
      <c r="B35" s="44">
        <v>94097</v>
      </c>
      <c r="C35" s="44" t="s">
        <v>6</v>
      </c>
      <c r="D35" s="44" t="s">
        <v>5</v>
      </c>
      <c r="E35" s="82" t="s">
        <v>28</v>
      </c>
      <c r="F35" s="43" t="s">
        <v>27</v>
      </c>
      <c r="G35" s="87">
        <f>'MEMORIAL QUANT. CBUQ'!K49</f>
        <v>633.6</v>
      </c>
      <c r="H35" s="45">
        <v>4.15</v>
      </c>
      <c r="I35" s="45">
        <f t="shared" si="6"/>
        <v>5.271745</v>
      </c>
      <c r="J35" s="56">
        <f t="shared" si="7"/>
        <v>2629.4400000000005</v>
      </c>
      <c r="K35" s="55">
        <f t="shared" si="8"/>
        <v>3340.1776320000004</v>
      </c>
    </row>
    <row r="36" spans="1:11" ht="45">
      <c r="A36" s="64" t="s">
        <v>26</v>
      </c>
      <c r="B36" s="2">
        <v>95290</v>
      </c>
      <c r="C36" s="2" t="s">
        <v>6</v>
      </c>
      <c r="D36" s="2" t="s">
        <v>5</v>
      </c>
      <c r="E36" s="76" t="s">
        <v>23</v>
      </c>
      <c r="F36" s="69" t="s">
        <v>135</v>
      </c>
      <c r="G36" s="87">
        <f>'MEMORIAL QUANT. CBUQ'!K50</f>
        <v>950.4000000000001</v>
      </c>
      <c r="H36" s="45">
        <v>1.74</v>
      </c>
      <c r="I36" s="45">
        <f t="shared" si="6"/>
        <v>2.210322</v>
      </c>
      <c r="J36" s="56">
        <f t="shared" si="7"/>
        <v>1653.6960000000001</v>
      </c>
      <c r="K36" s="55">
        <f t="shared" si="8"/>
        <v>2100.6900288</v>
      </c>
    </row>
    <row r="37" spans="1:11" ht="30">
      <c r="A37" s="69" t="s">
        <v>24</v>
      </c>
      <c r="B37" s="2">
        <v>7781</v>
      </c>
      <c r="C37" s="2" t="s">
        <v>6</v>
      </c>
      <c r="D37" s="2" t="s">
        <v>10</v>
      </c>
      <c r="E37" s="61" t="s">
        <v>9</v>
      </c>
      <c r="F37" s="69" t="s">
        <v>3</v>
      </c>
      <c r="G37" s="87">
        <f>'MEMORIAL QUANT. CBUQ'!K52</f>
        <v>0</v>
      </c>
      <c r="H37" s="45">
        <v>51.95</v>
      </c>
      <c r="I37" s="45">
        <f t="shared" si="6"/>
        <v>59.23339</v>
      </c>
      <c r="J37" s="56">
        <f t="shared" si="7"/>
        <v>0</v>
      </c>
      <c r="K37" s="55">
        <f t="shared" si="8"/>
        <v>0</v>
      </c>
    </row>
    <row r="38" spans="1:11" ht="165">
      <c r="A38" s="80" t="s">
        <v>21</v>
      </c>
      <c r="B38" s="2">
        <v>90106</v>
      </c>
      <c r="C38" s="2" t="s">
        <v>6</v>
      </c>
      <c r="D38" s="2" t="s">
        <v>5</v>
      </c>
      <c r="E38" s="61" t="s">
        <v>151</v>
      </c>
      <c r="F38" s="69" t="s">
        <v>25</v>
      </c>
      <c r="G38" s="87">
        <f>'MEMORIAL QUANT. CBUQ'!K53</f>
        <v>0</v>
      </c>
      <c r="H38" s="89">
        <v>9.73</v>
      </c>
      <c r="I38" s="45">
        <f t="shared" si="6"/>
        <v>12.360019000000001</v>
      </c>
      <c r="J38" s="56">
        <f t="shared" si="7"/>
        <v>0</v>
      </c>
      <c r="K38" s="55">
        <f t="shared" si="8"/>
        <v>0</v>
      </c>
    </row>
    <row r="39" spans="1:11" ht="60">
      <c r="A39" s="69" t="s">
        <v>18</v>
      </c>
      <c r="B39" s="2">
        <v>94097</v>
      </c>
      <c r="C39" s="2" t="s">
        <v>6</v>
      </c>
      <c r="D39" s="2" t="s">
        <v>5</v>
      </c>
      <c r="E39" s="61" t="s">
        <v>28</v>
      </c>
      <c r="F39" s="69" t="s">
        <v>25</v>
      </c>
      <c r="G39" s="87">
        <f>'MEMORIAL QUANT. CBUQ'!K54</f>
        <v>0</v>
      </c>
      <c r="H39" s="45">
        <v>4.15</v>
      </c>
      <c r="I39" s="45">
        <f t="shared" si="6"/>
        <v>5.271745</v>
      </c>
      <c r="J39" s="56">
        <f t="shared" si="7"/>
        <v>0</v>
      </c>
      <c r="K39" s="55">
        <f t="shared" si="8"/>
        <v>0</v>
      </c>
    </row>
    <row r="40" spans="1:11" ht="90">
      <c r="A40" s="69" t="s">
        <v>16</v>
      </c>
      <c r="B40" s="2">
        <v>93378</v>
      </c>
      <c r="C40" s="2" t="s">
        <v>6</v>
      </c>
      <c r="D40" s="2" t="s">
        <v>5</v>
      </c>
      <c r="E40" s="61" t="s">
        <v>147</v>
      </c>
      <c r="F40" s="69" t="s">
        <v>25</v>
      </c>
      <c r="G40" s="87">
        <f>'MEMORIAL QUANT. CBUQ'!K55</f>
        <v>0</v>
      </c>
      <c r="H40" s="45">
        <v>18.15</v>
      </c>
      <c r="I40" s="45">
        <f t="shared" si="6"/>
        <v>23.055944999999998</v>
      </c>
      <c r="J40" s="56">
        <f t="shared" si="7"/>
        <v>0</v>
      </c>
      <c r="K40" s="55">
        <f t="shared" si="8"/>
        <v>0</v>
      </c>
    </row>
    <row r="41" spans="1:11" ht="90">
      <c r="A41" s="69" t="s">
        <v>13</v>
      </c>
      <c r="B41" s="2">
        <v>92809</v>
      </c>
      <c r="C41" s="2" t="s">
        <v>6</v>
      </c>
      <c r="D41" s="2" t="s">
        <v>5</v>
      </c>
      <c r="E41" s="61" t="s">
        <v>148</v>
      </c>
      <c r="F41" s="69" t="s">
        <v>3</v>
      </c>
      <c r="G41" s="87">
        <f>'MEMORIAL QUANT. CBUQ'!K56</f>
        <v>0</v>
      </c>
      <c r="H41" s="45">
        <v>35.08</v>
      </c>
      <c r="I41" s="45">
        <f t="shared" si="6"/>
        <v>44.562124</v>
      </c>
      <c r="J41" s="56">
        <f t="shared" si="7"/>
        <v>0</v>
      </c>
      <c r="K41" s="55">
        <f t="shared" si="8"/>
        <v>0</v>
      </c>
    </row>
    <row r="42" spans="1:11" ht="45">
      <c r="A42" s="69" t="s">
        <v>11</v>
      </c>
      <c r="B42" s="4">
        <v>95290</v>
      </c>
      <c r="C42" s="2" t="s">
        <v>6</v>
      </c>
      <c r="D42" s="2" t="s">
        <v>5</v>
      </c>
      <c r="E42" s="62" t="s">
        <v>23</v>
      </c>
      <c r="F42" s="3" t="s">
        <v>22</v>
      </c>
      <c r="G42" s="87">
        <f>'MEMORIAL QUANT. CBUQ'!K57</f>
        <v>0</v>
      </c>
      <c r="H42" s="45">
        <v>1.74</v>
      </c>
      <c r="I42" s="45">
        <f t="shared" si="6"/>
        <v>2.210322</v>
      </c>
      <c r="J42" s="56">
        <f t="shared" si="7"/>
        <v>0</v>
      </c>
      <c r="K42" s="55">
        <f t="shared" si="8"/>
        <v>0</v>
      </c>
    </row>
    <row r="43" spans="1:11" ht="30">
      <c r="A43" s="69" t="s">
        <v>8</v>
      </c>
      <c r="B43" s="2">
        <v>7793</v>
      </c>
      <c r="C43" s="2" t="s">
        <v>6</v>
      </c>
      <c r="D43" s="2" t="s">
        <v>10</v>
      </c>
      <c r="E43" s="61" t="s">
        <v>12</v>
      </c>
      <c r="F43" s="69" t="s">
        <v>3</v>
      </c>
      <c r="G43" s="87">
        <f>'MEMORIAL QUANT. CBUQ'!K58</f>
        <v>0</v>
      </c>
      <c r="H43" s="45">
        <v>104.87</v>
      </c>
      <c r="I43" s="45">
        <f t="shared" si="6"/>
        <v>119.57277400000001</v>
      </c>
      <c r="J43" s="56">
        <f t="shared" si="7"/>
        <v>0</v>
      </c>
      <c r="K43" s="55">
        <f t="shared" si="8"/>
        <v>0</v>
      </c>
    </row>
    <row r="44" spans="1:11" ht="165">
      <c r="A44" s="80" t="s">
        <v>7</v>
      </c>
      <c r="B44" s="2">
        <v>90106</v>
      </c>
      <c r="C44" s="2" t="s">
        <v>6</v>
      </c>
      <c r="D44" s="2" t="s">
        <v>5</v>
      </c>
      <c r="E44" s="62" t="s">
        <v>151</v>
      </c>
      <c r="F44" s="3" t="s">
        <v>25</v>
      </c>
      <c r="G44" s="87">
        <f>'MEMORIAL QUANT. CBUQ'!K59</f>
        <v>0</v>
      </c>
      <c r="H44" s="89">
        <v>9.73</v>
      </c>
      <c r="I44" s="45">
        <f t="shared" si="6"/>
        <v>12.360019000000001</v>
      </c>
      <c r="J44" s="56">
        <f t="shared" si="7"/>
        <v>0</v>
      </c>
      <c r="K44" s="55">
        <f t="shared" si="8"/>
        <v>0</v>
      </c>
    </row>
    <row r="45" spans="1:11" ht="60">
      <c r="A45" s="69" t="s">
        <v>137</v>
      </c>
      <c r="B45" s="2">
        <v>94097</v>
      </c>
      <c r="C45" s="2" t="s">
        <v>6</v>
      </c>
      <c r="D45" s="2" t="s">
        <v>5</v>
      </c>
      <c r="E45" s="61" t="s">
        <v>28</v>
      </c>
      <c r="F45" s="69" t="s">
        <v>25</v>
      </c>
      <c r="G45" s="87">
        <f>'MEMORIAL QUANT. CBUQ'!K60</f>
        <v>0</v>
      </c>
      <c r="H45" s="45">
        <v>4.15</v>
      </c>
      <c r="I45" s="45">
        <f t="shared" si="6"/>
        <v>5.271745</v>
      </c>
      <c r="J45" s="56">
        <f t="shared" si="7"/>
        <v>0</v>
      </c>
      <c r="K45" s="55">
        <f t="shared" si="8"/>
        <v>0</v>
      </c>
    </row>
    <row r="46" spans="1:11" ht="90">
      <c r="A46" s="69" t="s">
        <v>138</v>
      </c>
      <c r="B46" s="2">
        <v>93378</v>
      </c>
      <c r="C46" s="2" t="s">
        <v>6</v>
      </c>
      <c r="D46" s="2" t="s">
        <v>5</v>
      </c>
      <c r="E46" s="61" t="s">
        <v>147</v>
      </c>
      <c r="F46" s="69" t="s">
        <v>25</v>
      </c>
      <c r="G46" s="87">
        <f>'MEMORIAL QUANT. CBUQ'!K61</f>
        <v>0</v>
      </c>
      <c r="H46" s="45">
        <v>18.15</v>
      </c>
      <c r="I46" s="45">
        <f t="shared" si="6"/>
        <v>23.055944999999998</v>
      </c>
      <c r="J46" s="56">
        <f t="shared" si="7"/>
        <v>0</v>
      </c>
      <c r="K46" s="55">
        <f t="shared" si="8"/>
        <v>0</v>
      </c>
    </row>
    <row r="47" spans="1:11" ht="90">
      <c r="A47" s="69" t="s">
        <v>139</v>
      </c>
      <c r="B47" s="2">
        <v>92811</v>
      </c>
      <c r="C47" s="2" t="s">
        <v>6</v>
      </c>
      <c r="D47" s="2" t="s">
        <v>5</v>
      </c>
      <c r="E47" s="61" t="s">
        <v>4</v>
      </c>
      <c r="F47" s="69" t="s">
        <v>3</v>
      </c>
      <c r="G47" s="87">
        <f>'MEMORIAL QUANT. CBUQ'!K62</f>
        <v>0</v>
      </c>
      <c r="H47" s="45">
        <v>50.87</v>
      </c>
      <c r="I47" s="45">
        <f t="shared" si="6"/>
        <v>64.620161</v>
      </c>
      <c r="J47" s="56">
        <f t="shared" si="7"/>
        <v>0</v>
      </c>
      <c r="K47" s="55">
        <f t="shared" si="8"/>
        <v>0</v>
      </c>
    </row>
    <row r="48" spans="1:11" ht="45">
      <c r="A48" s="69" t="s">
        <v>140</v>
      </c>
      <c r="B48" s="4">
        <v>95290</v>
      </c>
      <c r="C48" s="2" t="s">
        <v>6</v>
      </c>
      <c r="D48" s="2" t="s">
        <v>5</v>
      </c>
      <c r="E48" s="62" t="s">
        <v>23</v>
      </c>
      <c r="F48" s="3" t="s">
        <v>22</v>
      </c>
      <c r="G48" s="87">
        <f>'MEMORIAL QUANT. CBUQ'!K63</f>
        <v>0</v>
      </c>
      <c r="H48" s="45">
        <v>1.74</v>
      </c>
      <c r="I48" s="45">
        <f t="shared" si="6"/>
        <v>2.210322</v>
      </c>
      <c r="J48" s="56">
        <f t="shared" si="7"/>
        <v>0</v>
      </c>
      <c r="K48" s="55">
        <f t="shared" si="8"/>
        <v>0</v>
      </c>
    </row>
    <row r="49" spans="1:11" ht="75">
      <c r="A49" s="69" t="s">
        <v>141</v>
      </c>
      <c r="B49" s="2">
        <v>83659</v>
      </c>
      <c r="C49" s="2" t="s">
        <v>20</v>
      </c>
      <c r="D49" s="2" t="s">
        <v>5</v>
      </c>
      <c r="E49" s="61" t="s">
        <v>19</v>
      </c>
      <c r="F49" s="69" t="s">
        <v>14</v>
      </c>
      <c r="G49" s="87">
        <f>'MEMORIAL QUANT. CBUQ'!K64</f>
        <v>0</v>
      </c>
      <c r="H49" s="45">
        <v>647.98</v>
      </c>
      <c r="I49" s="45">
        <f t="shared" si="6"/>
        <v>823.128994</v>
      </c>
      <c r="J49" s="56">
        <f t="shared" si="7"/>
        <v>0</v>
      </c>
      <c r="K49" s="55">
        <f t="shared" si="8"/>
        <v>0</v>
      </c>
    </row>
    <row r="50" spans="1:11" ht="75">
      <c r="A50" s="69" t="s">
        <v>142</v>
      </c>
      <c r="B50" s="2" t="s">
        <v>149</v>
      </c>
      <c r="C50" s="2" t="s">
        <v>6</v>
      </c>
      <c r="D50" s="2" t="s">
        <v>5</v>
      </c>
      <c r="E50" s="61" t="s">
        <v>17</v>
      </c>
      <c r="F50" s="69" t="s">
        <v>14</v>
      </c>
      <c r="G50" s="87">
        <f>'MEMORIAL QUANT. CBUQ'!K65</f>
        <v>0</v>
      </c>
      <c r="H50" s="45">
        <v>319.32</v>
      </c>
      <c r="I50" s="45">
        <f t="shared" si="6"/>
        <v>405.632196</v>
      </c>
      <c r="J50" s="56">
        <f t="shared" si="7"/>
        <v>0</v>
      </c>
      <c r="K50" s="55">
        <f t="shared" si="8"/>
        <v>0</v>
      </c>
    </row>
    <row r="51" spans="1:11" ht="60">
      <c r="A51" s="69" t="s">
        <v>143</v>
      </c>
      <c r="B51" s="2">
        <v>21090</v>
      </c>
      <c r="C51" s="2" t="s">
        <v>6</v>
      </c>
      <c r="D51" s="2" t="s">
        <v>10</v>
      </c>
      <c r="E51" s="61" t="s">
        <v>15</v>
      </c>
      <c r="F51" s="69" t="s">
        <v>14</v>
      </c>
      <c r="G51" s="87">
        <f>'MEMORIAL QUANT. CBUQ'!K66</f>
        <v>0</v>
      </c>
      <c r="H51" s="45">
        <v>431.62</v>
      </c>
      <c r="I51" s="45">
        <f t="shared" si="6"/>
        <v>492.133124</v>
      </c>
      <c r="J51" s="56">
        <f t="shared" si="7"/>
        <v>0</v>
      </c>
      <c r="K51" s="55">
        <f t="shared" si="8"/>
        <v>0</v>
      </c>
    </row>
    <row r="52" spans="1:11" ht="15">
      <c r="A52" s="152" t="s">
        <v>2</v>
      </c>
      <c r="B52" s="153"/>
      <c r="C52" s="153"/>
      <c r="D52" s="153"/>
      <c r="E52" s="153"/>
      <c r="F52" s="153"/>
      <c r="G52" s="153"/>
      <c r="H52" s="153"/>
      <c r="I52" s="154"/>
      <c r="J52" s="55">
        <f>SUM(J32:J51)</f>
        <v>100246.2912</v>
      </c>
      <c r="K52" s="55">
        <f>SUM(K32:K51)</f>
        <v>127342.86371136001</v>
      </c>
    </row>
    <row r="53" spans="1:11" ht="17.25">
      <c r="A53" s="158" t="s">
        <v>1</v>
      </c>
      <c r="B53" s="158"/>
      <c r="C53" s="158"/>
      <c r="D53" s="158"/>
      <c r="E53" s="158"/>
      <c r="F53" s="158"/>
      <c r="G53" s="158"/>
      <c r="H53" s="158"/>
      <c r="I53" s="60"/>
      <c r="J53" s="184">
        <f>J14+J21+J24+J30+J52</f>
        <v>284423.9872624</v>
      </c>
      <c r="K53" s="185"/>
    </row>
    <row r="54" spans="1:11" ht="17.25">
      <c r="A54" s="158" t="s">
        <v>0</v>
      </c>
      <c r="B54" s="158"/>
      <c r="C54" s="158"/>
      <c r="D54" s="158"/>
      <c r="E54" s="158"/>
      <c r="F54" s="158"/>
      <c r="G54" s="158"/>
      <c r="H54" s="158"/>
      <c r="I54" s="60"/>
      <c r="J54" s="184">
        <f>K14+K21+K24+K30+K52</f>
        <v>360895.8321561268</v>
      </c>
      <c r="K54" s="185"/>
    </row>
  </sheetData>
  <sheetProtection algorithmName="SHA-512" hashValue="m3RR5gaLXeZMcGmnGqXLwCQZjP8EWEmu1M3vt5b3vS72iHMQDrgCf0Yur5nlCzwf794QrjX8MhzvStQ8FtpIFA==" saltValue="gf/GUD6LU7mmDWWYuiY2jw==" spinCount="100000" sheet="1" objects="1" scenarios="1"/>
  <autoFilter ref="A8:K54"/>
  <mergeCells count="15">
    <mergeCell ref="A52:I52"/>
    <mergeCell ref="A53:H53"/>
    <mergeCell ref="J53:K53"/>
    <mergeCell ref="A54:H54"/>
    <mergeCell ref="J54:K54"/>
    <mergeCell ref="A1:J1"/>
    <mergeCell ref="A2:J2"/>
    <mergeCell ref="A3:J3"/>
    <mergeCell ref="I4:J4"/>
    <mergeCell ref="I5:J5"/>
    <mergeCell ref="A14:I14"/>
    <mergeCell ref="A21:I21"/>
    <mergeCell ref="A24:I24"/>
    <mergeCell ref="A30:I30"/>
    <mergeCell ref="A7:K7"/>
  </mergeCells>
  <printOptions/>
  <pageMargins left="0.5118110236220472" right="0.5118110236220472" top="1.3779527559055118" bottom="1.1811023622047245" header="0.31496062992125984" footer="0.31496062992125984"/>
  <pageSetup fitToHeight="5" fitToWidth="1" horizontalDpi="600" verticalDpi="600" orientation="portrait" paperSize="9" scale="60" r:id="rId2"/>
  <headerFooter>
    <oddHeader>&amp;C&amp;G&amp;R&amp;G</oddHeader>
    <oddFooter>&amp;C&amp;G&amp;R&amp;G</oddFooter>
  </headerFooter>
  <rowBreaks count="1" manualBreakCount="1">
    <brk id="30" max="16383" man="1"/>
  </rowBreak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66"/>
  <sheetViews>
    <sheetView view="pageBreakPreview" zoomScaleSheetLayoutView="100" workbookViewId="0" topLeftCell="A3">
      <selection activeCell="E10" sqref="E10"/>
    </sheetView>
  </sheetViews>
  <sheetFormatPr defaultColWidth="9.140625" defaultRowHeight="15"/>
  <cols>
    <col min="2" max="2" width="25.8515625" style="97" customWidth="1"/>
    <col min="3" max="3" width="13.57421875" style="0" customWidth="1"/>
    <col min="4" max="4" width="18.140625" style="0" customWidth="1"/>
    <col min="5" max="5" width="23.00390625" style="0" customWidth="1"/>
    <col min="6" max="6" width="14.140625" style="0" customWidth="1"/>
    <col min="7" max="8" width="12.8515625" style="0" customWidth="1"/>
    <col min="9" max="9" width="14.00390625" style="0" customWidth="1"/>
    <col min="10" max="10" width="17.421875" style="0" customWidth="1"/>
    <col min="16" max="16" width="10.00390625" style="0" bestFit="1" customWidth="1"/>
  </cols>
  <sheetData>
    <row r="1" spans="1:12" ht="18.75">
      <c r="A1" s="228" t="s">
        <v>93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9"/>
    </row>
    <row r="2" spans="1:12" ht="18.75">
      <c r="A2" s="169" t="s">
        <v>165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70"/>
    </row>
    <row r="3" spans="1:12" ht="18.75">
      <c r="A3" s="169" t="str">
        <f>'ORÇAMENTO SÃO MIGUEL'!A9:K9</f>
        <v>PREFEITURA MUNICIPAL DE OURÉM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70"/>
    </row>
    <row r="4" spans="1:12" ht="15">
      <c r="A4" s="13"/>
      <c r="B4" s="96"/>
      <c r="C4" s="13"/>
      <c r="D4" s="13"/>
      <c r="E4" s="13"/>
      <c r="F4" s="13"/>
      <c r="G4" s="13"/>
      <c r="H4" s="13"/>
      <c r="I4" s="13"/>
      <c r="J4" s="13"/>
      <c r="K4" s="13"/>
      <c r="L4" s="67"/>
    </row>
    <row r="5" spans="1:12" ht="18.75">
      <c r="A5" s="230" t="str">
        <f>'ORÇAMENTO SÃO MIGUEL'!A14:K14</f>
        <v>PA-251 - TRECHO BR-010 (São Miguel do Guamá) / PA-124 (Ourém)</v>
      </c>
      <c r="B5" s="230"/>
      <c r="C5" s="230"/>
      <c r="D5" s="230"/>
      <c r="E5" s="230"/>
      <c r="F5" s="230"/>
      <c r="G5" s="230"/>
      <c r="H5" s="230"/>
      <c r="I5" s="230"/>
      <c r="J5" s="230"/>
      <c r="K5" s="230"/>
      <c r="L5" s="231"/>
    </row>
    <row r="6" spans="1:13" ht="15">
      <c r="A6" s="9" t="s">
        <v>92</v>
      </c>
      <c r="B6" s="239" t="s">
        <v>55</v>
      </c>
      <c r="C6" s="239"/>
      <c r="D6" s="239"/>
      <c r="E6" s="239"/>
      <c r="F6" s="239"/>
      <c r="G6" s="239"/>
      <c r="H6" s="239"/>
      <c r="I6" s="239"/>
      <c r="J6" s="239"/>
      <c r="K6" s="239"/>
      <c r="L6" s="239"/>
      <c r="M6" s="23"/>
    </row>
    <row r="7" spans="1:13" ht="45">
      <c r="A7" s="240" t="s">
        <v>65</v>
      </c>
      <c r="B7" s="241" t="s">
        <v>61</v>
      </c>
      <c r="C7" s="70" t="s">
        <v>84</v>
      </c>
      <c r="D7" s="70" t="s">
        <v>83</v>
      </c>
      <c r="E7" s="27" t="s">
        <v>89</v>
      </c>
      <c r="F7" s="59" t="s">
        <v>100</v>
      </c>
      <c r="G7" s="27" t="s">
        <v>79</v>
      </c>
      <c r="H7" s="27" t="s">
        <v>80</v>
      </c>
      <c r="I7" s="213" t="s">
        <v>77</v>
      </c>
      <c r="J7" s="203" t="s">
        <v>70</v>
      </c>
      <c r="K7" s="204"/>
      <c r="L7" s="205"/>
      <c r="M7" s="22"/>
    </row>
    <row r="8" spans="1:13" ht="15">
      <c r="A8" s="240"/>
      <c r="B8" s="241"/>
      <c r="C8" s="27" t="s">
        <v>76</v>
      </c>
      <c r="D8" s="27" t="s">
        <v>76</v>
      </c>
      <c r="E8" s="27" t="s">
        <v>76</v>
      </c>
      <c r="F8" s="27" t="s">
        <v>101</v>
      </c>
      <c r="G8" s="27" t="s">
        <v>73</v>
      </c>
      <c r="H8" s="27" t="s">
        <v>88</v>
      </c>
      <c r="I8" s="213"/>
      <c r="J8" s="206"/>
      <c r="K8" s="207"/>
      <c r="L8" s="208"/>
      <c r="M8" s="22"/>
    </row>
    <row r="9" spans="1:13" ht="45.75" customHeight="1">
      <c r="A9" s="1" t="s">
        <v>54</v>
      </c>
      <c r="B9" s="61" t="s">
        <v>53</v>
      </c>
      <c r="C9" s="85">
        <v>6.28</v>
      </c>
      <c r="D9" s="85">
        <v>720</v>
      </c>
      <c r="E9" s="87"/>
      <c r="F9" s="87"/>
      <c r="G9" s="87"/>
      <c r="H9" s="87"/>
      <c r="I9" s="87">
        <f>C9*D9</f>
        <v>4521.6</v>
      </c>
      <c r="J9" s="188" t="s">
        <v>27</v>
      </c>
      <c r="K9" s="189"/>
      <c r="L9" s="190"/>
      <c r="M9" s="22"/>
    </row>
    <row r="10" spans="1:13" ht="97.5" customHeight="1">
      <c r="A10" s="1" t="s">
        <v>52</v>
      </c>
      <c r="B10" s="61" t="s">
        <v>51</v>
      </c>
      <c r="C10" s="81">
        <f>C9</f>
        <v>6.28</v>
      </c>
      <c r="D10" s="81">
        <f>D9</f>
        <v>720</v>
      </c>
      <c r="E10" s="85">
        <v>0.15</v>
      </c>
      <c r="F10" s="87"/>
      <c r="G10" s="87"/>
      <c r="H10" s="87"/>
      <c r="I10" s="87">
        <f>C10*D10*E10</f>
        <v>678.24</v>
      </c>
      <c r="J10" s="188" t="s">
        <v>25</v>
      </c>
      <c r="K10" s="189"/>
      <c r="L10" s="190"/>
      <c r="M10" s="22"/>
    </row>
    <row r="11" spans="1:13" ht="100.5" customHeight="1">
      <c r="A11" s="1" t="s">
        <v>94</v>
      </c>
      <c r="B11" s="61" t="s">
        <v>97</v>
      </c>
      <c r="C11" s="81">
        <f>C9</f>
        <v>6.28</v>
      </c>
      <c r="D11" s="81">
        <f>D9</f>
        <v>720</v>
      </c>
      <c r="E11" s="81">
        <f>+E10</f>
        <v>0.15</v>
      </c>
      <c r="F11" s="87"/>
      <c r="G11" s="87"/>
      <c r="H11" s="87"/>
      <c r="I11" s="87">
        <f>C11*D11*E11</f>
        <v>678.24</v>
      </c>
      <c r="J11" s="188" t="s">
        <v>25</v>
      </c>
      <c r="K11" s="189"/>
      <c r="L11" s="190"/>
      <c r="M11" s="22"/>
    </row>
    <row r="12" spans="1:13" ht="78.75" customHeight="1">
      <c r="A12" s="1" t="s">
        <v>95</v>
      </c>
      <c r="B12" s="62" t="s">
        <v>106</v>
      </c>
      <c r="C12" s="87"/>
      <c r="D12" s="87"/>
      <c r="E12" s="87"/>
      <c r="F12" s="87">
        <v>1.6</v>
      </c>
      <c r="G12" s="87">
        <f>I11*F12</f>
        <v>1085.184</v>
      </c>
      <c r="H12" s="85">
        <v>6</v>
      </c>
      <c r="I12" s="87">
        <f>G12*H12</f>
        <v>6511.103999999999</v>
      </c>
      <c r="J12" s="188" t="s">
        <v>107</v>
      </c>
      <c r="K12" s="189"/>
      <c r="L12" s="190"/>
      <c r="M12" s="22"/>
    </row>
    <row r="13" spans="1:13" ht="15">
      <c r="A13" s="9" t="s">
        <v>91</v>
      </c>
      <c r="B13" s="236" t="s">
        <v>90</v>
      </c>
      <c r="C13" s="237"/>
      <c r="D13" s="237"/>
      <c r="E13" s="237"/>
      <c r="F13" s="237"/>
      <c r="G13" s="237"/>
      <c r="H13" s="237"/>
      <c r="I13" s="237"/>
      <c r="J13" s="237"/>
      <c r="K13" s="237"/>
      <c r="L13" s="238"/>
      <c r="M13" s="20"/>
    </row>
    <row r="14" spans="1:13" ht="15">
      <c r="A14" s="232" t="s">
        <v>65</v>
      </c>
      <c r="B14" s="234" t="s">
        <v>61</v>
      </c>
      <c r="C14" s="70" t="s">
        <v>84</v>
      </c>
      <c r="D14" s="70" t="s">
        <v>83</v>
      </c>
      <c r="E14" s="70" t="s">
        <v>89</v>
      </c>
      <c r="F14" s="70" t="s">
        <v>79</v>
      </c>
      <c r="G14" s="70" t="s">
        <v>80</v>
      </c>
      <c r="H14" s="232" t="s">
        <v>77</v>
      </c>
      <c r="I14" s="242" t="s">
        <v>70</v>
      </c>
      <c r="J14" s="243"/>
      <c r="K14" s="243"/>
      <c r="L14" s="244"/>
      <c r="M14" s="21"/>
    </row>
    <row r="15" spans="1:13" ht="15">
      <c r="A15" s="233"/>
      <c r="B15" s="235"/>
      <c r="C15" s="70" t="s">
        <v>76</v>
      </c>
      <c r="D15" s="70" t="s">
        <v>76</v>
      </c>
      <c r="E15" s="70" t="s">
        <v>76</v>
      </c>
      <c r="F15" s="70" t="s">
        <v>73</v>
      </c>
      <c r="G15" s="70" t="s">
        <v>88</v>
      </c>
      <c r="H15" s="233"/>
      <c r="I15" s="245"/>
      <c r="J15" s="246"/>
      <c r="K15" s="246"/>
      <c r="L15" s="247"/>
      <c r="M15" s="20"/>
    </row>
    <row r="16" spans="1:13" ht="30">
      <c r="A16" s="1" t="s">
        <v>49</v>
      </c>
      <c r="B16" s="62" t="s">
        <v>99</v>
      </c>
      <c r="C16" s="99">
        <f>+C9-(2*(C46+C47))</f>
        <v>5.4</v>
      </c>
      <c r="D16" s="99">
        <f>+D9</f>
        <v>720</v>
      </c>
      <c r="E16" s="87"/>
      <c r="F16" s="87"/>
      <c r="G16" s="87"/>
      <c r="H16" s="87">
        <f>C16*D16</f>
        <v>3888.0000000000005</v>
      </c>
      <c r="I16" s="188" t="s">
        <v>27</v>
      </c>
      <c r="J16" s="189"/>
      <c r="K16" s="189"/>
      <c r="L16" s="190"/>
      <c r="M16" s="20"/>
    </row>
    <row r="17" spans="1:12" ht="90">
      <c r="A17" s="1" t="s">
        <v>48</v>
      </c>
      <c r="B17" s="62" t="s">
        <v>102</v>
      </c>
      <c r="C17" s="87"/>
      <c r="D17" s="87"/>
      <c r="E17" s="87"/>
      <c r="F17" s="87">
        <f>(0.0012)*H16</f>
        <v>4.6656</v>
      </c>
      <c r="G17" s="85">
        <v>68.7</v>
      </c>
      <c r="H17" s="87">
        <f>F17*G17</f>
        <v>320.52672000000007</v>
      </c>
      <c r="I17" s="188" t="s">
        <v>98</v>
      </c>
      <c r="J17" s="189"/>
      <c r="K17" s="189"/>
      <c r="L17" s="190"/>
    </row>
    <row r="18" spans="1:14" ht="75">
      <c r="A18" s="1" t="s">
        <v>47</v>
      </c>
      <c r="B18" s="61" t="s">
        <v>46</v>
      </c>
      <c r="C18" s="81">
        <f>C16</f>
        <v>5.4</v>
      </c>
      <c r="D18" s="81">
        <f>D16</f>
        <v>720</v>
      </c>
      <c r="E18" s="87">
        <v>0.05</v>
      </c>
      <c r="F18" s="87"/>
      <c r="G18" s="87"/>
      <c r="H18" s="87">
        <f>C18*D18*E18</f>
        <v>194.40000000000003</v>
      </c>
      <c r="I18" s="188" t="s">
        <v>25</v>
      </c>
      <c r="J18" s="189"/>
      <c r="K18" s="189"/>
      <c r="L18" s="190"/>
      <c r="N18" s="19"/>
    </row>
    <row r="19" spans="1:12" ht="60">
      <c r="A19" s="1" t="s">
        <v>45</v>
      </c>
      <c r="B19" s="62" t="s">
        <v>44</v>
      </c>
      <c r="C19" s="87"/>
      <c r="D19" s="87"/>
      <c r="E19" s="87"/>
      <c r="F19" s="87">
        <f>H18</f>
        <v>194.40000000000003</v>
      </c>
      <c r="G19" s="85">
        <f>G17</f>
        <v>68.7</v>
      </c>
      <c r="H19" s="87">
        <f>F19*G19</f>
        <v>13355.280000000002</v>
      </c>
      <c r="I19" s="188" t="s">
        <v>109</v>
      </c>
      <c r="J19" s="189"/>
      <c r="K19" s="189"/>
      <c r="L19" s="190"/>
    </row>
    <row r="20" spans="1:12" ht="15">
      <c r="A20" s="197" t="s">
        <v>65</v>
      </c>
      <c r="B20" s="214" t="s">
        <v>61</v>
      </c>
      <c r="C20" s="27" t="s">
        <v>84</v>
      </c>
      <c r="D20" s="27" t="s">
        <v>111</v>
      </c>
      <c r="E20" s="27" t="s">
        <v>89</v>
      </c>
      <c r="F20" s="27" t="s">
        <v>81</v>
      </c>
      <c r="G20" s="216" t="s">
        <v>77</v>
      </c>
      <c r="H20" s="217"/>
      <c r="I20" s="203" t="s">
        <v>70</v>
      </c>
      <c r="J20" s="204"/>
      <c r="K20" s="204"/>
      <c r="L20" s="205"/>
    </row>
    <row r="21" spans="1:12" ht="15">
      <c r="A21" s="198"/>
      <c r="B21" s="215"/>
      <c r="C21" s="27" t="s">
        <v>76</v>
      </c>
      <c r="D21" s="27" t="s">
        <v>76</v>
      </c>
      <c r="E21" s="27" t="s">
        <v>76</v>
      </c>
      <c r="F21" s="27" t="s">
        <v>70</v>
      </c>
      <c r="G21" s="218"/>
      <c r="H21" s="219"/>
      <c r="I21" s="206"/>
      <c r="J21" s="207"/>
      <c r="K21" s="207"/>
      <c r="L21" s="208"/>
    </row>
    <row r="22" spans="1:12" ht="89.25" customHeight="1">
      <c r="A22" s="1" t="s">
        <v>43</v>
      </c>
      <c r="B22" s="61" t="s">
        <v>110</v>
      </c>
      <c r="C22" s="87">
        <f>C9</f>
        <v>6.28</v>
      </c>
      <c r="D22" s="81">
        <v>0.3</v>
      </c>
      <c r="E22" s="87">
        <v>0.12</v>
      </c>
      <c r="F22" s="85">
        <v>1</v>
      </c>
      <c r="G22" s="220">
        <f>C22*D22*E22*F22</f>
        <v>0.22607999999999998</v>
      </c>
      <c r="H22" s="221"/>
      <c r="I22" s="188" t="s">
        <v>25</v>
      </c>
      <c r="J22" s="189"/>
      <c r="K22" s="189"/>
      <c r="L22" s="190"/>
    </row>
    <row r="23" spans="1:12" ht="15">
      <c r="A23" s="9" t="s">
        <v>87</v>
      </c>
      <c r="B23" s="212" t="s">
        <v>42</v>
      </c>
      <c r="C23" s="212"/>
      <c r="D23" s="212"/>
      <c r="E23" s="212"/>
      <c r="F23" s="212"/>
      <c r="G23" s="212"/>
      <c r="H23" s="212"/>
      <c r="I23" s="212"/>
      <c r="J23" s="212"/>
      <c r="K23" s="212"/>
      <c r="L23" s="212"/>
    </row>
    <row r="24" spans="1:12" ht="15">
      <c r="A24" s="222" t="s">
        <v>65</v>
      </c>
      <c r="B24" s="223" t="s">
        <v>61</v>
      </c>
      <c r="C24" s="213" t="s">
        <v>113</v>
      </c>
      <c r="D24" s="213"/>
      <c r="E24" s="213" t="s">
        <v>114</v>
      </c>
      <c r="F24" s="213"/>
      <c r="G24" s="27" t="s">
        <v>111</v>
      </c>
      <c r="H24" s="27" t="s">
        <v>81</v>
      </c>
      <c r="I24" s="213" t="s">
        <v>77</v>
      </c>
      <c r="J24" s="203" t="s">
        <v>70</v>
      </c>
      <c r="K24" s="204"/>
      <c r="L24" s="205"/>
    </row>
    <row r="25" spans="1:12" ht="15">
      <c r="A25" s="222"/>
      <c r="B25" s="223"/>
      <c r="C25" s="213" t="s">
        <v>76</v>
      </c>
      <c r="D25" s="213"/>
      <c r="E25" s="213" t="s">
        <v>76</v>
      </c>
      <c r="F25" s="213"/>
      <c r="G25" s="27" t="s">
        <v>76</v>
      </c>
      <c r="H25" s="27" t="s">
        <v>70</v>
      </c>
      <c r="I25" s="213"/>
      <c r="J25" s="206"/>
      <c r="K25" s="207"/>
      <c r="L25" s="208"/>
    </row>
    <row r="26" spans="1:12" ht="125.25" customHeight="1">
      <c r="A26" s="63" t="s">
        <v>41</v>
      </c>
      <c r="B26" s="61" t="s">
        <v>112</v>
      </c>
      <c r="C26" s="249">
        <v>2.2</v>
      </c>
      <c r="D26" s="249"/>
      <c r="E26" s="249">
        <v>1.2</v>
      </c>
      <c r="F26" s="249"/>
      <c r="G26" s="98">
        <v>1.2</v>
      </c>
      <c r="H26" s="85">
        <v>12</v>
      </c>
      <c r="I26" s="26">
        <f>(((C26+E26)*G26)/2)*H26</f>
        <v>24.48</v>
      </c>
      <c r="J26" s="188" t="s">
        <v>27</v>
      </c>
      <c r="K26" s="189"/>
      <c r="L26" s="190"/>
    </row>
    <row r="27" spans="1:12" ht="15">
      <c r="A27" s="9" t="s">
        <v>86</v>
      </c>
      <c r="B27" s="212" t="s">
        <v>40</v>
      </c>
      <c r="C27" s="212"/>
      <c r="D27" s="212"/>
      <c r="E27" s="212"/>
      <c r="F27" s="212"/>
      <c r="G27" s="212"/>
      <c r="H27" s="212"/>
      <c r="I27" s="212"/>
      <c r="J27" s="212"/>
      <c r="K27" s="212"/>
      <c r="L27" s="212"/>
    </row>
    <row r="28" spans="1:12" ht="15">
      <c r="A28" s="222" t="s">
        <v>65</v>
      </c>
      <c r="B28" s="223" t="s">
        <v>61</v>
      </c>
      <c r="C28" s="27" t="s">
        <v>84</v>
      </c>
      <c r="D28" s="27" t="s">
        <v>83</v>
      </c>
      <c r="E28" s="27" t="s">
        <v>118</v>
      </c>
      <c r="F28" s="27" t="s">
        <v>81</v>
      </c>
      <c r="G28" s="213" t="s">
        <v>77</v>
      </c>
      <c r="H28" s="203" t="s">
        <v>70</v>
      </c>
      <c r="I28" s="204"/>
      <c r="J28" s="204"/>
      <c r="K28" s="204"/>
      <c r="L28" s="205"/>
    </row>
    <row r="29" spans="1:12" ht="15">
      <c r="A29" s="222"/>
      <c r="B29" s="223"/>
      <c r="C29" s="27" t="s">
        <v>76</v>
      </c>
      <c r="D29" s="27" t="s">
        <v>76</v>
      </c>
      <c r="E29" s="27" t="s">
        <v>75</v>
      </c>
      <c r="F29" s="27" t="s">
        <v>75</v>
      </c>
      <c r="G29" s="213"/>
      <c r="H29" s="206"/>
      <c r="I29" s="207"/>
      <c r="J29" s="207"/>
      <c r="K29" s="207"/>
      <c r="L29" s="208"/>
    </row>
    <row r="30" spans="1:12" ht="90">
      <c r="A30" s="5" t="s">
        <v>115</v>
      </c>
      <c r="B30" s="61" t="s">
        <v>117</v>
      </c>
      <c r="C30" s="92">
        <v>0.1</v>
      </c>
      <c r="D30" s="92">
        <f>D9</f>
        <v>720</v>
      </c>
      <c r="E30" s="92" t="s">
        <v>119</v>
      </c>
      <c r="F30" s="84">
        <v>3</v>
      </c>
      <c r="G30" s="92">
        <f>C30*D30*F30</f>
        <v>216</v>
      </c>
      <c r="H30" s="209" t="s">
        <v>27</v>
      </c>
      <c r="I30" s="210"/>
      <c r="J30" s="210"/>
      <c r="K30" s="210"/>
      <c r="L30" s="211"/>
    </row>
    <row r="31" spans="1:12" ht="75">
      <c r="A31" s="1" t="s">
        <v>116</v>
      </c>
      <c r="B31" s="61" t="s">
        <v>120</v>
      </c>
      <c r="C31" s="81">
        <v>0.4</v>
      </c>
      <c r="D31" s="81">
        <v>3</v>
      </c>
      <c r="E31" s="81">
        <f>C9/(2*C31)</f>
        <v>7.85</v>
      </c>
      <c r="F31" s="98">
        <f>ROUNDUP(H26/2,0)</f>
        <v>6</v>
      </c>
      <c r="G31" s="87">
        <f>C31*D31*E31*F31</f>
        <v>56.52000000000001</v>
      </c>
      <c r="H31" s="188" t="s">
        <v>27</v>
      </c>
      <c r="I31" s="189"/>
      <c r="J31" s="189"/>
      <c r="K31" s="189"/>
      <c r="L31" s="190"/>
    </row>
    <row r="32" spans="1:12" ht="45">
      <c r="A32" s="1" t="s">
        <v>38</v>
      </c>
      <c r="B32" s="91" t="s">
        <v>121</v>
      </c>
      <c r="C32" s="81">
        <v>0.4</v>
      </c>
      <c r="D32" s="98">
        <f>+E26</f>
        <v>1.2</v>
      </c>
      <c r="E32" s="81" t="s">
        <v>119</v>
      </c>
      <c r="F32" s="81">
        <f>H26</f>
        <v>12</v>
      </c>
      <c r="G32" s="87">
        <f>(D32/C32)*F32</f>
        <v>35.99999999999999</v>
      </c>
      <c r="H32" s="188" t="s">
        <v>27</v>
      </c>
      <c r="I32" s="189"/>
      <c r="J32" s="189"/>
      <c r="K32" s="189"/>
      <c r="L32" s="190"/>
    </row>
    <row r="33" spans="1:12" ht="15">
      <c r="A33" s="197" t="s">
        <v>37</v>
      </c>
      <c r="B33" s="199" t="s">
        <v>61</v>
      </c>
      <c r="C33" s="224" t="s">
        <v>122</v>
      </c>
      <c r="D33" s="224"/>
      <c r="E33" s="225" t="s">
        <v>81</v>
      </c>
      <c r="F33" s="225"/>
      <c r="G33" s="197" t="s">
        <v>77</v>
      </c>
      <c r="H33" s="203" t="s">
        <v>70</v>
      </c>
      <c r="I33" s="204"/>
      <c r="J33" s="204"/>
      <c r="K33" s="204"/>
      <c r="L33" s="205"/>
    </row>
    <row r="34" spans="1:12" ht="15">
      <c r="A34" s="198"/>
      <c r="B34" s="200"/>
      <c r="C34" s="194" t="s">
        <v>27</v>
      </c>
      <c r="D34" s="196"/>
      <c r="E34" s="201" t="s">
        <v>75</v>
      </c>
      <c r="F34" s="202"/>
      <c r="G34" s="198"/>
      <c r="H34" s="206"/>
      <c r="I34" s="207"/>
      <c r="J34" s="207"/>
      <c r="K34" s="207"/>
      <c r="L34" s="208"/>
    </row>
    <row r="35" spans="1:12" ht="75">
      <c r="A35" s="1" t="s">
        <v>123</v>
      </c>
      <c r="B35" s="61" t="s">
        <v>126</v>
      </c>
      <c r="C35" s="186">
        <v>0.3</v>
      </c>
      <c r="D35" s="187"/>
      <c r="E35" s="226">
        <v>4</v>
      </c>
      <c r="F35" s="227"/>
      <c r="G35" s="87">
        <f>+C35*E35</f>
        <v>1.2</v>
      </c>
      <c r="H35" s="188" t="s">
        <v>27</v>
      </c>
      <c r="I35" s="189"/>
      <c r="J35" s="189"/>
      <c r="K35" s="189"/>
      <c r="L35" s="190"/>
    </row>
    <row r="36" spans="1:12" ht="60">
      <c r="A36" s="1" t="s">
        <v>124</v>
      </c>
      <c r="B36" s="61" t="s">
        <v>127</v>
      </c>
      <c r="C36" s="186">
        <v>0.13</v>
      </c>
      <c r="D36" s="187"/>
      <c r="E36" s="226"/>
      <c r="F36" s="227"/>
      <c r="G36" s="87">
        <f aca="true" t="shared" si="0" ref="G36:G38">+C36*E36</f>
        <v>0</v>
      </c>
      <c r="H36" s="188" t="s">
        <v>27</v>
      </c>
      <c r="I36" s="189"/>
      <c r="J36" s="189"/>
      <c r="K36" s="189"/>
      <c r="L36" s="190"/>
    </row>
    <row r="37" spans="1:12" ht="75">
      <c r="A37" s="1" t="s">
        <v>125</v>
      </c>
      <c r="B37" s="61" t="s">
        <v>128</v>
      </c>
      <c r="C37" s="186">
        <v>0.2</v>
      </c>
      <c r="D37" s="187"/>
      <c r="E37" s="226"/>
      <c r="F37" s="227"/>
      <c r="G37" s="87">
        <f t="shared" si="0"/>
        <v>0</v>
      </c>
      <c r="H37" s="188" t="s">
        <v>27</v>
      </c>
      <c r="I37" s="189"/>
      <c r="J37" s="189"/>
      <c r="K37" s="189"/>
      <c r="L37" s="190"/>
    </row>
    <row r="38" spans="1:12" ht="75">
      <c r="A38" s="1" t="s">
        <v>130</v>
      </c>
      <c r="B38" s="61" t="s">
        <v>129</v>
      </c>
      <c r="C38" s="186">
        <v>0.125</v>
      </c>
      <c r="D38" s="187"/>
      <c r="E38" s="226">
        <v>12</v>
      </c>
      <c r="F38" s="227"/>
      <c r="G38" s="87">
        <f t="shared" si="0"/>
        <v>1.5</v>
      </c>
      <c r="H38" s="188" t="s">
        <v>27</v>
      </c>
      <c r="I38" s="189"/>
      <c r="J38" s="189"/>
      <c r="K38" s="189"/>
      <c r="L38" s="190"/>
    </row>
    <row r="39" spans="1:12" ht="15">
      <c r="A39" s="197" t="s">
        <v>131</v>
      </c>
      <c r="B39" s="199" t="s">
        <v>61</v>
      </c>
      <c r="C39" s="194" t="s">
        <v>111</v>
      </c>
      <c r="D39" s="196"/>
      <c r="E39" s="201" t="s">
        <v>81</v>
      </c>
      <c r="F39" s="202"/>
      <c r="G39" s="197" t="s">
        <v>77</v>
      </c>
      <c r="H39" s="203" t="s">
        <v>70</v>
      </c>
      <c r="I39" s="204"/>
      <c r="J39" s="204"/>
      <c r="K39" s="204"/>
      <c r="L39" s="205"/>
    </row>
    <row r="40" spans="1:12" ht="15">
      <c r="A40" s="198"/>
      <c r="B40" s="200"/>
      <c r="C40" s="194" t="s">
        <v>76</v>
      </c>
      <c r="D40" s="196"/>
      <c r="E40" s="201" t="s">
        <v>70</v>
      </c>
      <c r="F40" s="202"/>
      <c r="G40" s="198"/>
      <c r="H40" s="206"/>
      <c r="I40" s="207"/>
      <c r="J40" s="207"/>
      <c r="K40" s="207"/>
      <c r="L40" s="208"/>
    </row>
    <row r="41" spans="1:12" ht="60">
      <c r="A41" s="1" t="s">
        <v>132</v>
      </c>
      <c r="B41" s="90" t="s">
        <v>152</v>
      </c>
      <c r="C41" s="186">
        <v>2.8</v>
      </c>
      <c r="D41" s="187"/>
      <c r="E41" s="186">
        <f>SUM(E35:F38)</f>
        <v>16</v>
      </c>
      <c r="F41" s="187"/>
      <c r="G41" s="87">
        <f>C41*E41</f>
        <v>44.8</v>
      </c>
      <c r="H41" s="188" t="s">
        <v>3</v>
      </c>
      <c r="I41" s="189"/>
      <c r="J41" s="189"/>
      <c r="K41" s="189"/>
      <c r="L41" s="190"/>
    </row>
    <row r="42" spans="1:15" ht="15">
      <c r="A42" s="9" t="s">
        <v>85</v>
      </c>
      <c r="B42" s="212" t="s">
        <v>35</v>
      </c>
      <c r="C42" s="212"/>
      <c r="D42" s="212"/>
      <c r="E42" s="212"/>
      <c r="F42" s="212"/>
      <c r="G42" s="212"/>
      <c r="H42" s="212"/>
      <c r="I42" s="212"/>
      <c r="J42" s="212"/>
      <c r="K42" s="212"/>
      <c r="L42" s="212"/>
      <c r="O42" s="11"/>
    </row>
    <row r="43" spans="1:13" ht="30">
      <c r="A43" s="222" t="s">
        <v>65</v>
      </c>
      <c r="B43" s="223" t="s">
        <v>61</v>
      </c>
      <c r="C43" s="27" t="s">
        <v>84</v>
      </c>
      <c r="D43" s="27" t="s">
        <v>83</v>
      </c>
      <c r="E43" s="27" t="s">
        <v>82</v>
      </c>
      <c r="F43" s="27" t="s">
        <v>81</v>
      </c>
      <c r="G43" s="27" t="s">
        <v>80</v>
      </c>
      <c r="H43" s="59" t="s">
        <v>79</v>
      </c>
      <c r="I43" s="59" t="s">
        <v>78</v>
      </c>
      <c r="J43" s="248" t="s">
        <v>103</v>
      </c>
      <c r="K43" s="213" t="s">
        <v>77</v>
      </c>
      <c r="L43" s="213" t="s">
        <v>70</v>
      </c>
      <c r="M43" s="18"/>
    </row>
    <row r="44" spans="1:12" ht="15">
      <c r="A44" s="222"/>
      <c r="B44" s="223"/>
      <c r="C44" s="27" t="s">
        <v>76</v>
      </c>
      <c r="D44" s="27" t="s">
        <v>76</v>
      </c>
      <c r="E44" s="27" t="s">
        <v>76</v>
      </c>
      <c r="F44" s="27" t="s">
        <v>75</v>
      </c>
      <c r="G44" s="27" t="s">
        <v>74</v>
      </c>
      <c r="H44" s="27" t="s">
        <v>73</v>
      </c>
      <c r="I44" s="27" t="s">
        <v>72</v>
      </c>
      <c r="J44" s="248"/>
      <c r="K44" s="213"/>
      <c r="L44" s="213"/>
    </row>
    <row r="45" spans="1:12" ht="15">
      <c r="A45" s="191" t="s">
        <v>133</v>
      </c>
      <c r="B45" s="192"/>
      <c r="C45" s="192"/>
      <c r="D45" s="192"/>
      <c r="E45" s="192"/>
      <c r="F45" s="192"/>
      <c r="G45" s="192"/>
      <c r="H45" s="192"/>
      <c r="I45" s="192"/>
      <c r="J45" s="192"/>
      <c r="K45" s="192"/>
      <c r="L45" s="193"/>
    </row>
    <row r="46" spans="1:12" ht="60">
      <c r="A46" s="63" t="s">
        <v>34</v>
      </c>
      <c r="B46" s="61" t="s">
        <v>33</v>
      </c>
      <c r="C46" s="87">
        <v>0.14</v>
      </c>
      <c r="D46" s="85">
        <f>D9*2</f>
        <v>1440</v>
      </c>
      <c r="E46" s="87" t="s">
        <v>119</v>
      </c>
      <c r="F46" s="87" t="s">
        <v>119</v>
      </c>
      <c r="G46" s="87" t="s">
        <v>119</v>
      </c>
      <c r="H46" s="87" t="s">
        <v>119</v>
      </c>
      <c r="I46" s="94" t="s">
        <v>119</v>
      </c>
      <c r="J46" s="94" t="s">
        <v>119</v>
      </c>
      <c r="K46" s="87">
        <f>D46</f>
        <v>1440</v>
      </c>
      <c r="L46" s="1" t="s">
        <v>3</v>
      </c>
    </row>
    <row r="47" spans="1:12" ht="60">
      <c r="A47" s="63" t="s">
        <v>32</v>
      </c>
      <c r="B47" s="61" t="s">
        <v>31</v>
      </c>
      <c r="C47" s="87">
        <v>0.3</v>
      </c>
      <c r="D47" s="85">
        <f>D46</f>
        <v>1440</v>
      </c>
      <c r="E47" s="87" t="s">
        <v>119</v>
      </c>
      <c r="F47" s="87" t="s">
        <v>119</v>
      </c>
      <c r="G47" s="87" t="s">
        <v>119</v>
      </c>
      <c r="H47" s="87" t="s">
        <v>119</v>
      </c>
      <c r="I47" s="87" t="s">
        <v>119</v>
      </c>
      <c r="J47" s="87" t="s">
        <v>119</v>
      </c>
      <c r="K47" s="87">
        <f>D47</f>
        <v>1440</v>
      </c>
      <c r="L47" s="1" t="s">
        <v>3</v>
      </c>
    </row>
    <row r="48" spans="1:12" ht="195">
      <c r="A48" s="63" t="s">
        <v>30</v>
      </c>
      <c r="B48" s="61" t="s">
        <v>150</v>
      </c>
      <c r="C48" s="81">
        <f>C47+C46</f>
        <v>0.44</v>
      </c>
      <c r="D48" s="81">
        <f>D47</f>
        <v>1440</v>
      </c>
      <c r="E48" s="81">
        <v>0.15</v>
      </c>
      <c r="F48" s="87" t="s">
        <v>119</v>
      </c>
      <c r="G48" s="87" t="s">
        <v>119</v>
      </c>
      <c r="H48" s="87" t="s">
        <v>119</v>
      </c>
      <c r="I48" s="87" t="s">
        <v>119</v>
      </c>
      <c r="J48" s="87" t="s">
        <v>119</v>
      </c>
      <c r="K48" s="87">
        <f>C48*D48*E48</f>
        <v>95.04</v>
      </c>
      <c r="L48" s="1" t="s">
        <v>25</v>
      </c>
    </row>
    <row r="49" spans="1:12" ht="60">
      <c r="A49" s="63" t="s">
        <v>29</v>
      </c>
      <c r="B49" s="61" t="s">
        <v>28</v>
      </c>
      <c r="C49" s="81">
        <f>C48</f>
        <v>0.44</v>
      </c>
      <c r="D49" s="81">
        <f>D48</f>
        <v>1440</v>
      </c>
      <c r="E49" s="87" t="s">
        <v>119</v>
      </c>
      <c r="F49" s="87" t="s">
        <v>119</v>
      </c>
      <c r="G49" s="87" t="s">
        <v>119</v>
      </c>
      <c r="H49" s="87" t="s">
        <v>119</v>
      </c>
      <c r="I49" s="87" t="s">
        <v>119</v>
      </c>
      <c r="J49" s="87" t="s">
        <v>119</v>
      </c>
      <c r="K49" s="93">
        <f>C49*D49</f>
        <v>633.6</v>
      </c>
      <c r="L49" s="72" t="s">
        <v>27</v>
      </c>
    </row>
    <row r="50" spans="1:12" ht="60">
      <c r="A50" s="63" t="s">
        <v>26</v>
      </c>
      <c r="B50" s="61" t="s">
        <v>134</v>
      </c>
      <c r="C50" s="81"/>
      <c r="D50" s="81"/>
      <c r="E50" s="87"/>
      <c r="F50" s="87"/>
      <c r="G50" s="85">
        <v>8</v>
      </c>
      <c r="H50" s="87">
        <f>K48*J50</f>
        <v>118.80000000000001</v>
      </c>
      <c r="I50" s="87"/>
      <c r="J50" s="87">
        <v>1.25</v>
      </c>
      <c r="K50" s="93">
        <f>G50*H50</f>
        <v>950.4000000000001</v>
      </c>
      <c r="L50" s="72" t="s">
        <v>135</v>
      </c>
    </row>
    <row r="51" spans="1:12" ht="15">
      <c r="A51" s="194" t="s">
        <v>136</v>
      </c>
      <c r="B51" s="195"/>
      <c r="C51" s="195"/>
      <c r="D51" s="195"/>
      <c r="E51" s="195"/>
      <c r="F51" s="195"/>
      <c r="G51" s="195"/>
      <c r="H51" s="195"/>
      <c r="I51" s="195"/>
      <c r="J51" s="195"/>
      <c r="K51" s="195"/>
      <c r="L51" s="196"/>
    </row>
    <row r="52" spans="1:12" ht="45">
      <c r="A52" s="73" t="s">
        <v>24</v>
      </c>
      <c r="B52" s="91" t="s">
        <v>9</v>
      </c>
      <c r="C52" s="75" t="s">
        <v>119</v>
      </c>
      <c r="D52" s="84"/>
      <c r="E52" s="75" t="s">
        <v>119</v>
      </c>
      <c r="F52" s="75" t="s">
        <v>119</v>
      </c>
      <c r="G52" s="75" t="s">
        <v>119</v>
      </c>
      <c r="H52" s="75">
        <f>D52*I52</f>
        <v>0</v>
      </c>
      <c r="I52" s="75">
        <v>0.13</v>
      </c>
      <c r="J52" s="75"/>
      <c r="K52" s="75">
        <f>D52</f>
        <v>0</v>
      </c>
      <c r="L52" s="74" t="s">
        <v>3</v>
      </c>
    </row>
    <row r="53" spans="1:12" ht="225">
      <c r="A53" s="73" t="s">
        <v>21</v>
      </c>
      <c r="B53" s="91" t="s">
        <v>153</v>
      </c>
      <c r="C53" s="75">
        <v>0.9</v>
      </c>
      <c r="D53" s="75">
        <f>D52</f>
        <v>0</v>
      </c>
      <c r="E53" s="75">
        <v>1</v>
      </c>
      <c r="F53" s="75" t="s">
        <v>119</v>
      </c>
      <c r="G53" s="75" t="s">
        <v>119</v>
      </c>
      <c r="H53" s="75" t="s">
        <v>119</v>
      </c>
      <c r="I53" s="75" t="s">
        <v>119</v>
      </c>
      <c r="J53" s="75" t="s">
        <v>119</v>
      </c>
      <c r="K53" s="75">
        <f>C53*D53*E53</f>
        <v>0</v>
      </c>
      <c r="L53" s="74" t="s">
        <v>25</v>
      </c>
    </row>
    <row r="54" spans="1:12" ht="75">
      <c r="A54" s="73" t="s">
        <v>18</v>
      </c>
      <c r="B54" s="91" t="s">
        <v>157</v>
      </c>
      <c r="C54" s="75">
        <v>0.9</v>
      </c>
      <c r="D54" s="75">
        <f>D52</f>
        <v>0</v>
      </c>
      <c r="E54" s="75" t="s">
        <v>119</v>
      </c>
      <c r="F54" s="75" t="s">
        <v>119</v>
      </c>
      <c r="G54" s="75" t="s">
        <v>119</v>
      </c>
      <c r="H54" s="75" t="s">
        <v>119</v>
      </c>
      <c r="I54" s="75" t="s">
        <v>119</v>
      </c>
      <c r="J54" s="75" t="s">
        <v>119</v>
      </c>
      <c r="K54" s="75">
        <f>C54*D54</f>
        <v>0</v>
      </c>
      <c r="L54" s="74" t="s">
        <v>25</v>
      </c>
    </row>
    <row r="55" spans="1:12" ht="105">
      <c r="A55" s="63" t="s">
        <v>16</v>
      </c>
      <c r="B55" s="91" t="s">
        <v>158</v>
      </c>
      <c r="C55" s="81">
        <v>0.9</v>
      </c>
      <c r="D55" s="81">
        <f>D53</f>
        <v>0</v>
      </c>
      <c r="E55" s="81">
        <f>E53</f>
        <v>1</v>
      </c>
      <c r="F55" s="87" t="s">
        <v>119</v>
      </c>
      <c r="G55" s="87" t="s">
        <v>119</v>
      </c>
      <c r="H55" s="87" t="s">
        <v>119</v>
      </c>
      <c r="I55" s="87" t="s">
        <v>119</v>
      </c>
      <c r="J55" s="87" t="s">
        <v>119</v>
      </c>
      <c r="K55" s="93">
        <f>K53-H52</f>
        <v>0</v>
      </c>
      <c r="L55" s="72" t="s">
        <v>25</v>
      </c>
    </row>
    <row r="56" spans="1:12" ht="120">
      <c r="A56" s="63" t="s">
        <v>13</v>
      </c>
      <c r="B56" s="91" t="s">
        <v>159</v>
      </c>
      <c r="C56" s="81" t="s">
        <v>119</v>
      </c>
      <c r="D56" s="81">
        <f>D52</f>
        <v>0</v>
      </c>
      <c r="E56" s="81" t="s">
        <v>119</v>
      </c>
      <c r="F56" s="87" t="s">
        <v>119</v>
      </c>
      <c r="G56" s="87" t="s">
        <v>119</v>
      </c>
      <c r="H56" s="87" t="s">
        <v>119</v>
      </c>
      <c r="I56" s="87" t="s">
        <v>119</v>
      </c>
      <c r="J56" s="87" t="s">
        <v>119</v>
      </c>
      <c r="K56" s="93">
        <f>D56</f>
        <v>0</v>
      </c>
      <c r="L56" s="72" t="s">
        <v>3</v>
      </c>
    </row>
    <row r="57" spans="1:12" ht="60">
      <c r="A57" s="63" t="s">
        <v>11</v>
      </c>
      <c r="B57" s="62" t="s">
        <v>160</v>
      </c>
      <c r="C57" s="87" t="s">
        <v>119</v>
      </c>
      <c r="D57" s="87" t="s">
        <v>119</v>
      </c>
      <c r="E57" s="87" t="s">
        <v>119</v>
      </c>
      <c r="F57" s="87" t="s">
        <v>119</v>
      </c>
      <c r="G57" s="85"/>
      <c r="H57" s="87">
        <f>H52</f>
        <v>0</v>
      </c>
      <c r="I57" s="87" t="s">
        <v>119</v>
      </c>
      <c r="J57" s="87">
        <v>1.25</v>
      </c>
      <c r="K57" s="87">
        <f>G57*H57*J57</f>
        <v>0</v>
      </c>
      <c r="L57" s="1" t="s">
        <v>71</v>
      </c>
    </row>
    <row r="58" spans="1:12" ht="45">
      <c r="A58" s="63" t="s">
        <v>8</v>
      </c>
      <c r="B58" s="61" t="s">
        <v>12</v>
      </c>
      <c r="C58" s="87" t="s">
        <v>119</v>
      </c>
      <c r="D58" s="85"/>
      <c r="E58" s="87" t="s">
        <v>119</v>
      </c>
      <c r="F58" s="87" t="s">
        <v>119</v>
      </c>
      <c r="G58" s="95" t="s">
        <v>119</v>
      </c>
      <c r="H58" s="87">
        <f>D58*I58</f>
        <v>0</v>
      </c>
      <c r="I58" s="87">
        <f>3.14*((0.3)^2)</f>
        <v>0.2826</v>
      </c>
      <c r="J58" s="87" t="s">
        <v>119</v>
      </c>
      <c r="K58" s="87">
        <f>D58</f>
        <v>0</v>
      </c>
      <c r="L58" s="1" t="s">
        <v>3</v>
      </c>
    </row>
    <row r="59" spans="1:12" ht="225">
      <c r="A59" s="63" t="s">
        <v>7</v>
      </c>
      <c r="B59" s="91" t="s">
        <v>154</v>
      </c>
      <c r="C59" s="87">
        <v>1.15</v>
      </c>
      <c r="D59" s="81">
        <f>D58</f>
        <v>0</v>
      </c>
      <c r="E59" s="87">
        <f>0.6+0.6</f>
        <v>1.2</v>
      </c>
      <c r="F59" s="87" t="s">
        <v>119</v>
      </c>
      <c r="G59" s="95" t="s">
        <v>119</v>
      </c>
      <c r="H59" s="87" t="s">
        <v>119</v>
      </c>
      <c r="I59" s="87" t="s">
        <v>119</v>
      </c>
      <c r="J59" s="87" t="s">
        <v>119</v>
      </c>
      <c r="K59" s="87">
        <f>C59*D59*E59</f>
        <v>0</v>
      </c>
      <c r="L59" s="1" t="s">
        <v>25</v>
      </c>
    </row>
    <row r="60" spans="1:12" ht="75">
      <c r="A60" s="63" t="s">
        <v>137</v>
      </c>
      <c r="B60" s="91" t="s">
        <v>161</v>
      </c>
      <c r="C60" s="87">
        <f>C59</f>
        <v>1.15</v>
      </c>
      <c r="D60" s="81">
        <f>D58</f>
        <v>0</v>
      </c>
      <c r="E60" s="87" t="s">
        <v>119</v>
      </c>
      <c r="F60" s="87" t="s">
        <v>119</v>
      </c>
      <c r="G60" s="95" t="s">
        <v>119</v>
      </c>
      <c r="H60" s="87" t="s">
        <v>119</v>
      </c>
      <c r="I60" s="87" t="s">
        <v>119</v>
      </c>
      <c r="J60" s="87" t="s">
        <v>119</v>
      </c>
      <c r="K60" s="87">
        <f>C60*D60</f>
        <v>0</v>
      </c>
      <c r="L60" s="1" t="s">
        <v>27</v>
      </c>
    </row>
    <row r="61" spans="1:12" ht="120">
      <c r="A61" s="63" t="s">
        <v>138</v>
      </c>
      <c r="B61" s="91" t="s">
        <v>162</v>
      </c>
      <c r="C61" s="87">
        <f>C59</f>
        <v>1.15</v>
      </c>
      <c r="D61" s="81">
        <f>D58</f>
        <v>0</v>
      </c>
      <c r="E61" s="87">
        <f>E59</f>
        <v>1.2</v>
      </c>
      <c r="F61" s="87" t="s">
        <v>119</v>
      </c>
      <c r="G61" s="95" t="s">
        <v>119</v>
      </c>
      <c r="H61" s="87" t="s">
        <v>119</v>
      </c>
      <c r="I61" s="87" t="s">
        <v>119</v>
      </c>
      <c r="J61" s="87" t="s">
        <v>119</v>
      </c>
      <c r="K61" s="87">
        <f>(K59)-(H58)</f>
        <v>0</v>
      </c>
      <c r="L61" s="1" t="s">
        <v>25</v>
      </c>
    </row>
    <row r="62" spans="1:12" ht="120">
      <c r="A62" s="63" t="s">
        <v>139</v>
      </c>
      <c r="B62" s="91" t="s">
        <v>163</v>
      </c>
      <c r="C62" s="87" t="s">
        <v>119</v>
      </c>
      <c r="D62" s="81">
        <f>D58</f>
        <v>0</v>
      </c>
      <c r="E62" s="87" t="s">
        <v>119</v>
      </c>
      <c r="F62" s="87" t="s">
        <v>119</v>
      </c>
      <c r="G62" s="95" t="s">
        <v>119</v>
      </c>
      <c r="H62" s="87" t="s">
        <v>119</v>
      </c>
      <c r="I62" s="87" t="s">
        <v>119</v>
      </c>
      <c r="J62" s="87" t="s">
        <v>119</v>
      </c>
      <c r="K62" s="87">
        <f>D62</f>
        <v>0</v>
      </c>
      <c r="L62" s="1" t="s">
        <v>3</v>
      </c>
    </row>
    <row r="63" spans="1:12" ht="60">
      <c r="A63" s="63" t="s">
        <v>140</v>
      </c>
      <c r="B63" s="62" t="s">
        <v>164</v>
      </c>
      <c r="C63" s="87" t="s">
        <v>119</v>
      </c>
      <c r="D63" s="81" t="s">
        <v>119</v>
      </c>
      <c r="E63" s="87" t="s">
        <v>119</v>
      </c>
      <c r="F63" s="87" t="s">
        <v>119</v>
      </c>
      <c r="G63" s="85"/>
      <c r="H63" s="87">
        <f>H58</f>
        <v>0</v>
      </c>
      <c r="I63" s="87" t="s">
        <v>119</v>
      </c>
      <c r="J63" s="87">
        <v>1.25</v>
      </c>
      <c r="K63" s="87">
        <f>G63*H63*J63</f>
        <v>0</v>
      </c>
      <c r="L63" s="1" t="s">
        <v>135</v>
      </c>
    </row>
    <row r="64" spans="1:12" ht="90">
      <c r="A64" s="63" t="s">
        <v>141</v>
      </c>
      <c r="B64" s="61" t="s">
        <v>19</v>
      </c>
      <c r="C64" s="87" t="s">
        <v>119</v>
      </c>
      <c r="D64" s="87" t="s">
        <v>119</v>
      </c>
      <c r="E64" s="87" t="s">
        <v>119</v>
      </c>
      <c r="F64" s="85"/>
      <c r="G64" s="87" t="s">
        <v>119</v>
      </c>
      <c r="H64" s="87" t="s">
        <v>119</v>
      </c>
      <c r="I64" s="87" t="s">
        <v>119</v>
      </c>
      <c r="J64" s="87" t="s">
        <v>119</v>
      </c>
      <c r="K64" s="87">
        <f>F64</f>
        <v>0</v>
      </c>
      <c r="L64" s="1" t="s">
        <v>70</v>
      </c>
    </row>
    <row r="65" spans="1:12" ht="90">
      <c r="A65" s="63" t="s">
        <v>142</v>
      </c>
      <c r="B65" s="61" t="s">
        <v>17</v>
      </c>
      <c r="C65" s="87" t="s">
        <v>119</v>
      </c>
      <c r="D65" s="87" t="s">
        <v>119</v>
      </c>
      <c r="E65" s="87" t="s">
        <v>119</v>
      </c>
      <c r="F65" s="85"/>
      <c r="G65" s="87" t="s">
        <v>119</v>
      </c>
      <c r="H65" s="87" t="s">
        <v>119</v>
      </c>
      <c r="I65" s="87" t="s">
        <v>119</v>
      </c>
      <c r="J65" s="87" t="s">
        <v>119</v>
      </c>
      <c r="K65" s="87">
        <f>F65</f>
        <v>0</v>
      </c>
      <c r="L65" s="1" t="s">
        <v>70</v>
      </c>
    </row>
    <row r="66" spans="1:12" ht="60">
      <c r="A66" s="63" t="s">
        <v>143</v>
      </c>
      <c r="B66" s="61" t="s">
        <v>15</v>
      </c>
      <c r="C66" s="87" t="s">
        <v>119</v>
      </c>
      <c r="D66" s="87" t="s">
        <v>119</v>
      </c>
      <c r="E66" s="87" t="s">
        <v>119</v>
      </c>
      <c r="F66" s="81">
        <f>F65</f>
        <v>0</v>
      </c>
      <c r="G66" s="87" t="s">
        <v>119</v>
      </c>
      <c r="H66" s="87" t="s">
        <v>119</v>
      </c>
      <c r="I66" s="87" t="s">
        <v>119</v>
      </c>
      <c r="J66" s="87" t="s">
        <v>119</v>
      </c>
      <c r="K66" s="87">
        <f>F66</f>
        <v>0</v>
      </c>
      <c r="L66" s="1" t="s">
        <v>70</v>
      </c>
    </row>
  </sheetData>
  <sheetProtection algorithmName="SHA-512" hashValue="LejAUfWZ0Is8KubHV9a4DHjc9bVx3GWQKg/1PgDwMg03CHIE7Oya25w79JjtjRYa5sbliPMhA66ydzWtcxtMAA==" saltValue="R0dEkUro3Mh5Kw5eW61VCQ==" spinCount="100000" sheet="1" objects="1" scenarios="1"/>
  <mergeCells count="87">
    <mergeCell ref="B23:L23"/>
    <mergeCell ref="J43:J44"/>
    <mergeCell ref="J7:L8"/>
    <mergeCell ref="J9:L9"/>
    <mergeCell ref="J10:L10"/>
    <mergeCell ref="J11:L11"/>
    <mergeCell ref="J12:L12"/>
    <mergeCell ref="K43:K44"/>
    <mergeCell ref="I16:L16"/>
    <mergeCell ref="I17:L17"/>
    <mergeCell ref="I18:L18"/>
    <mergeCell ref="I19:L19"/>
    <mergeCell ref="I22:L22"/>
    <mergeCell ref="E26:F26"/>
    <mergeCell ref="C26:D26"/>
    <mergeCell ref="E25:F25"/>
    <mergeCell ref="A1:L1"/>
    <mergeCell ref="A2:L2"/>
    <mergeCell ref="A3:L3"/>
    <mergeCell ref="A5:L5"/>
    <mergeCell ref="A14:A15"/>
    <mergeCell ref="B14:B15"/>
    <mergeCell ref="B13:L13"/>
    <mergeCell ref="B6:L6"/>
    <mergeCell ref="A7:A8"/>
    <mergeCell ref="B7:B8"/>
    <mergeCell ref="I7:I8"/>
    <mergeCell ref="H14:H15"/>
    <mergeCell ref="I14:L15"/>
    <mergeCell ref="A43:A44"/>
    <mergeCell ref="B43:B44"/>
    <mergeCell ref="A28:A29"/>
    <mergeCell ref="B28:B29"/>
    <mergeCell ref="B42:L42"/>
    <mergeCell ref="L43:L44"/>
    <mergeCell ref="H28:L29"/>
    <mergeCell ref="H31:L31"/>
    <mergeCell ref="H32:L32"/>
    <mergeCell ref="H33:L34"/>
    <mergeCell ref="E35:F35"/>
    <mergeCell ref="E36:F36"/>
    <mergeCell ref="E37:F37"/>
    <mergeCell ref="E38:F38"/>
    <mergeCell ref="H35:L35"/>
    <mergeCell ref="H36:L36"/>
    <mergeCell ref="A24:A25"/>
    <mergeCell ref="B24:B25"/>
    <mergeCell ref="C24:D24"/>
    <mergeCell ref="C25:D25"/>
    <mergeCell ref="G33:G34"/>
    <mergeCell ref="C33:D33"/>
    <mergeCell ref="E33:F33"/>
    <mergeCell ref="A33:A34"/>
    <mergeCell ref="B33:B34"/>
    <mergeCell ref="C34:D34"/>
    <mergeCell ref="E34:F34"/>
    <mergeCell ref="A20:A21"/>
    <mergeCell ref="B20:B21"/>
    <mergeCell ref="G20:H21"/>
    <mergeCell ref="I20:L21"/>
    <mergeCell ref="G22:H22"/>
    <mergeCell ref="E40:F40"/>
    <mergeCell ref="G39:G40"/>
    <mergeCell ref="H39:L40"/>
    <mergeCell ref="J24:L25"/>
    <mergeCell ref="J26:L26"/>
    <mergeCell ref="H30:L30"/>
    <mergeCell ref="B27:L27"/>
    <mergeCell ref="E24:F24"/>
    <mergeCell ref="G28:G29"/>
    <mergeCell ref="I24:I25"/>
    <mergeCell ref="E41:F41"/>
    <mergeCell ref="H41:L41"/>
    <mergeCell ref="A45:L45"/>
    <mergeCell ref="A51:L51"/>
    <mergeCell ref="C35:D35"/>
    <mergeCell ref="C36:D36"/>
    <mergeCell ref="C37:D37"/>
    <mergeCell ref="C38:D38"/>
    <mergeCell ref="C41:D41"/>
    <mergeCell ref="H37:L37"/>
    <mergeCell ref="H38:L38"/>
    <mergeCell ref="A39:A40"/>
    <mergeCell ref="B39:B40"/>
    <mergeCell ref="C39:D39"/>
    <mergeCell ref="C40:D40"/>
    <mergeCell ref="E39:F39"/>
  </mergeCells>
  <dataValidations count="1">
    <dataValidation type="decimal" allowBlank="1" showInputMessage="1" showErrorMessage="1" sqref="E10">
      <formula1>0.1</formula1>
      <formula2>0.15</formula2>
    </dataValidation>
  </dataValidations>
  <hyperlinks>
    <hyperlink ref="L49" r:id="rId1" display="m@"/>
  </hyperlinks>
  <printOptions/>
  <pageMargins left="0.5118110236220472" right="0.5118110236220472" top="1.3779527559055118" bottom="0.7874015748031497" header="0.31496062992125984" footer="0.31496062992125984"/>
  <pageSetup horizontalDpi="600" verticalDpi="600" orientation="portrait" paperSize="9" scale="51" r:id="rId5"/>
  <headerFooter>
    <oddHeader>&amp;C&amp;G&amp;R&amp;G</oddHeader>
    <oddFooter>&amp;C&amp;G&amp;R&amp;G</oddFooter>
  </headerFooter>
  <rowBreaks count="1" manualBreakCount="1">
    <brk id="32" max="16383" man="1"/>
  </rowBreaks>
  <legacyDrawing r:id="rId3"/>
  <legacyDrawingHF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5"/>
  <sheetViews>
    <sheetView view="pageBreakPreview" zoomScale="60" workbookViewId="0" topLeftCell="A1">
      <selection activeCell="G43" sqref="G43"/>
    </sheetView>
  </sheetViews>
  <sheetFormatPr defaultColWidth="9.140625" defaultRowHeight="15"/>
  <cols>
    <col min="2" max="2" width="11.28125" style="0" customWidth="1"/>
    <col min="3" max="3" width="11.8515625" style="0" customWidth="1"/>
    <col min="4" max="4" width="17.140625" style="0" customWidth="1"/>
    <col min="5" max="5" width="45.7109375" style="0" customWidth="1"/>
    <col min="7" max="7" width="19.00390625" style="0" customWidth="1"/>
    <col min="8" max="8" width="18.140625" style="0" customWidth="1"/>
    <col min="9" max="9" width="15.00390625" style="0" customWidth="1"/>
    <col min="10" max="10" width="21.421875" style="0" customWidth="1"/>
    <col min="11" max="11" width="22.28125" style="0" customWidth="1"/>
  </cols>
  <sheetData>
    <row r="1" spans="1:11" ht="15">
      <c r="A1" s="116"/>
      <c r="B1" s="116"/>
      <c r="C1" s="116"/>
      <c r="D1" s="116"/>
      <c r="E1" s="116"/>
      <c r="F1" s="116"/>
      <c r="G1" s="116"/>
      <c r="H1" s="116"/>
      <c r="I1" s="116"/>
      <c r="J1" s="116"/>
      <c r="K1" s="116"/>
    </row>
    <row r="2" spans="1:11" ht="15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</row>
    <row r="3" spans="1:11" ht="15">
      <c r="A3" s="116"/>
      <c r="B3" s="116"/>
      <c r="C3" s="116"/>
      <c r="D3" s="116"/>
      <c r="E3" s="116"/>
      <c r="F3" s="116"/>
      <c r="G3" s="116"/>
      <c r="H3" s="116"/>
      <c r="I3" s="116"/>
      <c r="J3" s="116"/>
      <c r="K3" s="116"/>
    </row>
    <row r="4" spans="1:11" ht="15">
      <c r="A4" s="116"/>
      <c r="B4" s="116"/>
      <c r="C4" s="116"/>
      <c r="D4" s="116"/>
      <c r="E4" s="116"/>
      <c r="F4" s="116"/>
      <c r="G4" s="116"/>
      <c r="H4" s="116"/>
      <c r="I4" s="116"/>
      <c r="J4" s="116"/>
      <c r="K4" s="116"/>
    </row>
    <row r="5" spans="1:11" ht="15">
      <c r="A5" s="116"/>
      <c r="B5" s="116"/>
      <c r="C5" s="116"/>
      <c r="D5" s="116"/>
      <c r="E5" s="116"/>
      <c r="F5" s="116"/>
      <c r="G5" s="116"/>
      <c r="H5" s="116"/>
      <c r="I5" s="116"/>
      <c r="J5" s="116"/>
      <c r="K5" s="116"/>
    </row>
    <row r="6" spans="1:11" ht="15">
      <c r="A6" s="116"/>
      <c r="B6" s="116"/>
      <c r="C6" s="116"/>
      <c r="D6" s="116"/>
      <c r="E6" s="116"/>
      <c r="F6" s="116"/>
      <c r="G6" s="116"/>
      <c r="H6" s="116"/>
      <c r="I6" s="116"/>
      <c r="J6" s="116"/>
      <c r="K6" s="116"/>
    </row>
    <row r="7" spans="1:11" ht="15">
      <c r="A7" s="116"/>
      <c r="B7" s="116"/>
      <c r="C7" s="116"/>
      <c r="D7" s="116"/>
      <c r="E7" s="116"/>
      <c r="F7" s="116"/>
      <c r="G7" s="116"/>
      <c r="H7" s="116"/>
      <c r="I7" s="116"/>
      <c r="J7" s="116"/>
      <c r="K7" s="116"/>
    </row>
    <row r="8" spans="1:11" ht="18.75">
      <c r="A8" s="259" t="s">
        <v>69</v>
      </c>
      <c r="B8" s="260"/>
      <c r="C8" s="260"/>
      <c r="D8" s="260"/>
      <c r="E8" s="260"/>
      <c r="F8" s="260"/>
      <c r="G8" s="260"/>
      <c r="H8" s="260"/>
      <c r="I8" s="260"/>
      <c r="J8" s="260"/>
      <c r="K8" s="261"/>
    </row>
    <row r="9" spans="1:11" ht="18.75">
      <c r="A9" s="262" t="s">
        <v>187</v>
      </c>
      <c r="B9" s="263"/>
      <c r="C9" s="263"/>
      <c r="D9" s="263"/>
      <c r="E9" s="263"/>
      <c r="F9" s="263"/>
      <c r="G9" s="263"/>
      <c r="H9" s="263"/>
      <c r="I9" s="263"/>
      <c r="J9" s="263"/>
      <c r="K9" s="264"/>
    </row>
    <row r="10" spans="1:11" ht="18.75">
      <c r="A10" s="265" t="s">
        <v>68</v>
      </c>
      <c r="B10" s="266"/>
      <c r="C10" s="266"/>
      <c r="D10" s="266"/>
      <c r="E10" s="266"/>
      <c r="F10" s="266"/>
      <c r="G10" s="266"/>
      <c r="H10" s="266"/>
      <c r="I10" s="266"/>
      <c r="J10" s="266"/>
      <c r="K10" s="267"/>
    </row>
    <row r="11" spans="1:11" ht="18.75">
      <c r="A11" s="117"/>
      <c r="B11" s="118"/>
      <c r="C11" s="118"/>
      <c r="D11" s="118"/>
      <c r="E11" s="118"/>
      <c r="F11" s="118"/>
      <c r="G11" s="118"/>
      <c r="H11" s="118"/>
      <c r="I11" s="268" t="s">
        <v>67</v>
      </c>
      <c r="J11" s="268"/>
      <c r="K11" s="119">
        <v>14.02</v>
      </c>
    </row>
    <row r="12" spans="1:11" ht="15">
      <c r="A12" s="120" t="s">
        <v>186</v>
      </c>
      <c r="B12" s="121"/>
      <c r="C12" s="121"/>
      <c r="D12" s="121"/>
      <c r="E12" s="121"/>
      <c r="F12" s="121"/>
      <c r="G12" s="121"/>
      <c r="H12" s="122"/>
      <c r="I12" s="268" t="s">
        <v>66</v>
      </c>
      <c r="J12" s="268"/>
      <c r="K12" s="119">
        <v>20.97</v>
      </c>
    </row>
    <row r="13" spans="1:11" ht="15">
      <c r="A13" s="120"/>
      <c r="B13" s="121"/>
      <c r="C13" s="121"/>
      <c r="D13" s="121"/>
      <c r="E13" s="121"/>
      <c r="F13" s="121"/>
      <c r="G13" s="121"/>
      <c r="H13" s="122"/>
      <c r="I13" s="122"/>
      <c r="J13" s="123"/>
      <c r="K13" s="124"/>
    </row>
    <row r="14" spans="1:11" ht="18.75">
      <c r="A14" s="269" t="s">
        <v>203</v>
      </c>
      <c r="B14" s="270"/>
      <c r="C14" s="270"/>
      <c r="D14" s="270"/>
      <c r="E14" s="270"/>
      <c r="F14" s="270"/>
      <c r="G14" s="270"/>
      <c r="H14" s="270"/>
      <c r="I14" s="270"/>
      <c r="J14" s="270"/>
      <c r="K14" s="271"/>
    </row>
    <row r="15" spans="1:11" ht="35.25" customHeight="1">
      <c r="A15" s="125" t="s">
        <v>65</v>
      </c>
      <c r="B15" s="125" t="s">
        <v>64</v>
      </c>
      <c r="C15" s="125" t="s">
        <v>63</v>
      </c>
      <c r="D15" s="126" t="s">
        <v>62</v>
      </c>
      <c r="E15" s="125" t="s">
        <v>61</v>
      </c>
      <c r="F15" s="125" t="s">
        <v>60</v>
      </c>
      <c r="G15" s="126" t="s">
        <v>59</v>
      </c>
      <c r="H15" s="126" t="s">
        <v>105</v>
      </c>
      <c r="I15" s="126" t="s">
        <v>58</v>
      </c>
      <c r="J15" s="127" t="s">
        <v>57</v>
      </c>
      <c r="K15" s="127" t="s">
        <v>56</v>
      </c>
    </row>
    <row r="16" spans="1:11" ht="28.5" customHeight="1">
      <c r="A16" s="128">
        <v>1</v>
      </c>
      <c r="B16" s="129"/>
      <c r="C16" s="129"/>
      <c r="D16" s="129"/>
      <c r="E16" s="130" t="s">
        <v>167</v>
      </c>
      <c r="F16" s="131"/>
      <c r="G16" s="131"/>
      <c r="H16" s="132"/>
      <c r="I16" s="132"/>
      <c r="J16" s="133"/>
      <c r="K16" s="133"/>
    </row>
    <row r="17" spans="1:11" ht="15">
      <c r="A17" s="134" t="s">
        <v>54</v>
      </c>
      <c r="B17" s="135">
        <v>11340</v>
      </c>
      <c r="C17" s="135" t="s">
        <v>183</v>
      </c>
      <c r="D17" s="135" t="s">
        <v>5</v>
      </c>
      <c r="E17" s="136" t="s">
        <v>168</v>
      </c>
      <c r="F17" s="134" t="s">
        <v>27</v>
      </c>
      <c r="G17" s="137">
        <v>64</v>
      </c>
      <c r="H17" s="138">
        <v>157.77</v>
      </c>
      <c r="I17" s="138">
        <f>IF(D17="S",($K$12/100)*H17,($K$11/100)*H17)+H17</f>
        <v>190.85436900000002</v>
      </c>
      <c r="J17" s="138">
        <f>G17*H17</f>
        <v>10097.28</v>
      </c>
      <c r="K17" s="138">
        <f>I17*G17</f>
        <v>12214.679616000001</v>
      </c>
    </row>
    <row r="18" spans="1:11" ht="25.5" customHeight="1">
      <c r="A18" s="134" t="s">
        <v>52</v>
      </c>
      <c r="B18" s="139">
        <v>10767</v>
      </c>
      <c r="C18" s="135" t="s">
        <v>183</v>
      </c>
      <c r="D18" s="135" t="s">
        <v>5</v>
      </c>
      <c r="E18" s="136" t="s">
        <v>169</v>
      </c>
      <c r="F18" s="134" t="s">
        <v>27</v>
      </c>
      <c r="G18" s="137">
        <v>164</v>
      </c>
      <c r="H18" s="138">
        <v>385.88</v>
      </c>
      <c r="I18" s="138">
        <f aca="true" t="shared" si="0" ref="I18:I19">IF(D18="S",($K$12/100)*H18,($K$11/100)*H18)+H18</f>
        <v>466.799036</v>
      </c>
      <c r="J18" s="138">
        <f aca="true" t="shared" si="1" ref="J18:J19">G18*H18</f>
        <v>63284.32</v>
      </c>
      <c r="K18" s="138">
        <f aca="true" t="shared" si="2" ref="K18:K19">I18*G18</f>
        <v>76555.041904</v>
      </c>
    </row>
    <row r="19" spans="1:11" ht="40.5" customHeight="1">
      <c r="A19" s="134" t="s">
        <v>94</v>
      </c>
      <c r="B19" s="139" t="s">
        <v>119</v>
      </c>
      <c r="C19" s="135" t="s">
        <v>192</v>
      </c>
      <c r="D19" s="135" t="s">
        <v>5</v>
      </c>
      <c r="E19" s="136" t="s">
        <v>170</v>
      </c>
      <c r="F19" s="134" t="s">
        <v>14</v>
      </c>
      <c r="G19" s="137">
        <v>1</v>
      </c>
      <c r="H19" s="138">
        <v>37694.3</v>
      </c>
      <c r="I19" s="138">
        <f t="shared" si="0"/>
        <v>45598.79471</v>
      </c>
      <c r="J19" s="138">
        <f t="shared" si="1"/>
        <v>37694.3</v>
      </c>
      <c r="K19" s="138">
        <f t="shared" si="2"/>
        <v>45598.79471</v>
      </c>
    </row>
    <row r="20" spans="1:11" ht="15">
      <c r="A20" s="253" t="s">
        <v>2</v>
      </c>
      <c r="B20" s="254"/>
      <c r="C20" s="254"/>
      <c r="D20" s="254"/>
      <c r="E20" s="254"/>
      <c r="F20" s="254"/>
      <c r="G20" s="254"/>
      <c r="H20" s="254"/>
      <c r="I20" s="255"/>
      <c r="J20" s="140">
        <f>SUM(J17:J19)</f>
        <v>111075.90000000001</v>
      </c>
      <c r="K20" s="140">
        <f>SUM(K17:K19)</f>
        <v>134368.51623</v>
      </c>
    </row>
    <row r="21" spans="1:11" ht="25.5" customHeight="1">
      <c r="A21" s="128">
        <v>2</v>
      </c>
      <c r="B21" s="129"/>
      <c r="C21" s="129"/>
      <c r="D21" s="129"/>
      <c r="E21" s="130" t="s">
        <v>171</v>
      </c>
      <c r="F21" s="131"/>
      <c r="G21" s="131"/>
      <c r="H21" s="132"/>
      <c r="I21" s="132"/>
      <c r="J21" s="133"/>
      <c r="K21" s="133"/>
    </row>
    <row r="22" spans="1:11" ht="22.5" customHeight="1">
      <c r="A22" s="141" t="s">
        <v>49</v>
      </c>
      <c r="B22" s="142" t="s">
        <v>193</v>
      </c>
      <c r="C22" s="142" t="s">
        <v>194</v>
      </c>
      <c r="D22" s="142" t="s">
        <v>5</v>
      </c>
      <c r="E22" s="143" t="s">
        <v>172</v>
      </c>
      <c r="F22" s="141" t="s">
        <v>27</v>
      </c>
      <c r="G22" s="144">
        <v>136200</v>
      </c>
      <c r="H22" s="145">
        <v>0.52</v>
      </c>
      <c r="I22" s="138">
        <f>IF(D22="S",($K$12/100)*H22,($K$11/100)*H22)+H22</f>
        <v>0.629044</v>
      </c>
      <c r="J22" s="145">
        <f>G22*H22</f>
        <v>70824</v>
      </c>
      <c r="K22" s="138">
        <f>I22*G22</f>
        <v>85675.79280000001</v>
      </c>
    </row>
    <row r="23" spans="1:11" ht="24.75" customHeight="1">
      <c r="A23" s="141" t="s">
        <v>48</v>
      </c>
      <c r="B23" s="142" t="s">
        <v>119</v>
      </c>
      <c r="C23" s="142" t="s">
        <v>192</v>
      </c>
      <c r="D23" s="142" t="s">
        <v>5</v>
      </c>
      <c r="E23" s="146" t="s">
        <v>173</v>
      </c>
      <c r="F23" s="141" t="s">
        <v>3</v>
      </c>
      <c r="G23" s="144">
        <v>45400</v>
      </c>
      <c r="H23" s="145">
        <v>0.12</v>
      </c>
      <c r="I23" s="138">
        <f aca="true" t="shared" si="3" ref="I23:I25">IF(D23="S",($K$12/100)*H23,($K$11/100)*H23)+H23</f>
        <v>0.145164</v>
      </c>
      <c r="J23" s="145">
        <f>G23*H23</f>
        <v>5448</v>
      </c>
      <c r="K23" s="138">
        <f>I23*G23</f>
        <v>6590.445599999999</v>
      </c>
    </row>
    <row r="24" spans="1:11" ht="33" customHeight="1">
      <c r="A24" s="141" t="s">
        <v>47</v>
      </c>
      <c r="B24" s="142">
        <v>94316</v>
      </c>
      <c r="C24" s="135" t="s">
        <v>6</v>
      </c>
      <c r="D24" s="142" t="s">
        <v>10</v>
      </c>
      <c r="E24" s="143" t="s">
        <v>204</v>
      </c>
      <c r="F24" s="141" t="s">
        <v>25</v>
      </c>
      <c r="G24" s="144">
        <v>900</v>
      </c>
      <c r="H24" s="145">
        <v>25.29</v>
      </c>
      <c r="I24" s="138">
        <f t="shared" si="3"/>
        <v>28.835658</v>
      </c>
      <c r="J24" s="145">
        <f>G24*H24</f>
        <v>22761</v>
      </c>
      <c r="K24" s="138">
        <f>I24*G24</f>
        <v>25952.0922</v>
      </c>
    </row>
    <row r="25" spans="1:11" ht="36.75" customHeight="1">
      <c r="A25" s="141" t="s">
        <v>45</v>
      </c>
      <c r="B25" s="135" t="s">
        <v>197</v>
      </c>
      <c r="C25" s="142" t="s">
        <v>196</v>
      </c>
      <c r="D25" s="142" t="s">
        <v>10</v>
      </c>
      <c r="E25" s="136" t="s">
        <v>205</v>
      </c>
      <c r="F25" s="141" t="s">
        <v>182</v>
      </c>
      <c r="G25" s="144">
        <v>73710</v>
      </c>
      <c r="H25" s="145">
        <v>0.94</v>
      </c>
      <c r="I25" s="138">
        <f t="shared" si="3"/>
        <v>1.071788</v>
      </c>
      <c r="J25" s="145">
        <f>G25*H25</f>
        <v>69287.4</v>
      </c>
      <c r="K25" s="138">
        <f>I25*G25</f>
        <v>79001.49347999999</v>
      </c>
    </row>
    <row r="26" spans="1:11" ht="15">
      <c r="A26" s="256" t="s">
        <v>2</v>
      </c>
      <c r="B26" s="257"/>
      <c r="C26" s="257"/>
      <c r="D26" s="257"/>
      <c r="E26" s="257"/>
      <c r="F26" s="257"/>
      <c r="G26" s="257"/>
      <c r="H26" s="257"/>
      <c r="I26" s="258"/>
      <c r="J26" s="140">
        <f>SUM(J22:J25)</f>
        <v>168320.4</v>
      </c>
      <c r="K26" s="140">
        <f>SUM(K22:K25)</f>
        <v>197219.82408</v>
      </c>
    </row>
    <row r="27" spans="1:11" ht="24" customHeight="1">
      <c r="A27" s="128">
        <v>3</v>
      </c>
      <c r="B27" s="129"/>
      <c r="C27" s="129"/>
      <c r="D27" s="129"/>
      <c r="E27" s="130" t="s">
        <v>42</v>
      </c>
      <c r="F27" s="131"/>
      <c r="G27" s="131"/>
      <c r="H27" s="132"/>
      <c r="I27" s="132"/>
      <c r="J27" s="133"/>
      <c r="K27" s="133"/>
    </row>
    <row r="28" spans="1:11" ht="65.25" customHeight="1">
      <c r="A28" s="134" t="s">
        <v>41</v>
      </c>
      <c r="B28" s="135">
        <v>94996</v>
      </c>
      <c r="C28" s="135" t="s">
        <v>6</v>
      </c>
      <c r="D28" s="135" t="s">
        <v>5</v>
      </c>
      <c r="E28" s="136" t="s">
        <v>206</v>
      </c>
      <c r="F28" s="134" t="s">
        <v>27</v>
      </c>
      <c r="G28" s="137">
        <v>0</v>
      </c>
      <c r="H28" s="137">
        <v>83.62</v>
      </c>
      <c r="I28" s="137">
        <f aca="true" t="shared" si="4" ref="I28">IF(D28="S",($K$12/100)*H28,($K$11/100)*H28)+H28</f>
        <v>101.155114</v>
      </c>
      <c r="J28" s="137">
        <f>G28*H28</f>
        <v>0</v>
      </c>
      <c r="K28" s="137">
        <f>G28*I28</f>
        <v>0</v>
      </c>
    </row>
    <row r="29" spans="1:11" ht="15">
      <c r="A29" s="253" t="s">
        <v>2</v>
      </c>
      <c r="B29" s="254"/>
      <c r="C29" s="254"/>
      <c r="D29" s="254"/>
      <c r="E29" s="254"/>
      <c r="F29" s="254"/>
      <c r="G29" s="254"/>
      <c r="H29" s="254"/>
      <c r="I29" s="255"/>
      <c r="J29" s="140">
        <f>J28</f>
        <v>0</v>
      </c>
      <c r="K29" s="140">
        <f>K28</f>
        <v>0</v>
      </c>
    </row>
    <row r="30" spans="1:11" ht="21" customHeight="1">
      <c r="A30" s="128">
        <v>3</v>
      </c>
      <c r="B30" s="130"/>
      <c r="C30" s="130"/>
      <c r="D30" s="130"/>
      <c r="E30" s="130" t="s">
        <v>174</v>
      </c>
      <c r="F30" s="131"/>
      <c r="G30" s="131"/>
      <c r="H30" s="132"/>
      <c r="I30" s="132"/>
      <c r="J30" s="133"/>
      <c r="K30" s="133"/>
    </row>
    <row r="31" spans="1:11" ht="24" customHeight="1">
      <c r="A31" s="134" t="s">
        <v>41</v>
      </c>
      <c r="B31" s="135" t="s">
        <v>195</v>
      </c>
      <c r="C31" s="142" t="s">
        <v>196</v>
      </c>
      <c r="D31" s="135" t="s">
        <v>5</v>
      </c>
      <c r="E31" s="136" t="s">
        <v>184</v>
      </c>
      <c r="F31" s="134" t="s">
        <v>25</v>
      </c>
      <c r="G31" s="147">
        <v>204300</v>
      </c>
      <c r="H31" s="138">
        <v>0.74</v>
      </c>
      <c r="I31" s="138">
        <f aca="true" t="shared" si="5" ref="I31:I34">IF(D31="S",($K$12/100)*H31,($K$11/100)*H31)+H31</f>
        <v>0.895178</v>
      </c>
      <c r="J31" s="138">
        <f>G31*H31</f>
        <v>151182</v>
      </c>
      <c r="K31" s="138">
        <f>I31*G31</f>
        <v>182884.8654</v>
      </c>
    </row>
    <row r="32" spans="1:11" ht="52.5" customHeight="1">
      <c r="A32" s="134" t="s">
        <v>38</v>
      </c>
      <c r="B32" s="135">
        <v>72947</v>
      </c>
      <c r="C32" s="142" t="s">
        <v>183</v>
      </c>
      <c r="D32" s="135" t="s">
        <v>5</v>
      </c>
      <c r="E32" s="136" t="s">
        <v>207</v>
      </c>
      <c r="F32" s="134" t="s">
        <v>166</v>
      </c>
      <c r="G32" s="147">
        <v>108</v>
      </c>
      <c r="H32" s="138">
        <v>24.63</v>
      </c>
      <c r="I32" s="138">
        <f t="shared" si="5"/>
        <v>29.794911</v>
      </c>
      <c r="J32" s="138">
        <f aca="true" t="shared" si="6" ref="J32:J34">G32*H32</f>
        <v>2660.04</v>
      </c>
      <c r="K32" s="138">
        <f aca="true" t="shared" si="7" ref="K32:K34">I32*G32</f>
        <v>3217.850388</v>
      </c>
    </row>
    <row r="33" spans="1:11" ht="22.5" customHeight="1">
      <c r="A33" s="134" t="s">
        <v>190</v>
      </c>
      <c r="B33" s="142">
        <v>94316</v>
      </c>
      <c r="C33" s="135" t="s">
        <v>6</v>
      </c>
      <c r="D33" s="135" t="s">
        <v>5</v>
      </c>
      <c r="E33" s="136" t="s">
        <v>188</v>
      </c>
      <c r="F33" s="134" t="s">
        <v>25</v>
      </c>
      <c r="G33" s="147">
        <v>6432</v>
      </c>
      <c r="H33" s="138">
        <v>25.29</v>
      </c>
      <c r="I33" s="138">
        <f t="shared" si="5"/>
        <v>30.593313</v>
      </c>
      <c r="J33" s="138">
        <f t="shared" si="6"/>
        <v>162665.28</v>
      </c>
      <c r="K33" s="138">
        <f t="shared" si="7"/>
        <v>196776.189216</v>
      </c>
    </row>
    <row r="34" spans="1:11" ht="37.5" customHeight="1">
      <c r="A34" s="134" t="s">
        <v>191</v>
      </c>
      <c r="B34" s="135" t="s">
        <v>197</v>
      </c>
      <c r="C34" s="142" t="s">
        <v>196</v>
      </c>
      <c r="D34" s="135" t="s">
        <v>5</v>
      </c>
      <c r="E34" s="136" t="s">
        <v>198</v>
      </c>
      <c r="F34" s="134" t="s">
        <v>182</v>
      </c>
      <c r="G34" s="147">
        <v>526780.8</v>
      </c>
      <c r="H34" s="138">
        <v>0.94</v>
      </c>
      <c r="I34" s="138">
        <f t="shared" si="5"/>
        <v>1.1371179999999999</v>
      </c>
      <c r="J34" s="138">
        <f t="shared" si="6"/>
        <v>495173.952</v>
      </c>
      <c r="K34" s="138">
        <f t="shared" si="7"/>
        <v>599011.9297344</v>
      </c>
    </row>
    <row r="35" spans="1:11" ht="15">
      <c r="A35" s="253" t="s">
        <v>2</v>
      </c>
      <c r="B35" s="254"/>
      <c r="C35" s="254"/>
      <c r="D35" s="254"/>
      <c r="E35" s="254"/>
      <c r="F35" s="254"/>
      <c r="G35" s="254"/>
      <c r="H35" s="254"/>
      <c r="I35" s="255"/>
      <c r="J35" s="148">
        <f>SUM(J31:J34)</f>
        <v>811681.272</v>
      </c>
      <c r="K35" s="148">
        <f>SUM(K31:K34)</f>
        <v>981890.8347384001</v>
      </c>
    </row>
    <row r="36" spans="1:11" ht="22.5" customHeight="1">
      <c r="A36" s="128">
        <v>4</v>
      </c>
      <c r="B36" s="129"/>
      <c r="C36" s="129"/>
      <c r="D36" s="129"/>
      <c r="E36" s="130" t="s">
        <v>175</v>
      </c>
      <c r="F36" s="131"/>
      <c r="G36" s="131"/>
      <c r="H36" s="132"/>
      <c r="I36" s="132"/>
      <c r="J36" s="133"/>
      <c r="K36" s="133"/>
    </row>
    <row r="37" spans="1:11" ht="52.5" customHeight="1">
      <c r="A37" s="141" t="s">
        <v>32</v>
      </c>
      <c r="B37" s="135">
        <v>94265</v>
      </c>
      <c r="C37" s="135" t="s">
        <v>6</v>
      </c>
      <c r="D37" s="142" t="s">
        <v>5</v>
      </c>
      <c r="E37" s="136" t="s">
        <v>33</v>
      </c>
      <c r="F37" s="149" t="s">
        <v>3</v>
      </c>
      <c r="G37" s="149">
        <v>0</v>
      </c>
      <c r="H37" s="149">
        <v>31.39</v>
      </c>
      <c r="I37" s="137">
        <f aca="true" t="shared" si="8" ref="I37:I57">IF(D37="S",($K$12/100)*H37,($K$11/100)*H37)+H37</f>
        <v>37.972483</v>
      </c>
      <c r="J37" s="149">
        <f aca="true" t="shared" si="9" ref="J37:J57">G37*H37</f>
        <v>0</v>
      </c>
      <c r="K37" s="137">
        <f aca="true" t="shared" si="10" ref="K37:K57">I37*G37</f>
        <v>0</v>
      </c>
    </row>
    <row r="38" spans="1:11" ht="39.75" customHeight="1">
      <c r="A38" s="134" t="s">
        <v>30</v>
      </c>
      <c r="B38" s="135">
        <v>94281</v>
      </c>
      <c r="C38" s="135" t="s">
        <v>6</v>
      </c>
      <c r="D38" s="135" t="s">
        <v>5</v>
      </c>
      <c r="E38" s="136" t="s">
        <v>31</v>
      </c>
      <c r="F38" s="137" t="s">
        <v>3</v>
      </c>
      <c r="G38" s="137">
        <v>0</v>
      </c>
      <c r="H38" s="137">
        <v>37.49</v>
      </c>
      <c r="I38" s="137">
        <f t="shared" si="8"/>
        <v>45.351653</v>
      </c>
      <c r="J38" s="149">
        <f t="shared" si="9"/>
        <v>0</v>
      </c>
      <c r="K38" s="137">
        <f t="shared" si="10"/>
        <v>0</v>
      </c>
    </row>
    <row r="39" spans="1:11" ht="108.75" customHeight="1">
      <c r="A39" s="141" t="s">
        <v>29</v>
      </c>
      <c r="B39" s="135">
        <v>90105</v>
      </c>
      <c r="C39" s="135" t="s">
        <v>6</v>
      </c>
      <c r="D39" s="135" t="s">
        <v>5</v>
      </c>
      <c r="E39" s="136" t="s">
        <v>150</v>
      </c>
      <c r="F39" s="137" t="s">
        <v>25</v>
      </c>
      <c r="G39" s="137">
        <v>0</v>
      </c>
      <c r="H39" s="137">
        <v>11.93</v>
      </c>
      <c r="I39" s="137">
        <f t="shared" si="8"/>
        <v>14.431721</v>
      </c>
      <c r="J39" s="149">
        <f t="shared" si="9"/>
        <v>0</v>
      </c>
      <c r="K39" s="137">
        <f t="shared" si="10"/>
        <v>0</v>
      </c>
    </row>
    <row r="40" spans="1:11" ht="40.5" customHeight="1">
      <c r="A40" s="134" t="s">
        <v>26</v>
      </c>
      <c r="B40" s="135">
        <v>94097</v>
      </c>
      <c r="C40" s="135" t="s">
        <v>6</v>
      </c>
      <c r="D40" s="135" t="s">
        <v>5</v>
      </c>
      <c r="E40" s="136" t="s">
        <v>28</v>
      </c>
      <c r="F40" s="137" t="s">
        <v>27</v>
      </c>
      <c r="G40" s="137">
        <v>0</v>
      </c>
      <c r="H40" s="137">
        <v>4.6</v>
      </c>
      <c r="I40" s="137">
        <f t="shared" si="8"/>
        <v>5.56462</v>
      </c>
      <c r="J40" s="149">
        <f t="shared" si="9"/>
        <v>0</v>
      </c>
      <c r="K40" s="137">
        <f t="shared" si="10"/>
        <v>0</v>
      </c>
    </row>
    <row r="41" spans="1:11" ht="42.75" customHeight="1">
      <c r="A41" s="134" t="s">
        <v>26</v>
      </c>
      <c r="B41" s="135">
        <v>95290</v>
      </c>
      <c r="C41" s="135" t="s">
        <v>6</v>
      </c>
      <c r="D41" s="135" t="s">
        <v>5</v>
      </c>
      <c r="E41" s="150" t="s">
        <v>23</v>
      </c>
      <c r="F41" s="137" t="s">
        <v>135</v>
      </c>
      <c r="G41" s="137">
        <f>'[1]MEMORIAL QUANT. CBUQ'!K50</f>
        <v>950.4000000000001</v>
      </c>
      <c r="H41" s="137">
        <v>1.76</v>
      </c>
      <c r="I41" s="137">
        <f t="shared" si="8"/>
        <v>2.129072</v>
      </c>
      <c r="J41" s="149">
        <f t="shared" si="9"/>
        <v>1672.7040000000002</v>
      </c>
      <c r="K41" s="137">
        <f aca="true" t="shared" si="11" ref="K41:K53">G41*I41</f>
        <v>2023.4700288000001</v>
      </c>
    </row>
    <row r="42" spans="1:11" ht="33.75" customHeight="1">
      <c r="A42" s="134" t="s">
        <v>24</v>
      </c>
      <c r="B42" s="135">
        <v>7781</v>
      </c>
      <c r="C42" s="135" t="s">
        <v>6</v>
      </c>
      <c r="D42" s="135" t="s">
        <v>10</v>
      </c>
      <c r="E42" s="136" t="s">
        <v>9</v>
      </c>
      <c r="F42" s="137" t="s">
        <v>3</v>
      </c>
      <c r="G42" s="137">
        <f>'[1]MEMORIAL QUANT. CBUQ'!K52</f>
        <v>0</v>
      </c>
      <c r="H42" s="137">
        <v>51.95</v>
      </c>
      <c r="I42" s="137">
        <f t="shared" si="8"/>
        <v>59.23339</v>
      </c>
      <c r="J42" s="149">
        <f t="shared" si="9"/>
        <v>0</v>
      </c>
      <c r="K42" s="137">
        <f t="shared" si="11"/>
        <v>0</v>
      </c>
    </row>
    <row r="43" spans="1:11" ht="108" customHeight="1">
      <c r="A43" s="134" t="s">
        <v>21</v>
      </c>
      <c r="B43" s="135">
        <v>90106</v>
      </c>
      <c r="C43" s="135" t="s">
        <v>6</v>
      </c>
      <c r="D43" s="135" t="s">
        <v>5</v>
      </c>
      <c r="E43" s="136" t="s">
        <v>208</v>
      </c>
      <c r="F43" s="137" t="s">
        <v>25</v>
      </c>
      <c r="G43" s="137">
        <f>'[1]MEMORIAL QUANT. CBUQ'!K53</f>
        <v>0</v>
      </c>
      <c r="H43" s="137">
        <v>10.22</v>
      </c>
      <c r="I43" s="137">
        <f t="shared" si="8"/>
        <v>12.363134</v>
      </c>
      <c r="J43" s="149">
        <f t="shared" si="9"/>
        <v>0</v>
      </c>
      <c r="K43" s="137">
        <f t="shared" si="11"/>
        <v>0</v>
      </c>
    </row>
    <row r="44" spans="1:11" ht="39" customHeight="1">
      <c r="A44" s="134" t="s">
        <v>18</v>
      </c>
      <c r="B44" s="135">
        <v>94097</v>
      </c>
      <c r="C44" s="135" t="s">
        <v>6</v>
      </c>
      <c r="D44" s="135" t="s">
        <v>5</v>
      </c>
      <c r="E44" s="136" t="s">
        <v>28</v>
      </c>
      <c r="F44" s="137" t="s">
        <v>25</v>
      </c>
      <c r="G44" s="137">
        <f>'[1]MEMORIAL QUANT. CBUQ'!K54</f>
        <v>0</v>
      </c>
      <c r="H44" s="137">
        <v>4.6</v>
      </c>
      <c r="I44" s="137">
        <f t="shared" si="8"/>
        <v>5.56462</v>
      </c>
      <c r="J44" s="149">
        <f t="shared" si="9"/>
        <v>0</v>
      </c>
      <c r="K44" s="137">
        <f t="shared" si="11"/>
        <v>0</v>
      </c>
    </row>
    <row r="45" spans="1:11" ht="69.75" customHeight="1">
      <c r="A45" s="134" t="s">
        <v>16</v>
      </c>
      <c r="B45" s="135">
        <v>93378</v>
      </c>
      <c r="C45" s="135" t="s">
        <v>6</v>
      </c>
      <c r="D45" s="135" t="s">
        <v>5</v>
      </c>
      <c r="E45" s="136" t="s">
        <v>147</v>
      </c>
      <c r="F45" s="137" t="s">
        <v>25</v>
      </c>
      <c r="G45" s="137">
        <f>'[1]MEMORIAL QUANT. CBUQ'!K55</f>
        <v>0</v>
      </c>
      <c r="H45" s="137">
        <v>19.6</v>
      </c>
      <c r="I45" s="137">
        <f t="shared" si="8"/>
        <v>23.710120000000003</v>
      </c>
      <c r="J45" s="149">
        <f t="shared" si="9"/>
        <v>0</v>
      </c>
      <c r="K45" s="137">
        <f t="shared" si="11"/>
        <v>0</v>
      </c>
    </row>
    <row r="46" spans="1:11" ht="66.75" customHeight="1">
      <c r="A46" s="134" t="s">
        <v>13</v>
      </c>
      <c r="B46" s="135">
        <v>92809</v>
      </c>
      <c r="C46" s="135" t="s">
        <v>6</v>
      </c>
      <c r="D46" s="135" t="s">
        <v>5</v>
      </c>
      <c r="E46" s="136" t="s">
        <v>148</v>
      </c>
      <c r="F46" s="137" t="s">
        <v>3</v>
      </c>
      <c r="G46" s="137">
        <f>'[1]MEMORIAL QUANT. CBUQ'!K56</f>
        <v>0</v>
      </c>
      <c r="H46" s="137">
        <v>37.54</v>
      </c>
      <c r="I46" s="137">
        <f t="shared" si="8"/>
        <v>45.412138</v>
      </c>
      <c r="J46" s="149">
        <f t="shared" si="9"/>
        <v>0</v>
      </c>
      <c r="K46" s="137">
        <f t="shared" si="11"/>
        <v>0</v>
      </c>
    </row>
    <row r="47" spans="1:11" ht="43.5" customHeight="1">
      <c r="A47" s="134" t="s">
        <v>11</v>
      </c>
      <c r="B47" s="142">
        <v>95290</v>
      </c>
      <c r="C47" s="135" t="s">
        <v>6</v>
      </c>
      <c r="D47" s="135" t="s">
        <v>5</v>
      </c>
      <c r="E47" s="143" t="s">
        <v>23</v>
      </c>
      <c r="F47" s="149" t="s">
        <v>22</v>
      </c>
      <c r="G47" s="137">
        <f>'[1]MEMORIAL QUANT. CBUQ'!K57</f>
        <v>0</v>
      </c>
      <c r="H47" s="137">
        <v>1.76</v>
      </c>
      <c r="I47" s="137">
        <f t="shared" si="8"/>
        <v>2.129072</v>
      </c>
      <c r="J47" s="149">
        <f t="shared" si="9"/>
        <v>0</v>
      </c>
      <c r="K47" s="137">
        <f t="shared" si="11"/>
        <v>0</v>
      </c>
    </row>
    <row r="48" spans="1:11" ht="38.25" customHeight="1">
      <c r="A48" s="134" t="s">
        <v>32</v>
      </c>
      <c r="B48" s="135">
        <v>7793</v>
      </c>
      <c r="C48" s="135" t="s">
        <v>6</v>
      </c>
      <c r="D48" s="135" t="s">
        <v>10</v>
      </c>
      <c r="E48" s="136" t="s">
        <v>12</v>
      </c>
      <c r="F48" s="137" t="s">
        <v>3</v>
      </c>
      <c r="G48" s="137">
        <v>0</v>
      </c>
      <c r="H48" s="137">
        <v>104.87</v>
      </c>
      <c r="I48" s="137">
        <f t="shared" si="8"/>
        <v>119.57277400000001</v>
      </c>
      <c r="J48" s="149">
        <f t="shared" si="9"/>
        <v>0</v>
      </c>
      <c r="K48" s="137">
        <f t="shared" si="11"/>
        <v>0</v>
      </c>
    </row>
    <row r="49" spans="1:11" ht="108.75" customHeight="1">
      <c r="A49" s="134" t="s">
        <v>30</v>
      </c>
      <c r="B49" s="135">
        <v>90106</v>
      </c>
      <c r="C49" s="135" t="s">
        <v>6</v>
      </c>
      <c r="D49" s="135" t="s">
        <v>5</v>
      </c>
      <c r="E49" s="143" t="s">
        <v>209</v>
      </c>
      <c r="F49" s="149" t="s">
        <v>25</v>
      </c>
      <c r="G49" s="137">
        <v>0</v>
      </c>
      <c r="H49" s="137">
        <v>10.22</v>
      </c>
      <c r="I49" s="137">
        <f t="shared" si="8"/>
        <v>12.363134</v>
      </c>
      <c r="J49" s="149">
        <f t="shared" si="9"/>
        <v>0</v>
      </c>
      <c r="K49" s="137">
        <f t="shared" si="11"/>
        <v>0</v>
      </c>
    </row>
    <row r="50" spans="1:11" ht="41.25" customHeight="1">
      <c r="A50" s="134" t="s">
        <v>29</v>
      </c>
      <c r="B50" s="135">
        <v>94097</v>
      </c>
      <c r="C50" s="135" t="s">
        <v>6</v>
      </c>
      <c r="D50" s="135" t="s">
        <v>5</v>
      </c>
      <c r="E50" s="136" t="s">
        <v>28</v>
      </c>
      <c r="F50" s="137" t="s">
        <v>25</v>
      </c>
      <c r="G50" s="137">
        <v>0</v>
      </c>
      <c r="H50" s="137">
        <v>4.6</v>
      </c>
      <c r="I50" s="137">
        <f t="shared" si="8"/>
        <v>5.56462</v>
      </c>
      <c r="J50" s="149">
        <f t="shared" si="9"/>
        <v>0</v>
      </c>
      <c r="K50" s="137">
        <f t="shared" si="11"/>
        <v>0</v>
      </c>
    </row>
    <row r="51" spans="1:11" ht="63" customHeight="1">
      <c r="A51" s="134" t="s">
        <v>26</v>
      </c>
      <c r="B51" s="135">
        <v>93378</v>
      </c>
      <c r="C51" s="135" t="s">
        <v>6</v>
      </c>
      <c r="D51" s="135" t="s">
        <v>5</v>
      </c>
      <c r="E51" s="136" t="s">
        <v>147</v>
      </c>
      <c r="F51" s="137" t="s">
        <v>25</v>
      </c>
      <c r="G51" s="137">
        <v>0</v>
      </c>
      <c r="H51" s="137">
        <v>19.6</v>
      </c>
      <c r="I51" s="137">
        <f t="shared" si="8"/>
        <v>23.710120000000003</v>
      </c>
      <c r="J51" s="149">
        <f t="shared" si="9"/>
        <v>0</v>
      </c>
      <c r="K51" s="137">
        <f t="shared" si="11"/>
        <v>0</v>
      </c>
    </row>
    <row r="52" spans="1:11" ht="67.5" customHeight="1">
      <c r="A52" s="134" t="s">
        <v>139</v>
      </c>
      <c r="B52" s="135">
        <v>92811</v>
      </c>
      <c r="C52" s="135" t="s">
        <v>6</v>
      </c>
      <c r="D52" s="135" t="s">
        <v>5</v>
      </c>
      <c r="E52" s="136" t="s">
        <v>4</v>
      </c>
      <c r="F52" s="137" t="s">
        <v>3</v>
      </c>
      <c r="G52" s="137">
        <f>'[1]MEMORIAL QUANT. CBUQ'!K62</f>
        <v>0</v>
      </c>
      <c r="H52" s="137">
        <v>54.41</v>
      </c>
      <c r="I52" s="137">
        <f t="shared" si="8"/>
        <v>65.81977699999999</v>
      </c>
      <c r="J52" s="149">
        <f t="shared" si="9"/>
        <v>0</v>
      </c>
      <c r="K52" s="137">
        <f t="shared" si="11"/>
        <v>0</v>
      </c>
    </row>
    <row r="53" spans="1:11" ht="41.25" customHeight="1">
      <c r="A53" s="134" t="s">
        <v>140</v>
      </c>
      <c r="B53" s="142">
        <v>95290</v>
      </c>
      <c r="C53" s="135" t="s">
        <v>6</v>
      </c>
      <c r="D53" s="135" t="s">
        <v>5</v>
      </c>
      <c r="E53" s="143" t="s">
        <v>23</v>
      </c>
      <c r="F53" s="149" t="s">
        <v>22</v>
      </c>
      <c r="G53" s="137">
        <f>'[1]MEMORIAL QUANT. CBUQ'!K63</f>
        <v>0</v>
      </c>
      <c r="H53" s="137">
        <v>1.76</v>
      </c>
      <c r="I53" s="137">
        <f t="shared" si="8"/>
        <v>2.129072</v>
      </c>
      <c r="J53" s="149">
        <f t="shared" si="9"/>
        <v>0</v>
      </c>
      <c r="K53" s="137">
        <f t="shared" si="11"/>
        <v>0</v>
      </c>
    </row>
    <row r="54" spans="1:11" ht="47.25" customHeight="1">
      <c r="A54" s="134" t="s">
        <v>141</v>
      </c>
      <c r="B54" s="135">
        <v>83659</v>
      </c>
      <c r="C54" s="135" t="s">
        <v>20</v>
      </c>
      <c r="D54" s="135" t="s">
        <v>5</v>
      </c>
      <c r="E54" s="136" t="s">
        <v>19</v>
      </c>
      <c r="F54" s="137" t="s">
        <v>14</v>
      </c>
      <c r="G54" s="137">
        <f>'[1]MEMORIAL QUANT. CBUQ'!K64</f>
        <v>0</v>
      </c>
      <c r="H54" s="137">
        <v>694.56</v>
      </c>
      <c r="I54" s="137">
        <f t="shared" si="8"/>
        <v>840.2092319999999</v>
      </c>
      <c r="J54" s="149">
        <f t="shared" si="9"/>
        <v>0</v>
      </c>
      <c r="K54" s="137">
        <f t="shared" si="10"/>
        <v>0</v>
      </c>
    </row>
    <row r="55" spans="1:11" ht="51.75" customHeight="1">
      <c r="A55" s="134" t="s">
        <v>142</v>
      </c>
      <c r="B55" s="135" t="s">
        <v>149</v>
      </c>
      <c r="C55" s="135" t="s">
        <v>6</v>
      </c>
      <c r="D55" s="135" t="s">
        <v>5</v>
      </c>
      <c r="E55" s="136" t="s">
        <v>17</v>
      </c>
      <c r="F55" s="137" t="s">
        <v>14</v>
      </c>
      <c r="G55" s="137">
        <f>'[1]MEMORIAL QUANT. CBUQ'!K65</f>
        <v>0</v>
      </c>
      <c r="H55" s="137">
        <v>332.61</v>
      </c>
      <c r="I55" s="137">
        <f t="shared" si="8"/>
        <v>402.358317</v>
      </c>
      <c r="J55" s="149">
        <f t="shared" si="9"/>
        <v>0</v>
      </c>
      <c r="K55" s="137">
        <f t="shared" si="10"/>
        <v>0</v>
      </c>
    </row>
    <row r="56" spans="1:11" ht="36.75" customHeight="1">
      <c r="A56" s="134" t="s">
        <v>39</v>
      </c>
      <c r="B56" s="139" t="s">
        <v>200</v>
      </c>
      <c r="C56" s="142" t="s">
        <v>196</v>
      </c>
      <c r="D56" s="135" t="s">
        <v>10</v>
      </c>
      <c r="E56" s="136" t="s">
        <v>177</v>
      </c>
      <c r="F56" s="137" t="s">
        <v>25</v>
      </c>
      <c r="G56" s="147">
        <v>15890</v>
      </c>
      <c r="H56" s="138">
        <v>10.54</v>
      </c>
      <c r="I56" s="137">
        <f t="shared" si="8"/>
        <v>12.017707999999999</v>
      </c>
      <c r="J56" s="145">
        <f t="shared" si="9"/>
        <v>167480.59999999998</v>
      </c>
      <c r="K56" s="138">
        <f t="shared" si="10"/>
        <v>190961.38012</v>
      </c>
    </row>
    <row r="57" spans="1:11" ht="34.5" customHeight="1">
      <c r="A57" s="134" t="s">
        <v>38</v>
      </c>
      <c r="B57" s="135" t="s">
        <v>197</v>
      </c>
      <c r="C57" s="142" t="s">
        <v>196</v>
      </c>
      <c r="D57" s="135" t="s">
        <v>10</v>
      </c>
      <c r="E57" s="136" t="s">
        <v>199</v>
      </c>
      <c r="F57" s="137" t="s">
        <v>182</v>
      </c>
      <c r="G57" s="147">
        <v>1301391</v>
      </c>
      <c r="H57" s="138">
        <v>0.94</v>
      </c>
      <c r="I57" s="137">
        <f t="shared" si="8"/>
        <v>1.071788</v>
      </c>
      <c r="J57" s="145">
        <f t="shared" si="9"/>
        <v>1223307.54</v>
      </c>
      <c r="K57" s="138">
        <f t="shared" si="10"/>
        <v>1394815.2571079999</v>
      </c>
    </row>
    <row r="58" spans="1:11" ht="15">
      <c r="A58" s="253" t="s">
        <v>2</v>
      </c>
      <c r="B58" s="254"/>
      <c r="C58" s="254"/>
      <c r="D58" s="254"/>
      <c r="E58" s="254"/>
      <c r="F58" s="254"/>
      <c r="G58" s="254"/>
      <c r="H58" s="254"/>
      <c r="I58" s="255"/>
      <c r="J58" s="148">
        <f>SUM(J37:J57)</f>
        <v>1392460.844</v>
      </c>
      <c r="K58" s="148">
        <f>SUM(K37:K57)</f>
        <v>1587800.1072568</v>
      </c>
    </row>
    <row r="59" spans="1:11" ht="22.5" customHeight="1">
      <c r="A59" s="128">
        <v>5</v>
      </c>
      <c r="B59" s="129"/>
      <c r="C59" s="129"/>
      <c r="D59" s="129"/>
      <c r="E59" s="130" t="s">
        <v>176</v>
      </c>
      <c r="F59" s="131"/>
      <c r="G59" s="131"/>
      <c r="H59" s="132"/>
      <c r="I59" s="132"/>
      <c r="J59" s="133"/>
      <c r="K59" s="133"/>
    </row>
    <row r="60" spans="1:11" ht="30" customHeight="1">
      <c r="A60" s="134" t="s">
        <v>34</v>
      </c>
      <c r="B60" s="135" t="s">
        <v>201</v>
      </c>
      <c r="C60" s="142" t="s">
        <v>196</v>
      </c>
      <c r="D60" s="135" t="s">
        <v>5</v>
      </c>
      <c r="E60" s="136" t="s">
        <v>178</v>
      </c>
      <c r="F60" s="134" t="s">
        <v>25</v>
      </c>
      <c r="G60" s="137">
        <v>72.3</v>
      </c>
      <c r="H60" s="151">
        <v>5.68</v>
      </c>
      <c r="I60" s="138">
        <f aca="true" t="shared" si="12" ref="I60:I82">IF(D60="S",($K$12/100)*H60,($K$11/100)*H60)+H60</f>
        <v>6.871096</v>
      </c>
      <c r="J60" s="145">
        <f>G60*H60</f>
        <v>410.664</v>
      </c>
      <c r="K60" s="138">
        <f>I60*G60</f>
        <v>496.78024079999994</v>
      </c>
    </row>
    <row r="61" spans="1:11" ht="56.25" customHeight="1">
      <c r="A61" s="141" t="s">
        <v>32</v>
      </c>
      <c r="B61" s="135">
        <v>94265</v>
      </c>
      <c r="C61" s="135" t="s">
        <v>6</v>
      </c>
      <c r="D61" s="142" t="s">
        <v>5</v>
      </c>
      <c r="E61" s="136" t="s">
        <v>33</v>
      </c>
      <c r="F61" s="149" t="s">
        <v>3</v>
      </c>
      <c r="G61" s="149">
        <v>0</v>
      </c>
      <c r="H61" s="145">
        <v>31.39</v>
      </c>
      <c r="I61" s="138">
        <f t="shared" si="12"/>
        <v>37.972483</v>
      </c>
      <c r="J61" s="145">
        <f aca="true" t="shared" si="13" ref="J61:J82">G61*H61</f>
        <v>0</v>
      </c>
      <c r="K61" s="138">
        <f aca="true" t="shared" si="14" ref="K61:K64">I61*G61</f>
        <v>0</v>
      </c>
    </row>
    <row r="62" spans="1:11" ht="41.25" customHeight="1">
      <c r="A62" s="134" t="s">
        <v>30</v>
      </c>
      <c r="B62" s="135">
        <v>94281</v>
      </c>
      <c r="C62" s="135" t="s">
        <v>6</v>
      </c>
      <c r="D62" s="135" t="s">
        <v>5</v>
      </c>
      <c r="E62" s="136" t="s">
        <v>31</v>
      </c>
      <c r="F62" s="137" t="s">
        <v>3</v>
      </c>
      <c r="G62" s="137">
        <v>0</v>
      </c>
      <c r="H62" s="138">
        <v>37.49</v>
      </c>
      <c r="I62" s="138">
        <f t="shared" si="12"/>
        <v>45.351653</v>
      </c>
      <c r="J62" s="145">
        <f t="shared" si="13"/>
        <v>0</v>
      </c>
      <c r="K62" s="138">
        <f t="shared" si="14"/>
        <v>0</v>
      </c>
    </row>
    <row r="63" spans="1:11" ht="118.5" customHeight="1">
      <c r="A63" s="141" t="s">
        <v>29</v>
      </c>
      <c r="B63" s="135">
        <v>90105</v>
      </c>
      <c r="C63" s="135" t="s">
        <v>6</v>
      </c>
      <c r="D63" s="135" t="s">
        <v>5</v>
      </c>
      <c r="E63" s="136" t="s">
        <v>150</v>
      </c>
      <c r="F63" s="137" t="s">
        <v>25</v>
      </c>
      <c r="G63" s="137">
        <v>0</v>
      </c>
      <c r="H63" s="138">
        <v>11.93</v>
      </c>
      <c r="I63" s="138">
        <f t="shared" si="12"/>
        <v>14.431721</v>
      </c>
      <c r="J63" s="145">
        <f t="shared" si="13"/>
        <v>0</v>
      </c>
      <c r="K63" s="138">
        <f t="shared" si="14"/>
        <v>0</v>
      </c>
    </row>
    <row r="64" spans="1:11" ht="48" customHeight="1">
      <c r="A64" s="134" t="s">
        <v>26</v>
      </c>
      <c r="B64" s="135">
        <v>94097</v>
      </c>
      <c r="C64" s="135" t="s">
        <v>6</v>
      </c>
      <c r="D64" s="135" t="s">
        <v>5</v>
      </c>
      <c r="E64" s="136" t="s">
        <v>28</v>
      </c>
      <c r="F64" s="137" t="s">
        <v>27</v>
      </c>
      <c r="G64" s="137">
        <v>0</v>
      </c>
      <c r="H64" s="138">
        <v>4.6</v>
      </c>
      <c r="I64" s="138">
        <f t="shared" si="12"/>
        <v>5.56462</v>
      </c>
      <c r="J64" s="145">
        <f t="shared" si="13"/>
        <v>0</v>
      </c>
      <c r="K64" s="138">
        <f t="shared" si="14"/>
        <v>0</v>
      </c>
    </row>
    <row r="65" spans="1:11" ht="40.5" customHeight="1">
      <c r="A65" s="134" t="s">
        <v>26</v>
      </c>
      <c r="B65" s="135">
        <v>95290</v>
      </c>
      <c r="C65" s="135" t="s">
        <v>6</v>
      </c>
      <c r="D65" s="135" t="s">
        <v>5</v>
      </c>
      <c r="E65" s="150" t="s">
        <v>23</v>
      </c>
      <c r="F65" s="137" t="s">
        <v>135</v>
      </c>
      <c r="G65" s="137">
        <f>'[1]MEMORIAL QUANT. CBUQ'!K75</f>
        <v>0</v>
      </c>
      <c r="H65" s="138">
        <v>1.76</v>
      </c>
      <c r="I65" s="138">
        <f t="shared" si="12"/>
        <v>2.129072</v>
      </c>
      <c r="J65" s="145">
        <f t="shared" si="13"/>
        <v>0</v>
      </c>
      <c r="K65" s="138">
        <f aca="true" t="shared" si="15" ref="K65:K77">G65*I65</f>
        <v>0</v>
      </c>
    </row>
    <row r="66" spans="1:11" ht="45" customHeight="1">
      <c r="A66" s="134" t="s">
        <v>24</v>
      </c>
      <c r="B66" s="135">
        <v>7781</v>
      </c>
      <c r="C66" s="135" t="s">
        <v>6</v>
      </c>
      <c r="D66" s="135" t="s">
        <v>10</v>
      </c>
      <c r="E66" s="136" t="s">
        <v>9</v>
      </c>
      <c r="F66" s="137" t="s">
        <v>3</v>
      </c>
      <c r="G66" s="137">
        <f>'[1]MEMORIAL QUANT. CBUQ'!K77</f>
        <v>0</v>
      </c>
      <c r="H66" s="138">
        <v>51.95</v>
      </c>
      <c r="I66" s="138">
        <f t="shared" si="12"/>
        <v>59.23339</v>
      </c>
      <c r="J66" s="145">
        <f t="shared" si="13"/>
        <v>0</v>
      </c>
      <c r="K66" s="138">
        <f t="shared" si="15"/>
        <v>0</v>
      </c>
    </row>
    <row r="67" spans="1:11" ht="108" customHeight="1">
      <c r="A67" s="134" t="s">
        <v>21</v>
      </c>
      <c r="B67" s="135">
        <v>90106</v>
      </c>
      <c r="C67" s="135" t="s">
        <v>6</v>
      </c>
      <c r="D67" s="135" t="s">
        <v>5</v>
      </c>
      <c r="E67" s="136" t="s">
        <v>208</v>
      </c>
      <c r="F67" s="137" t="s">
        <v>25</v>
      </c>
      <c r="G67" s="137">
        <f>'[1]MEMORIAL QUANT. CBUQ'!K78</f>
        <v>0</v>
      </c>
      <c r="H67" s="138">
        <v>10.22</v>
      </c>
      <c r="I67" s="138">
        <f t="shared" si="12"/>
        <v>12.363134</v>
      </c>
      <c r="J67" s="145">
        <f t="shared" si="13"/>
        <v>0</v>
      </c>
      <c r="K67" s="138">
        <f t="shared" si="15"/>
        <v>0</v>
      </c>
    </row>
    <row r="68" spans="1:11" ht="41.25" customHeight="1">
      <c r="A68" s="134" t="s">
        <v>18</v>
      </c>
      <c r="B68" s="135">
        <v>94097</v>
      </c>
      <c r="C68" s="135" t="s">
        <v>6</v>
      </c>
      <c r="D68" s="135" t="s">
        <v>5</v>
      </c>
      <c r="E68" s="136" t="s">
        <v>28</v>
      </c>
      <c r="F68" s="137" t="s">
        <v>25</v>
      </c>
      <c r="G68" s="137">
        <f>'[1]MEMORIAL QUANT. CBUQ'!K79</f>
        <v>0</v>
      </c>
      <c r="H68" s="138">
        <v>4.6</v>
      </c>
      <c r="I68" s="138">
        <f t="shared" si="12"/>
        <v>5.56462</v>
      </c>
      <c r="J68" s="145">
        <f t="shared" si="13"/>
        <v>0</v>
      </c>
      <c r="K68" s="138">
        <f t="shared" si="15"/>
        <v>0</v>
      </c>
    </row>
    <row r="69" spans="1:11" ht="65.25" customHeight="1">
      <c r="A69" s="134" t="s">
        <v>16</v>
      </c>
      <c r="B69" s="135">
        <v>93378</v>
      </c>
      <c r="C69" s="135" t="s">
        <v>6</v>
      </c>
      <c r="D69" s="135" t="s">
        <v>5</v>
      </c>
      <c r="E69" s="136" t="s">
        <v>147</v>
      </c>
      <c r="F69" s="137" t="s">
        <v>25</v>
      </c>
      <c r="G69" s="137">
        <f>'[1]MEMORIAL QUANT. CBUQ'!K80</f>
        <v>0</v>
      </c>
      <c r="H69" s="138">
        <v>19.6</v>
      </c>
      <c r="I69" s="138">
        <f t="shared" si="12"/>
        <v>23.710120000000003</v>
      </c>
      <c r="J69" s="145">
        <f t="shared" si="13"/>
        <v>0</v>
      </c>
      <c r="K69" s="138">
        <f t="shared" si="15"/>
        <v>0</v>
      </c>
    </row>
    <row r="70" spans="1:11" ht="69" customHeight="1">
      <c r="A70" s="134" t="s">
        <v>13</v>
      </c>
      <c r="B70" s="135">
        <v>92809</v>
      </c>
      <c r="C70" s="135" t="s">
        <v>6</v>
      </c>
      <c r="D70" s="135" t="s">
        <v>5</v>
      </c>
      <c r="E70" s="136" t="s">
        <v>148</v>
      </c>
      <c r="F70" s="137" t="s">
        <v>3</v>
      </c>
      <c r="G70" s="137">
        <f>'[1]MEMORIAL QUANT. CBUQ'!K81</f>
        <v>0</v>
      </c>
      <c r="H70" s="138">
        <v>37.54</v>
      </c>
      <c r="I70" s="138">
        <f t="shared" si="12"/>
        <v>45.412138</v>
      </c>
      <c r="J70" s="145">
        <f t="shared" si="13"/>
        <v>0</v>
      </c>
      <c r="K70" s="138">
        <f t="shared" si="15"/>
        <v>0</v>
      </c>
    </row>
    <row r="71" spans="1:11" ht="42" customHeight="1">
      <c r="A71" s="134" t="s">
        <v>11</v>
      </c>
      <c r="B71" s="142">
        <v>95290</v>
      </c>
      <c r="C71" s="135" t="s">
        <v>6</v>
      </c>
      <c r="D71" s="135" t="s">
        <v>5</v>
      </c>
      <c r="E71" s="143" t="s">
        <v>23</v>
      </c>
      <c r="F71" s="149" t="s">
        <v>22</v>
      </c>
      <c r="G71" s="137">
        <f>'[1]MEMORIAL QUANT. CBUQ'!K82</f>
        <v>0</v>
      </c>
      <c r="H71" s="138">
        <v>1.76</v>
      </c>
      <c r="I71" s="138">
        <f t="shared" si="12"/>
        <v>2.129072</v>
      </c>
      <c r="J71" s="145">
        <f t="shared" si="13"/>
        <v>0</v>
      </c>
      <c r="K71" s="138">
        <f t="shared" si="15"/>
        <v>0</v>
      </c>
    </row>
    <row r="72" spans="1:11" ht="41.25" customHeight="1">
      <c r="A72" s="134" t="s">
        <v>32</v>
      </c>
      <c r="B72" s="135">
        <v>7793</v>
      </c>
      <c r="C72" s="135" t="s">
        <v>6</v>
      </c>
      <c r="D72" s="135" t="s">
        <v>10</v>
      </c>
      <c r="E72" s="136" t="s">
        <v>12</v>
      </c>
      <c r="F72" s="137" t="s">
        <v>3</v>
      </c>
      <c r="G72" s="137">
        <v>0</v>
      </c>
      <c r="H72" s="138">
        <v>104.87</v>
      </c>
      <c r="I72" s="138">
        <f t="shared" si="12"/>
        <v>119.57277400000001</v>
      </c>
      <c r="J72" s="145">
        <f t="shared" si="13"/>
        <v>0</v>
      </c>
      <c r="K72" s="138">
        <f t="shared" si="15"/>
        <v>0</v>
      </c>
    </row>
    <row r="73" spans="1:11" ht="107.25" customHeight="1">
      <c r="A73" s="134" t="s">
        <v>30</v>
      </c>
      <c r="B73" s="135">
        <v>90106</v>
      </c>
      <c r="C73" s="135" t="s">
        <v>6</v>
      </c>
      <c r="D73" s="135" t="s">
        <v>5</v>
      </c>
      <c r="E73" s="143" t="s">
        <v>209</v>
      </c>
      <c r="F73" s="149" t="s">
        <v>25</v>
      </c>
      <c r="G73" s="137">
        <v>0</v>
      </c>
      <c r="H73" s="138">
        <v>10.22</v>
      </c>
      <c r="I73" s="138">
        <f t="shared" si="12"/>
        <v>12.363134</v>
      </c>
      <c r="J73" s="145">
        <f t="shared" si="13"/>
        <v>0</v>
      </c>
      <c r="K73" s="138">
        <f t="shared" si="15"/>
        <v>0</v>
      </c>
    </row>
    <row r="74" spans="1:11" ht="42.75" customHeight="1">
      <c r="A74" s="134" t="s">
        <v>29</v>
      </c>
      <c r="B74" s="135">
        <v>94097</v>
      </c>
      <c r="C74" s="135" t="s">
        <v>6</v>
      </c>
      <c r="D74" s="135" t="s">
        <v>5</v>
      </c>
      <c r="E74" s="136" t="s">
        <v>28</v>
      </c>
      <c r="F74" s="137" t="s">
        <v>25</v>
      </c>
      <c r="G74" s="137">
        <v>0</v>
      </c>
      <c r="H74" s="138">
        <v>4.6</v>
      </c>
      <c r="I74" s="138">
        <f t="shared" si="12"/>
        <v>5.56462</v>
      </c>
      <c r="J74" s="145">
        <f t="shared" si="13"/>
        <v>0</v>
      </c>
      <c r="K74" s="138">
        <f t="shared" si="15"/>
        <v>0</v>
      </c>
    </row>
    <row r="75" spans="1:11" ht="65.25" customHeight="1">
      <c r="A75" s="134" t="s">
        <v>26</v>
      </c>
      <c r="B75" s="135">
        <v>93378</v>
      </c>
      <c r="C75" s="135" t="s">
        <v>6</v>
      </c>
      <c r="D75" s="135" t="s">
        <v>5</v>
      </c>
      <c r="E75" s="136" t="s">
        <v>147</v>
      </c>
      <c r="F75" s="137" t="s">
        <v>25</v>
      </c>
      <c r="G75" s="137">
        <v>0</v>
      </c>
      <c r="H75" s="138">
        <v>19.6</v>
      </c>
      <c r="I75" s="138">
        <f t="shared" si="12"/>
        <v>23.710120000000003</v>
      </c>
      <c r="J75" s="145">
        <f t="shared" si="13"/>
        <v>0</v>
      </c>
      <c r="K75" s="138">
        <f t="shared" si="15"/>
        <v>0</v>
      </c>
    </row>
    <row r="76" spans="1:11" ht="63.75" customHeight="1">
      <c r="A76" s="134" t="s">
        <v>139</v>
      </c>
      <c r="B76" s="135">
        <v>92811</v>
      </c>
      <c r="C76" s="135" t="s">
        <v>6</v>
      </c>
      <c r="D76" s="135" t="s">
        <v>5</v>
      </c>
      <c r="E76" s="136" t="s">
        <v>4</v>
      </c>
      <c r="F76" s="137" t="s">
        <v>3</v>
      </c>
      <c r="G76" s="137">
        <f>'[1]MEMORIAL QUANT. CBUQ'!K87</f>
        <v>0</v>
      </c>
      <c r="H76" s="138">
        <v>54.41</v>
      </c>
      <c r="I76" s="138">
        <f t="shared" si="12"/>
        <v>65.81977699999999</v>
      </c>
      <c r="J76" s="145">
        <f t="shared" si="13"/>
        <v>0</v>
      </c>
      <c r="K76" s="138">
        <f t="shared" si="15"/>
        <v>0</v>
      </c>
    </row>
    <row r="77" spans="1:11" ht="42.75" customHeight="1">
      <c r="A77" s="134" t="s">
        <v>140</v>
      </c>
      <c r="B77" s="142">
        <v>95290</v>
      </c>
      <c r="C77" s="135" t="s">
        <v>6</v>
      </c>
      <c r="D77" s="135" t="s">
        <v>5</v>
      </c>
      <c r="E77" s="143" t="s">
        <v>23</v>
      </c>
      <c r="F77" s="149" t="s">
        <v>22</v>
      </c>
      <c r="G77" s="137">
        <f>'[1]MEMORIAL QUANT. CBUQ'!K88</f>
        <v>0</v>
      </c>
      <c r="H77" s="138">
        <v>1.76</v>
      </c>
      <c r="I77" s="138">
        <f t="shared" si="12"/>
        <v>2.129072</v>
      </c>
      <c r="J77" s="145">
        <f t="shared" si="13"/>
        <v>0</v>
      </c>
      <c r="K77" s="138">
        <f t="shared" si="15"/>
        <v>0</v>
      </c>
    </row>
    <row r="78" spans="1:11" ht="62.25" customHeight="1">
      <c r="A78" s="134" t="s">
        <v>141</v>
      </c>
      <c r="B78" s="135">
        <v>83659</v>
      </c>
      <c r="C78" s="135" t="s">
        <v>20</v>
      </c>
      <c r="D78" s="135" t="s">
        <v>5</v>
      </c>
      <c r="E78" s="136" t="s">
        <v>19</v>
      </c>
      <c r="F78" s="137" t="s">
        <v>14</v>
      </c>
      <c r="G78" s="137">
        <f>'[1]MEMORIAL QUANT. CBUQ'!K89</f>
        <v>0</v>
      </c>
      <c r="H78" s="138">
        <v>694.56</v>
      </c>
      <c r="I78" s="138">
        <f t="shared" si="12"/>
        <v>840.2092319999999</v>
      </c>
      <c r="J78" s="145">
        <f t="shared" si="13"/>
        <v>0</v>
      </c>
      <c r="K78" s="138">
        <f aca="true" t="shared" si="16" ref="K78:K82">I78*G78</f>
        <v>0</v>
      </c>
    </row>
    <row r="79" spans="1:11" ht="54" customHeight="1">
      <c r="A79" s="134" t="s">
        <v>142</v>
      </c>
      <c r="B79" s="135" t="s">
        <v>149</v>
      </c>
      <c r="C79" s="135" t="s">
        <v>6</v>
      </c>
      <c r="D79" s="135" t="s">
        <v>5</v>
      </c>
      <c r="E79" s="136" t="s">
        <v>17</v>
      </c>
      <c r="F79" s="137" t="s">
        <v>14</v>
      </c>
      <c r="G79" s="137">
        <f>'[1]MEMORIAL QUANT. CBUQ'!K90</f>
        <v>0</v>
      </c>
      <c r="H79" s="138">
        <v>332.61</v>
      </c>
      <c r="I79" s="138">
        <f t="shared" si="12"/>
        <v>402.358317</v>
      </c>
      <c r="J79" s="145">
        <f t="shared" si="13"/>
        <v>0</v>
      </c>
      <c r="K79" s="138">
        <f t="shared" si="16"/>
        <v>0</v>
      </c>
    </row>
    <row r="80" spans="1:11" ht="25.5" customHeight="1">
      <c r="A80" s="134" t="s">
        <v>32</v>
      </c>
      <c r="B80" s="135" t="s">
        <v>202</v>
      </c>
      <c r="C80" s="142" t="s">
        <v>196</v>
      </c>
      <c r="D80" s="135" t="s">
        <v>10</v>
      </c>
      <c r="E80" s="136" t="s">
        <v>179</v>
      </c>
      <c r="F80" s="137" t="s">
        <v>3</v>
      </c>
      <c r="G80" s="137">
        <v>24</v>
      </c>
      <c r="H80" s="138">
        <v>512.57</v>
      </c>
      <c r="I80" s="138">
        <f t="shared" si="12"/>
        <v>584.432314</v>
      </c>
      <c r="J80" s="145">
        <f t="shared" si="13"/>
        <v>12301.68</v>
      </c>
      <c r="K80" s="138">
        <f t="shared" si="16"/>
        <v>14026.375536</v>
      </c>
    </row>
    <row r="81" spans="1:11" ht="24.75" customHeight="1">
      <c r="A81" s="134" t="s">
        <v>30</v>
      </c>
      <c r="B81" s="135">
        <v>93370</v>
      </c>
      <c r="C81" s="135" t="s">
        <v>6</v>
      </c>
      <c r="D81" s="135" t="s">
        <v>10</v>
      </c>
      <c r="E81" s="136" t="s">
        <v>180</v>
      </c>
      <c r="F81" s="137" t="s">
        <v>25</v>
      </c>
      <c r="G81" s="137">
        <v>54.58</v>
      </c>
      <c r="H81" s="138">
        <v>8.57</v>
      </c>
      <c r="I81" s="138">
        <f t="shared" si="12"/>
        <v>9.771514</v>
      </c>
      <c r="J81" s="145">
        <f t="shared" si="13"/>
        <v>467.7506</v>
      </c>
      <c r="K81" s="138">
        <f t="shared" si="16"/>
        <v>533.32923412</v>
      </c>
    </row>
    <row r="82" spans="1:11" ht="27.75" customHeight="1">
      <c r="A82" s="134" t="s">
        <v>29</v>
      </c>
      <c r="B82" s="135" t="s">
        <v>185</v>
      </c>
      <c r="C82" s="135" t="s">
        <v>6</v>
      </c>
      <c r="D82" s="135" t="s">
        <v>10</v>
      </c>
      <c r="E82" s="136" t="s">
        <v>181</v>
      </c>
      <c r="F82" s="137" t="s">
        <v>14</v>
      </c>
      <c r="G82" s="137">
        <v>4</v>
      </c>
      <c r="H82" s="138">
        <v>1782.21</v>
      </c>
      <c r="I82" s="138">
        <f t="shared" si="12"/>
        <v>2032.075842</v>
      </c>
      <c r="J82" s="145">
        <f t="shared" si="13"/>
        <v>7128.84</v>
      </c>
      <c r="K82" s="138">
        <f t="shared" si="16"/>
        <v>8128.303368</v>
      </c>
    </row>
    <row r="83" spans="1:11" ht="15">
      <c r="A83" s="253" t="s">
        <v>2</v>
      </c>
      <c r="B83" s="254"/>
      <c r="C83" s="254"/>
      <c r="D83" s="254"/>
      <c r="E83" s="254"/>
      <c r="F83" s="254"/>
      <c r="G83" s="254"/>
      <c r="H83" s="254"/>
      <c r="I83" s="255"/>
      <c r="J83" s="148">
        <f>SUM(J60:J82)</f>
        <v>20308.9346</v>
      </c>
      <c r="K83" s="148">
        <f>SUM(K60:K82)</f>
        <v>23184.78837892</v>
      </c>
    </row>
    <row r="84" spans="1:11" ht="17.25">
      <c r="A84" s="250" t="s">
        <v>1</v>
      </c>
      <c r="B84" s="250"/>
      <c r="C84" s="250"/>
      <c r="D84" s="250"/>
      <c r="E84" s="250"/>
      <c r="F84" s="250"/>
      <c r="G84" s="250"/>
      <c r="H84" s="250"/>
      <c r="I84" s="125"/>
      <c r="J84" s="251">
        <f>SUM(J83,J58,J35,J26,J20)</f>
        <v>2503847.3506</v>
      </c>
      <c r="K84" s="252"/>
    </row>
    <row r="85" spans="1:11" ht="17.25">
      <c r="A85" s="250" t="s">
        <v>0</v>
      </c>
      <c r="B85" s="250"/>
      <c r="C85" s="250"/>
      <c r="D85" s="250"/>
      <c r="E85" s="250"/>
      <c r="F85" s="250"/>
      <c r="G85" s="250"/>
      <c r="H85" s="250"/>
      <c r="I85" s="125"/>
      <c r="J85" s="251">
        <f>SUM(K83,K58,K35,K26,K20)</f>
        <v>2924464.0706841205</v>
      </c>
      <c r="K85" s="252"/>
    </row>
  </sheetData>
  <mergeCells count="16">
    <mergeCell ref="A14:K14"/>
    <mergeCell ref="A8:K8"/>
    <mergeCell ref="A9:K9"/>
    <mergeCell ref="A10:K10"/>
    <mergeCell ref="I11:J11"/>
    <mergeCell ref="I12:J12"/>
    <mergeCell ref="A84:H84"/>
    <mergeCell ref="J84:K84"/>
    <mergeCell ref="A85:H85"/>
    <mergeCell ref="J85:K85"/>
    <mergeCell ref="A20:I20"/>
    <mergeCell ref="A26:I26"/>
    <mergeCell ref="A29:I29"/>
    <mergeCell ref="A35:I35"/>
    <mergeCell ref="A58:I58"/>
    <mergeCell ref="A83:I83"/>
  </mergeCells>
  <printOptions horizontalCentered="1"/>
  <pageMargins left="1.1811023622047245" right="0.7874015748031497" top="1.1811023622047245" bottom="0.7874015748031497" header="0.2755905511811024" footer="0.2755905511811024"/>
  <pageSetup horizontalDpi="600" verticalDpi="600" orientation="portrait" paperSize="9" scale="3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Willian Costa Max</dc:creator>
  <cp:keywords/>
  <dc:description/>
  <cp:lastModifiedBy>Cliente01</cp:lastModifiedBy>
  <cp:lastPrinted>2018-12-20T13:53:08Z</cp:lastPrinted>
  <dcterms:created xsi:type="dcterms:W3CDTF">2017-12-06T10:41:34Z</dcterms:created>
  <dcterms:modified xsi:type="dcterms:W3CDTF">2018-12-20T13:55:22Z</dcterms:modified>
  <cp:category/>
  <cp:version/>
  <cp:contentType/>
  <cp:contentStatus/>
</cp:coreProperties>
</file>