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886" activeTab="3"/>
  </bookViews>
  <sheets>
    <sheet name="BDI" sheetId="8" r:id="rId1"/>
    <sheet name="CRONOGRAMA" sheetId="6" r:id="rId2"/>
    <sheet name="COMPOSIÇÕES" sheetId="12" r:id="rId3"/>
    <sheet name="ORÇAMENTO" sheetId="1" r:id="rId4"/>
    <sheet name="1. ADM. LOC." sheetId="39" r:id="rId5"/>
    <sheet name="2. SER.PRE." sheetId="13" r:id="rId6"/>
    <sheet name="3. DEMOLIÇÃO" sheetId="44" r:id="rId7"/>
    <sheet name="4. PAVIM." sheetId="42" r:id="rId8"/>
    <sheet name="5. URB. " sheetId="16" r:id="rId9"/>
    <sheet name="6. INST. ELE" sheetId="33" r:id="rId10"/>
    <sheet name="7. SER.FINAIS" sheetId="41" r:id="rId11"/>
  </sheets>
  <definedNames>
    <definedName name="_xlnm.Print_Area" localSheetId="4">'1. ADM. LOC.'!$A$1:$M$24</definedName>
    <definedName name="_xlnm.Print_Area" localSheetId="5">'2. SER.PRE.'!$A$1:$M$31</definedName>
    <definedName name="_xlnm.Print_Area" localSheetId="6">'3. DEMOLIÇÃO'!$A$1:$M$59</definedName>
    <definedName name="_xlnm.Print_Area" localSheetId="7">'4. PAVIM.'!$A$1:$M$85</definedName>
    <definedName name="_xlnm.Print_Area" localSheetId="8">'5. URB. '!$A$1:$M$140</definedName>
    <definedName name="_xlnm.Print_Area" localSheetId="9">'6. INST. ELE'!$A$1:$M$117</definedName>
    <definedName name="_xlnm.Print_Area" localSheetId="10">'7. SER.FINAIS'!$A$1:$M$18</definedName>
    <definedName name="_xlnm.Print_Area" localSheetId="0">BDI!$A$1:$I$38</definedName>
    <definedName name="_xlnm.Print_Area" localSheetId="2">COMPOSIÇÕES!$A$1:$G$242</definedName>
    <definedName name="_xlnm.Print_Area" localSheetId="1">CRONOGRAMA!$A$1:$G$41</definedName>
    <definedName name="_xlnm.Print_Area" localSheetId="3">ORÇAMENTO!$A$1:$K$87</definedName>
    <definedName name="_xlnm.Print_Titles" localSheetId="3">ORÇAMENTO!$10:$10</definedName>
  </definedNames>
  <calcPr calcId="162913"/>
</workbook>
</file>

<file path=xl/calcChain.xml><?xml version="1.0" encoding="utf-8"?>
<calcChain xmlns="http://schemas.openxmlformats.org/spreadsheetml/2006/main">
  <c r="B4" i="12" l="1"/>
  <c r="B3" i="6"/>
  <c r="B4" i="6"/>
  <c r="B4" i="8"/>
  <c r="E154" i="12" l="1"/>
  <c r="B315" i="12"/>
  <c r="A325" i="12"/>
  <c r="A315" i="12"/>
  <c r="A305" i="12"/>
  <c r="A267" i="12"/>
  <c r="A265" i="12"/>
  <c r="A211" i="12"/>
  <c r="F83" i="1"/>
  <c r="F82" i="1"/>
  <c r="F81" i="1"/>
  <c r="F80" i="1"/>
  <c r="F79" i="1"/>
  <c r="F78" i="1"/>
  <c r="F77" i="1"/>
  <c r="F75" i="1"/>
  <c r="F74" i="1"/>
  <c r="F73" i="1"/>
  <c r="F72" i="1"/>
  <c r="F71" i="1"/>
  <c r="F70" i="1"/>
  <c r="F69" i="1"/>
  <c r="F68" i="1"/>
  <c r="F67" i="1"/>
  <c r="F66" i="1"/>
  <c r="F65" i="1"/>
  <c r="F64" i="1"/>
  <c r="F63" i="1"/>
  <c r="F62" i="1"/>
  <c r="F60" i="1"/>
  <c r="F59" i="1"/>
  <c r="F58" i="1"/>
  <c r="A114" i="33"/>
  <c r="B114" i="33"/>
  <c r="B90" i="33"/>
  <c r="B94" i="33"/>
  <c r="B98" i="33"/>
  <c r="B102" i="33"/>
  <c r="B106" i="33"/>
  <c r="B110" i="33"/>
  <c r="A106" i="33"/>
  <c r="A110" i="33"/>
  <c r="A89" i="33"/>
  <c r="A90" i="33"/>
  <c r="A94" i="33"/>
  <c r="A98" i="33"/>
  <c r="A102" i="33"/>
  <c r="B57" i="33"/>
  <c r="B61" i="33"/>
  <c r="B65" i="33"/>
  <c r="B69" i="33"/>
  <c r="B73" i="33"/>
  <c r="B77" i="33"/>
  <c r="B81" i="33"/>
  <c r="B85" i="33"/>
  <c r="B89" i="33"/>
  <c r="A57" i="33"/>
  <c r="A61" i="33"/>
  <c r="A65" i="33"/>
  <c r="A69" i="33"/>
  <c r="A73" i="33"/>
  <c r="A77" i="33"/>
  <c r="A81" i="33"/>
  <c r="A85" i="33"/>
  <c r="B33" i="33"/>
  <c r="B37" i="33"/>
  <c r="B41" i="33"/>
  <c r="B45" i="33"/>
  <c r="B49" i="33"/>
  <c r="B53" i="33"/>
  <c r="A33" i="33"/>
  <c r="A37" i="33"/>
  <c r="A41" i="33"/>
  <c r="A45" i="33"/>
  <c r="A49" i="33"/>
  <c r="A53" i="33"/>
  <c r="B32" i="33"/>
  <c r="A32" i="33"/>
  <c r="B28" i="33"/>
  <c r="A28" i="33"/>
  <c r="B20" i="33"/>
  <c r="A20" i="33"/>
  <c r="B19" i="33"/>
  <c r="A19" i="33"/>
  <c r="B325" i="12"/>
  <c r="A323" i="12"/>
  <c r="G329" i="12"/>
  <c r="G328" i="12"/>
  <c r="G327" i="12"/>
  <c r="A313" i="12"/>
  <c r="G320" i="12"/>
  <c r="G319" i="12"/>
  <c r="G318" i="12"/>
  <c r="G317" i="12"/>
  <c r="G308" i="12"/>
  <c r="G309" i="12"/>
  <c r="G310" i="12"/>
  <c r="B305" i="12"/>
  <c r="A303" i="12"/>
  <c r="G307" i="12"/>
  <c r="B296" i="12"/>
  <c r="A296" i="12"/>
  <c r="A294" i="12"/>
  <c r="G300" i="12"/>
  <c r="G299" i="12"/>
  <c r="G298" i="12"/>
  <c r="A287" i="12"/>
  <c r="B287" i="12"/>
  <c r="A285" i="12"/>
  <c r="G291" i="12"/>
  <c r="G290" i="12"/>
  <c r="G289" i="12"/>
  <c r="B278" i="12"/>
  <c r="A278" i="12"/>
  <c r="A276" i="12"/>
  <c r="G282" i="12"/>
  <c r="G281" i="12"/>
  <c r="G280" i="12"/>
  <c r="G330" i="12" l="1"/>
  <c r="G82" i="1" s="1"/>
  <c r="G321" i="12"/>
  <c r="G78" i="1" s="1"/>
  <c r="G311" i="12"/>
  <c r="G77" i="1" s="1"/>
  <c r="G292" i="12"/>
  <c r="G66" i="1" s="1"/>
  <c r="G301" i="12"/>
  <c r="G74" i="1" s="1"/>
  <c r="G283" i="12"/>
  <c r="G65" i="1" s="1"/>
  <c r="B24" i="33" l="1"/>
  <c r="A24" i="33"/>
  <c r="F270" i="12"/>
  <c r="G270" i="12" s="1"/>
  <c r="E271" i="12"/>
  <c r="G271" i="12" s="1"/>
  <c r="G272" i="12"/>
  <c r="G273" i="12"/>
  <c r="B267" i="12"/>
  <c r="G269" i="12"/>
  <c r="G274" i="12" l="1"/>
  <c r="G58" i="1" s="1"/>
  <c r="C64" i="16" l="1"/>
  <c r="C63" i="16"/>
  <c r="E232" i="12" l="1"/>
  <c r="G232" i="12" s="1"/>
  <c r="E226" i="12"/>
  <c r="G226" i="12" s="1"/>
  <c r="E225" i="12"/>
  <c r="G225" i="12" s="1"/>
  <c r="E224" i="12"/>
  <c r="G224" i="12" s="1"/>
  <c r="G223" i="12"/>
  <c r="G227" i="12"/>
  <c r="G229" i="12"/>
  <c r="G231" i="12"/>
  <c r="E236" i="12"/>
  <c r="E235" i="12"/>
  <c r="E234" i="12"/>
  <c r="G234" i="12" s="1"/>
  <c r="E233" i="12"/>
  <c r="G233" i="12" s="1"/>
  <c r="E230" i="12"/>
  <c r="G230" i="12" s="1"/>
  <c r="E228" i="12"/>
  <c r="G228" i="12" s="1"/>
  <c r="D26" i="16" l="1"/>
  <c r="C70" i="42"/>
  <c r="G27" i="42"/>
  <c r="G26" i="42"/>
  <c r="F56" i="1"/>
  <c r="B15" i="33"/>
  <c r="A15" i="33"/>
  <c r="G249" i="12"/>
  <c r="G250" i="12"/>
  <c r="G251" i="12"/>
  <c r="G252" i="12"/>
  <c r="G253" i="12"/>
  <c r="G254" i="12"/>
  <c r="G255" i="12"/>
  <c r="G256" i="12"/>
  <c r="G257" i="12"/>
  <c r="G258" i="12"/>
  <c r="G259" i="12"/>
  <c r="G260" i="12"/>
  <c r="G261" i="12"/>
  <c r="G262" i="12"/>
  <c r="A246" i="12"/>
  <c r="B246" i="12"/>
  <c r="A244" i="12"/>
  <c r="G248" i="12"/>
  <c r="G263" i="12" l="1"/>
  <c r="G56" i="1" s="1"/>
  <c r="F27" i="1" l="1"/>
  <c r="I78" i="42"/>
  <c r="I79" i="42"/>
  <c r="I80" i="42"/>
  <c r="I82" i="42" s="1"/>
  <c r="I81" i="42"/>
  <c r="I77" i="42"/>
  <c r="B74" i="42"/>
  <c r="A74" i="42"/>
  <c r="A34" i="12"/>
  <c r="A32" i="12"/>
  <c r="G40" i="12"/>
  <c r="G39" i="12"/>
  <c r="G38" i="12"/>
  <c r="G37" i="12"/>
  <c r="G36" i="12"/>
  <c r="G41" i="12" l="1"/>
  <c r="G27" i="1" s="1"/>
  <c r="C84" i="42"/>
  <c r="E153" i="12" l="1"/>
  <c r="E142" i="12"/>
  <c r="E149" i="12"/>
  <c r="E148" i="12"/>
  <c r="E147" i="12"/>
  <c r="E145" i="12"/>
  <c r="E144" i="12"/>
  <c r="E143" i="12"/>
  <c r="E146" i="12"/>
  <c r="D48" i="1"/>
  <c r="E178" i="12"/>
  <c r="G178" i="12" s="1"/>
  <c r="G179" i="12"/>
  <c r="G180" i="12" l="1"/>
  <c r="G181" i="12"/>
  <c r="G184" i="12"/>
  <c r="G186" i="12"/>
  <c r="G187" i="12"/>
  <c r="G188" i="12"/>
  <c r="E183" i="12" l="1"/>
  <c r="E185" i="12"/>
  <c r="G185" i="12" s="1"/>
  <c r="E176" i="12"/>
  <c r="E177" i="12"/>
  <c r="E175" i="12"/>
  <c r="E174" i="12"/>
  <c r="E138" i="12" l="1"/>
  <c r="E139" i="12"/>
  <c r="E140" i="12"/>
  <c r="A193" i="12"/>
  <c r="F50" i="1"/>
  <c r="B132" i="16"/>
  <c r="A132" i="16"/>
  <c r="B131" i="16"/>
  <c r="A131" i="16"/>
  <c r="E203" i="12"/>
  <c r="G203" i="12" s="1"/>
  <c r="E202" i="12"/>
  <c r="G202" i="12" s="1"/>
  <c r="E201" i="12"/>
  <c r="G201" i="12" s="1"/>
  <c r="E200" i="12"/>
  <c r="G200" i="12" s="1"/>
  <c r="E199" i="12"/>
  <c r="G199" i="12" s="1"/>
  <c r="E198" i="12"/>
  <c r="G198" i="12" s="1"/>
  <c r="E197" i="12"/>
  <c r="G197" i="12" s="1"/>
  <c r="E196" i="12"/>
  <c r="G196" i="12" s="1"/>
  <c r="E195" i="12"/>
  <c r="G195" i="12" s="1"/>
  <c r="G204" i="12"/>
  <c r="G205" i="12"/>
  <c r="G206" i="12"/>
  <c r="A191" i="12"/>
  <c r="G207" i="12" l="1"/>
  <c r="G50" i="1" s="1"/>
  <c r="E109" i="12" l="1"/>
  <c r="E108" i="12"/>
  <c r="E107" i="12"/>
  <c r="E106" i="12"/>
  <c r="F38" i="1"/>
  <c r="F37" i="1"/>
  <c r="F36" i="1"/>
  <c r="B80" i="16"/>
  <c r="A80" i="16"/>
  <c r="B76" i="16"/>
  <c r="A76" i="16"/>
  <c r="E99" i="12"/>
  <c r="E98" i="12"/>
  <c r="E97" i="12"/>
  <c r="E96" i="12"/>
  <c r="B104" i="12" l="1"/>
  <c r="A104" i="12"/>
  <c r="A102" i="12"/>
  <c r="G109" i="12"/>
  <c r="G108" i="12"/>
  <c r="G107" i="12"/>
  <c r="G106" i="12"/>
  <c r="A94" i="12"/>
  <c r="B94" i="12"/>
  <c r="A92" i="12"/>
  <c r="G99" i="12"/>
  <c r="G98" i="12"/>
  <c r="G97" i="12"/>
  <c r="G96" i="12"/>
  <c r="E89" i="12"/>
  <c r="E88" i="12"/>
  <c r="E87" i="12"/>
  <c r="E86" i="12"/>
  <c r="G110" i="12" l="1"/>
  <c r="G38" i="1" s="1"/>
  <c r="G100" i="12"/>
  <c r="G37" i="1" s="1"/>
  <c r="C100" i="16"/>
  <c r="C99" i="16"/>
  <c r="C72" i="42"/>
  <c r="F26" i="1" s="1"/>
  <c r="B63" i="42"/>
  <c r="A63" i="42"/>
  <c r="G14" i="41"/>
  <c r="C17" i="41" s="1"/>
  <c r="G236" i="12"/>
  <c r="G235" i="12"/>
  <c r="G237" i="12"/>
  <c r="G238" i="12"/>
  <c r="G239" i="12"/>
  <c r="G240" i="12"/>
  <c r="G241" i="12"/>
  <c r="G183" i="12"/>
  <c r="G177" i="12"/>
  <c r="G176" i="12"/>
  <c r="G175" i="12"/>
  <c r="G174" i="12"/>
  <c r="F48" i="1"/>
  <c r="B127" i="16"/>
  <c r="A127" i="16"/>
  <c r="B126" i="16"/>
  <c r="A126" i="16"/>
  <c r="A172" i="12"/>
  <c r="A170" i="12"/>
  <c r="C124" i="16"/>
  <c r="F46" i="1" s="1"/>
  <c r="B119" i="16"/>
  <c r="A119" i="16"/>
  <c r="F45" i="1"/>
  <c r="B115" i="16"/>
  <c r="A115" i="16"/>
  <c r="G167" i="12"/>
  <c r="E165" i="12"/>
  <c r="E164" i="12"/>
  <c r="G164" i="12" s="1"/>
  <c r="E163" i="12"/>
  <c r="G163" i="12" s="1"/>
  <c r="A161" i="12"/>
  <c r="A159" i="12"/>
  <c r="G64" i="16"/>
  <c r="G66" i="16"/>
  <c r="G63" i="16"/>
  <c r="C62" i="16"/>
  <c r="G62" i="16" s="1"/>
  <c r="C61" i="16"/>
  <c r="G61" i="16" s="1"/>
  <c r="G65" i="16"/>
  <c r="G53" i="16"/>
  <c r="G52" i="16"/>
  <c r="G51" i="16"/>
  <c r="G50" i="16"/>
  <c r="G49" i="16"/>
  <c r="G48" i="16"/>
  <c r="G40" i="16"/>
  <c r="G39" i="16"/>
  <c r="G38" i="16"/>
  <c r="C23" i="16"/>
  <c r="G67" i="16" l="1"/>
  <c r="C69" i="16" s="1"/>
  <c r="F34" i="1" s="1"/>
  <c r="E182" i="12"/>
  <c r="G182" i="12" s="1"/>
  <c r="E166" i="12"/>
  <c r="G166" i="12" s="1"/>
  <c r="G165" i="12"/>
  <c r="G54" i="16"/>
  <c r="A16" i="12"/>
  <c r="G51" i="42"/>
  <c r="C89" i="16" s="1"/>
  <c r="G52" i="42"/>
  <c r="G53" i="42"/>
  <c r="G54" i="42"/>
  <c r="C92" i="16" s="1"/>
  <c r="G55" i="42"/>
  <c r="G56" i="42"/>
  <c r="G57" i="42"/>
  <c r="G58" i="42"/>
  <c r="G35" i="42"/>
  <c r="C90" i="16" s="1"/>
  <c r="G36" i="42"/>
  <c r="G37" i="42"/>
  <c r="G38" i="42"/>
  <c r="C94" i="16" s="1"/>
  <c r="G39" i="42"/>
  <c r="C95" i="16" s="1"/>
  <c r="G40" i="42"/>
  <c r="G41" i="42"/>
  <c r="G42" i="42"/>
  <c r="B31" i="42"/>
  <c r="A31" i="42"/>
  <c r="G34" i="42"/>
  <c r="C97" i="16" l="1"/>
  <c r="C98" i="16"/>
  <c r="C93" i="16"/>
  <c r="C91" i="16"/>
  <c r="G189" i="12"/>
  <c r="G48" i="1" s="1"/>
  <c r="C96" i="16"/>
  <c r="G168" i="12"/>
  <c r="G45" i="1" s="1"/>
  <c r="G43" i="42"/>
  <c r="C45" i="42" s="1"/>
  <c r="F24" i="1" s="1"/>
  <c r="G50" i="42"/>
  <c r="G59" i="42" s="1"/>
  <c r="G25" i="42"/>
  <c r="G24" i="42"/>
  <c r="G23" i="42"/>
  <c r="G22" i="42"/>
  <c r="G21" i="42"/>
  <c r="G20" i="42"/>
  <c r="G19" i="42"/>
  <c r="G18" i="42"/>
  <c r="G17" i="42"/>
  <c r="G16" i="42"/>
  <c r="G15" i="42"/>
  <c r="C88" i="16" l="1"/>
  <c r="C101" i="16" s="1"/>
  <c r="C103" i="16" s="1"/>
  <c r="C56" i="44" l="1"/>
  <c r="C58" i="44" s="1"/>
  <c r="C42" i="44"/>
  <c r="C44" i="44" s="1"/>
  <c r="F19" i="1" s="1"/>
  <c r="F20" i="1"/>
  <c r="A46" i="44"/>
  <c r="A29" i="44"/>
  <c r="D20" i="1"/>
  <c r="B46" i="44" s="1"/>
  <c r="A24" i="12" l="1"/>
  <c r="G29" i="12"/>
  <c r="G28" i="12"/>
  <c r="A26" i="12"/>
  <c r="D19" i="1"/>
  <c r="B29" i="44" s="1"/>
  <c r="A18" i="12"/>
  <c r="I24" i="44"/>
  <c r="I17" i="44"/>
  <c r="I16" i="44"/>
  <c r="I15" i="44"/>
  <c r="I14" i="44"/>
  <c r="C23" i="44"/>
  <c r="I23" i="44" s="1"/>
  <c r="C22" i="44"/>
  <c r="I22" i="44" s="1"/>
  <c r="C21" i="44"/>
  <c r="I21" i="44" s="1"/>
  <c r="C20" i="44"/>
  <c r="I20" i="44" s="1"/>
  <c r="C19" i="44"/>
  <c r="I19" i="44" s="1"/>
  <c r="C18" i="44"/>
  <c r="I18" i="44"/>
  <c r="B11" i="44"/>
  <c r="A11" i="44"/>
  <c r="G21" i="13"/>
  <c r="C23" i="13" s="1"/>
  <c r="F15" i="1" s="1"/>
  <c r="B18" i="13"/>
  <c r="A18" i="13"/>
  <c r="G30" i="12" l="1"/>
  <c r="G20" i="1" s="1"/>
  <c r="I25" i="44"/>
  <c r="C27" i="44" s="1"/>
  <c r="F18" i="1" s="1"/>
  <c r="B3" i="12" l="1"/>
  <c r="F44" i="1" l="1"/>
  <c r="B111" i="16"/>
  <c r="A111" i="16"/>
  <c r="B110" i="16"/>
  <c r="A110" i="16"/>
  <c r="G149" i="12"/>
  <c r="G151" i="12"/>
  <c r="G150" i="12"/>
  <c r="G148" i="12"/>
  <c r="G147" i="12"/>
  <c r="G146" i="12"/>
  <c r="G145" i="12"/>
  <c r="G144" i="12"/>
  <c r="G143" i="12"/>
  <c r="G142" i="12"/>
  <c r="G140" i="12"/>
  <c r="G138" i="12"/>
  <c r="G152" i="12"/>
  <c r="G153" i="12"/>
  <c r="G154" i="12"/>
  <c r="G155" i="12"/>
  <c r="G156" i="12"/>
  <c r="A136" i="12"/>
  <c r="B136" i="12"/>
  <c r="A134" i="12"/>
  <c r="F21" i="1"/>
  <c r="B50" i="44"/>
  <c r="A50" i="44"/>
  <c r="B25" i="13"/>
  <c r="G28" i="13"/>
  <c r="C30" i="13" s="1"/>
  <c r="E141" i="12" l="1"/>
  <c r="G141" i="12" s="1"/>
  <c r="G139" i="12"/>
  <c r="G157" i="12" l="1"/>
  <c r="G44" i="1" s="1"/>
  <c r="G9" i="6" l="1"/>
  <c r="F9" i="6"/>
  <c r="E9" i="6"/>
  <c r="D9" i="6"/>
  <c r="A1" i="6"/>
  <c r="A334" i="12"/>
  <c r="B334" i="12"/>
  <c r="A332" i="12"/>
  <c r="G336" i="12"/>
  <c r="G337" i="12" s="1"/>
  <c r="G85" i="1" s="1"/>
  <c r="B211" i="12"/>
  <c r="A209" i="12"/>
  <c r="G214" i="12"/>
  <c r="G215" i="12"/>
  <c r="G213" i="12"/>
  <c r="F16" i="1"/>
  <c r="B3" i="8"/>
  <c r="A1" i="8"/>
  <c r="G216" i="12" l="1"/>
  <c r="G52" i="1" s="1"/>
  <c r="A1" i="12" l="1"/>
  <c r="G131" i="12" l="1"/>
  <c r="G130" i="12"/>
  <c r="G129" i="12"/>
  <c r="G128" i="12"/>
  <c r="G127" i="12"/>
  <c r="G125" i="12"/>
  <c r="G118" i="12"/>
  <c r="G79" i="12"/>
  <c r="G78" i="12"/>
  <c r="G70" i="12"/>
  <c r="G69" i="12"/>
  <c r="G68" i="12"/>
  <c r="G60" i="12"/>
  <c r="G59" i="12"/>
  <c r="G58" i="12"/>
  <c r="G50" i="12"/>
  <c r="G49" i="12"/>
  <c r="G47" i="12"/>
  <c r="G21" i="12"/>
  <c r="F55" i="1"/>
  <c r="B11" i="33"/>
  <c r="A11" i="33"/>
  <c r="A220" i="12"/>
  <c r="B220" i="12"/>
  <c r="A218" i="12"/>
  <c r="G222" i="12" l="1"/>
  <c r="G242" i="12" l="1"/>
  <c r="G55" i="1" s="1"/>
  <c r="A73" i="12"/>
  <c r="A63" i="12"/>
  <c r="A53" i="12"/>
  <c r="B10" i="44" l="1"/>
  <c r="A10" i="44"/>
  <c r="K6" i="44"/>
  <c r="I6" i="44"/>
  <c r="C6" i="44"/>
  <c r="A6" i="44"/>
  <c r="I5" i="44"/>
  <c r="A5" i="44"/>
  <c r="K4" i="44"/>
  <c r="C4" i="44"/>
  <c r="A4" i="44"/>
  <c r="K3" i="44"/>
  <c r="I3" i="44"/>
  <c r="C3" i="44"/>
  <c r="A3" i="44"/>
  <c r="K2" i="44"/>
  <c r="I2" i="44"/>
  <c r="C2" i="44"/>
  <c r="A2" i="44"/>
  <c r="A1" i="44"/>
  <c r="A8" i="12"/>
  <c r="G20" i="12" l="1"/>
  <c r="K6" i="33" l="1"/>
  <c r="I6" i="33"/>
  <c r="C6" i="33"/>
  <c r="A6" i="33"/>
  <c r="I5" i="33"/>
  <c r="A5" i="33"/>
  <c r="K4" i="33"/>
  <c r="C4" i="33"/>
  <c r="A4" i="33"/>
  <c r="K3" i="33"/>
  <c r="I3" i="33"/>
  <c r="C3" i="33"/>
  <c r="A3" i="33"/>
  <c r="K2" i="33"/>
  <c r="I2" i="33"/>
  <c r="C2" i="33"/>
  <c r="A2" i="33"/>
  <c r="A1" i="33"/>
  <c r="F52" i="1"/>
  <c r="A114" i="12"/>
  <c r="A112" i="12"/>
  <c r="G89" i="12" l="1"/>
  <c r="G88" i="12"/>
  <c r="G86" i="12"/>
  <c r="G87" i="12"/>
  <c r="F40" i="1" l="1"/>
  <c r="A84" i="12" l="1"/>
  <c r="A82" i="12"/>
  <c r="B30" i="16" l="1"/>
  <c r="A30" i="16"/>
  <c r="A43" i="12"/>
  <c r="A45" i="12"/>
  <c r="B26" i="16"/>
  <c r="C32" i="16" l="1"/>
  <c r="F31" i="1" s="1"/>
  <c r="E48" i="12"/>
  <c r="G48" i="12" s="1"/>
  <c r="K6" i="16"/>
  <c r="I6" i="16"/>
  <c r="C6" i="16"/>
  <c r="A6" i="16"/>
  <c r="I5" i="16"/>
  <c r="A5" i="16"/>
  <c r="K4" i="16"/>
  <c r="C4" i="16"/>
  <c r="A4" i="16"/>
  <c r="K3" i="16"/>
  <c r="I3" i="16"/>
  <c r="C3" i="16"/>
  <c r="A3" i="16"/>
  <c r="K2" i="16"/>
  <c r="I2" i="16"/>
  <c r="C2" i="16"/>
  <c r="A2" i="16"/>
  <c r="A1" i="39"/>
  <c r="A1" i="16"/>
  <c r="G14" i="42" l="1"/>
  <c r="C61" i="42"/>
  <c r="F25" i="1" s="1"/>
  <c r="B47" i="42"/>
  <c r="A47" i="42"/>
  <c r="B11" i="42"/>
  <c r="A11" i="42"/>
  <c r="B10" i="42"/>
  <c r="A10" i="42"/>
  <c r="K6" i="42"/>
  <c r="I6" i="42"/>
  <c r="C6" i="42"/>
  <c r="A6" i="42"/>
  <c r="I5" i="42"/>
  <c r="A5" i="42"/>
  <c r="K4" i="42"/>
  <c r="C4" i="42"/>
  <c r="A4" i="42"/>
  <c r="K3" i="42"/>
  <c r="I3" i="42"/>
  <c r="C3" i="42"/>
  <c r="A3" i="42"/>
  <c r="K2" i="42"/>
  <c r="I2" i="42"/>
  <c r="C2" i="42"/>
  <c r="A2" i="42"/>
  <c r="A1" i="42"/>
  <c r="F85" i="1"/>
  <c r="B11" i="41"/>
  <c r="A11" i="41"/>
  <c r="B10" i="41"/>
  <c r="A10" i="41"/>
  <c r="K6" i="41"/>
  <c r="I6" i="41"/>
  <c r="C6" i="41"/>
  <c r="A6" i="41"/>
  <c r="I5" i="41"/>
  <c r="A5" i="41"/>
  <c r="K4" i="41"/>
  <c r="C4" i="41"/>
  <c r="A4" i="41"/>
  <c r="K3" i="41"/>
  <c r="I3" i="41"/>
  <c r="C3" i="41"/>
  <c r="A3" i="41"/>
  <c r="K2" i="41"/>
  <c r="I2" i="41"/>
  <c r="C2" i="41"/>
  <c r="A2" i="41"/>
  <c r="A1" i="41"/>
  <c r="K6" i="13"/>
  <c r="I6" i="13"/>
  <c r="C6" i="13"/>
  <c r="A6" i="13"/>
  <c r="I5" i="13"/>
  <c r="A5" i="13"/>
  <c r="K4" i="13"/>
  <c r="C4" i="13"/>
  <c r="A4" i="13"/>
  <c r="K3" i="13"/>
  <c r="I3" i="13"/>
  <c r="C3" i="13"/>
  <c r="A3" i="13"/>
  <c r="K2" i="13"/>
  <c r="I2" i="13"/>
  <c r="C2" i="13"/>
  <c r="A2" i="13"/>
  <c r="A1" i="13"/>
  <c r="K6" i="39"/>
  <c r="I6" i="39"/>
  <c r="I5" i="39"/>
  <c r="K4" i="39"/>
  <c r="K3" i="39"/>
  <c r="I3" i="39"/>
  <c r="K2" i="39"/>
  <c r="I2" i="39"/>
  <c r="C6" i="39"/>
  <c r="A6" i="39"/>
  <c r="A5" i="39"/>
  <c r="A4" i="39"/>
  <c r="A3" i="39"/>
  <c r="A2" i="39"/>
  <c r="C4" i="39"/>
  <c r="C3" i="39"/>
  <c r="C2" i="39"/>
  <c r="C29" i="42" l="1"/>
  <c r="F23" i="1" s="1"/>
  <c r="B84" i="12" l="1"/>
  <c r="E124" i="12" l="1"/>
  <c r="G124" i="12" s="1"/>
  <c r="E116" i="12"/>
  <c r="E122" i="12"/>
  <c r="G122" i="12" s="1"/>
  <c r="E123" i="12"/>
  <c r="G123" i="12" s="1"/>
  <c r="E120" i="12"/>
  <c r="G120" i="12" s="1"/>
  <c r="E126" i="12"/>
  <c r="G126" i="12" s="1"/>
  <c r="E121" i="12"/>
  <c r="G121" i="12" s="1"/>
  <c r="E119" i="12"/>
  <c r="G119" i="12" s="1"/>
  <c r="E117" i="12" l="1"/>
  <c r="G117" i="12" s="1"/>
  <c r="G116" i="12"/>
  <c r="G51" i="12"/>
  <c r="G30" i="1" s="1"/>
  <c r="A25" i="13" l="1"/>
  <c r="G22" i="12" l="1"/>
  <c r="G19" i="1" s="1"/>
  <c r="B137" i="16"/>
  <c r="A137" i="16"/>
  <c r="B136" i="16"/>
  <c r="A136" i="16"/>
  <c r="G37" i="16"/>
  <c r="G41" i="16" s="1"/>
  <c r="B72" i="16"/>
  <c r="A72" i="16"/>
  <c r="B11" i="16"/>
  <c r="A11" i="16"/>
  <c r="F26" i="16" l="1"/>
  <c r="F42" i="1"/>
  <c r="G132" i="12" l="1"/>
  <c r="G90" i="12" l="1"/>
  <c r="G36" i="1" s="1"/>
  <c r="B84" i="16" l="1"/>
  <c r="A84" i="16"/>
  <c r="B85" i="16" l="1"/>
  <c r="A85" i="16"/>
  <c r="C43" i="16" l="1"/>
  <c r="F32" i="1" s="1"/>
  <c r="G77" i="12" l="1"/>
  <c r="G67" i="12"/>
  <c r="G57" i="12"/>
  <c r="C56" i="16" l="1"/>
  <c r="B71" i="16"/>
  <c r="A45" i="16"/>
  <c r="A58" i="16"/>
  <c r="A71" i="16"/>
  <c r="A34" i="16"/>
  <c r="F33" i="1" l="1"/>
  <c r="B11" i="13"/>
  <c r="A11" i="13"/>
  <c r="B10" i="13"/>
  <c r="A10" i="13"/>
  <c r="C28" i="16" l="1"/>
  <c r="F30" i="1" l="1"/>
  <c r="D34" i="1"/>
  <c r="B58" i="16" s="1"/>
  <c r="A75" i="12"/>
  <c r="D33" i="1"/>
  <c r="B45" i="16" s="1"/>
  <c r="A65" i="12"/>
  <c r="A55" i="12"/>
  <c r="G80" i="12" l="1"/>
  <c r="G34" i="1" s="1"/>
  <c r="G71" i="12"/>
  <c r="G33" i="1" s="1"/>
  <c r="G61" i="12"/>
  <c r="G32" i="1" s="1"/>
  <c r="B24" i="6" l="1"/>
  <c r="A24" i="6"/>
  <c r="B10" i="33" l="1"/>
  <c r="A10" i="33"/>
  <c r="B12" i="16" l="1"/>
  <c r="A12" i="16"/>
  <c r="B27" i="6" l="1"/>
  <c r="A27" i="6"/>
  <c r="B21" i="6"/>
  <c r="A21" i="6"/>
  <c r="B18" i="6"/>
  <c r="A18" i="6"/>
  <c r="B15" i="6"/>
  <c r="A15" i="6"/>
  <c r="B12" i="6"/>
  <c r="A12" i="6"/>
  <c r="B9" i="6"/>
  <c r="A9" i="6"/>
  <c r="A10" i="12" l="1"/>
  <c r="B10" i="16" l="1"/>
  <c r="A10" i="16"/>
  <c r="G14" i="13"/>
  <c r="C16" i="13" s="1"/>
  <c r="F12" i="1"/>
  <c r="I21" i="39"/>
  <c r="E13" i="12" s="1"/>
  <c r="G13" i="12" s="1"/>
  <c r="I17" i="39"/>
  <c r="E12" i="12" s="1"/>
  <c r="G12" i="12" s="1"/>
  <c r="D12" i="1"/>
  <c r="B11" i="39" s="1"/>
  <c r="A11" i="39"/>
  <c r="B10" i="39"/>
  <c r="A10" i="39"/>
  <c r="G14" i="12" l="1"/>
  <c r="G12" i="1" s="1"/>
  <c r="A106" i="16" l="1"/>
  <c r="D42" i="1" l="1"/>
  <c r="G42" i="1" l="1"/>
  <c r="B25" i="6" l="1"/>
  <c r="B106" i="16" l="1"/>
  <c r="B16" i="6" l="1"/>
  <c r="I21" i="8" l="1"/>
  <c r="I14" i="8" s="1"/>
  <c r="A105" i="16"/>
  <c r="F14" i="1"/>
  <c r="I23" i="8" l="1"/>
  <c r="G5" i="1" s="1"/>
  <c r="H79" i="1" l="1"/>
  <c r="I79" i="1" s="1"/>
  <c r="H58" i="1"/>
  <c r="I58" i="1" s="1"/>
  <c r="H81" i="1"/>
  <c r="I81" i="1" s="1"/>
  <c r="H80" i="1"/>
  <c r="I80" i="1" s="1"/>
  <c r="H82" i="1"/>
  <c r="I82" i="1" s="1"/>
  <c r="H83" i="1"/>
  <c r="I83" i="1" s="1"/>
  <c r="H71" i="1"/>
  <c r="I71" i="1" s="1"/>
  <c r="H75" i="1"/>
  <c r="I75" i="1" s="1"/>
  <c r="H78" i="1"/>
  <c r="I78" i="1" s="1"/>
  <c r="H77" i="1"/>
  <c r="I77" i="1" s="1"/>
  <c r="H72" i="1"/>
  <c r="I72" i="1" s="1"/>
  <c r="H64" i="1"/>
  <c r="I64" i="1" s="1"/>
  <c r="H70" i="1"/>
  <c r="I70" i="1" s="1"/>
  <c r="H63" i="1"/>
  <c r="I63" i="1" s="1"/>
  <c r="H73" i="1"/>
  <c r="I73" i="1" s="1"/>
  <c r="H66" i="1"/>
  <c r="I66" i="1" s="1"/>
  <c r="H69" i="1"/>
  <c r="I69" i="1" s="1"/>
  <c r="H62" i="1"/>
  <c r="I62" i="1" s="1"/>
  <c r="H68" i="1"/>
  <c r="I68" i="1" s="1"/>
  <c r="H74" i="1"/>
  <c r="I74" i="1" s="1"/>
  <c r="H67" i="1"/>
  <c r="I67" i="1" s="1"/>
  <c r="H65" i="1"/>
  <c r="I65" i="1" s="1"/>
  <c r="H59" i="1"/>
  <c r="I59" i="1" s="1"/>
  <c r="H60" i="1"/>
  <c r="I60" i="1" s="1"/>
  <c r="H50" i="1"/>
  <c r="I50" i="1" s="1"/>
  <c r="I49" i="1" s="1"/>
  <c r="H56" i="1"/>
  <c r="I56" i="1" s="1"/>
  <c r="H27" i="1"/>
  <c r="I27" i="1" s="1"/>
  <c r="H37" i="1"/>
  <c r="I37" i="1" s="1"/>
  <c r="H38" i="1"/>
  <c r="I38" i="1" s="1"/>
  <c r="H48" i="1"/>
  <c r="I48" i="1" s="1"/>
  <c r="I47" i="1" s="1"/>
  <c r="H26" i="1"/>
  <c r="I26" i="1" s="1"/>
  <c r="H46" i="1"/>
  <c r="I46" i="1" s="1"/>
  <c r="H45" i="1"/>
  <c r="I45" i="1" s="1"/>
  <c r="H20" i="1"/>
  <c r="I20" i="1" s="1"/>
  <c r="H24" i="1"/>
  <c r="I24" i="1" s="1"/>
  <c r="H18" i="1"/>
  <c r="I18" i="1" s="1"/>
  <c r="H19" i="1"/>
  <c r="I19" i="1" s="1"/>
  <c r="H44" i="1"/>
  <c r="I44" i="1" s="1"/>
  <c r="H15" i="1"/>
  <c r="I15" i="1" s="1"/>
  <c r="H21" i="1"/>
  <c r="I21" i="1" s="1"/>
  <c r="G5" i="8"/>
  <c r="F5" i="6"/>
  <c r="F5" i="12"/>
  <c r="H55" i="1"/>
  <c r="I55" i="1" s="1"/>
  <c r="H25" i="1"/>
  <c r="I25" i="1" s="1"/>
  <c r="K5" i="44"/>
  <c r="H40" i="1"/>
  <c r="I40" i="1" s="1"/>
  <c r="H23" i="1"/>
  <c r="H16" i="1"/>
  <c r="I16" i="1" s="1"/>
  <c r="H85" i="1"/>
  <c r="H31" i="1"/>
  <c r="I31" i="1" s="1"/>
  <c r="H52" i="1"/>
  <c r="I52" i="1" s="1"/>
  <c r="I51" i="1" s="1"/>
  <c r="H14" i="1"/>
  <c r="I14" i="1" s="1"/>
  <c r="K5" i="33"/>
  <c r="K5" i="16"/>
  <c r="K5" i="42"/>
  <c r="K5" i="39"/>
  <c r="K5" i="41"/>
  <c r="K5" i="13"/>
  <c r="H30" i="1"/>
  <c r="I30" i="1" s="1"/>
  <c r="H36" i="1"/>
  <c r="I36" i="1" s="1"/>
  <c r="H32" i="1"/>
  <c r="I32" i="1" s="1"/>
  <c r="H33" i="1"/>
  <c r="I33" i="1" s="1"/>
  <c r="H34" i="1"/>
  <c r="I34" i="1" s="1"/>
  <c r="H12" i="1"/>
  <c r="I12" i="1" s="1"/>
  <c r="I11" i="1" s="1"/>
  <c r="C9" i="6" s="1"/>
  <c r="H42" i="1"/>
  <c r="I42" i="1" s="1"/>
  <c r="I41" i="1" s="1"/>
  <c r="I61" i="1" l="1"/>
  <c r="I57" i="1"/>
  <c r="I76" i="1"/>
  <c r="I54" i="1"/>
  <c r="I43" i="1"/>
  <c r="J44" i="1" s="1"/>
  <c r="I35" i="1"/>
  <c r="I17" i="1"/>
  <c r="I29" i="1"/>
  <c r="J31" i="1" s="1"/>
  <c r="I13" i="1"/>
  <c r="J30" i="1" l="1"/>
  <c r="J33" i="1"/>
  <c r="J32" i="1"/>
  <c r="J34" i="1"/>
  <c r="I53" i="1"/>
  <c r="J54" i="1" s="1"/>
  <c r="J38" i="1"/>
  <c r="J37" i="1"/>
  <c r="C12" i="6"/>
  <c r="J15" i="1"/>
  <c r="J36" i="1"/>
  <c r="J16" i="1"/>
  <c r="J12" i="1"/>
  <c r="J11" i="1" s="1"/>
  <c r="J14" i="1"/>
  <c r="J57" i="1" l="1"/>
  <c r="J61" i="1"/>
  <c r="J76" i="1"/>
  <c r="J62" i="1"/>
  <c r="J68" i="1"/>
  <c r="J63" i="1"/>
  <c r="J69" i="1"/>
  <c r="J75" i="1"/>
  <c r="J64" i="1"/>
  <c r="J70" i="1"/>
  <c r="J71" i="1"/>
  <c r="J72" i="1"/>
  <c r="J67" i="1"/>
  <c r="J73" i="1"/>
  <c r="J59" i="1"/>
  <c r="J65" i="1"/>
  <c r="J58" i="1"/>
  <c r="J74" i="1"/>
  <c r="J66" i="1"/>
  <c r="J60" i="1"/>
  <c r="J13" i="1"/>
  <c r="E11" i="6"/>
  <c r="G11" i="6"/>
  <c r="F11" i="6"/>
  <c r="D11" i="6"/>
  <c r="C28" i="6"/>
  <c r="D14" i="6"/>
  <c r="J53" i="1" l="1"/>
  <c r="C25" i="6"/>
  <c r="I23" i="1" l="1"/>
  <c r="I22" i="1" s="1"/>
  <c r="I85" i="1"/>
  <c r="J25" i="1" l="1"/>
  <c r="J26" i="1"/>
  <c r="J24" i="1"/>
  <c r="J27" i="1"/>
  <c r="I39" i="1"/>
  <c r="I84" i="1"/>
  <c r="I28" i="1" l="1"/>
  <c r="C27" i="6"/>
  <c r="G29" i="6" s="1"/>
  <c r="J23" i="1"/>
  <c r="J22" i="1" s="1"/>
  <c r="J40" i="1"/>
  <c r="J85" i="1"/>
  <c r="J84" i="1"/>
  <c r="C18" i="6"/>
  <c r="J45" i="1" l="1"/>
  <c r="J49" i="1"/>
  <c r="J47" i="1"/>
  <c r="J46" i="1"/>
  <c r="J50" i="1"/>
  <c r="J48" i="1"/>
  <c r="J43" i="1"/>
  <c r="J52" i="1"/>
  <c r="J35" i="1"/>
  <c r="J42" i="1"/>
  <c r="J51" i="1"/>
  <c r="J29" i="1"/>
  <c r="J41" i="1"/>
  <c r="C21" i="6"/>
  <c r="G23" i="6" s="1"/>
  <c r="J39" i="1"/>
  <c r="E20" i="6"/>
  <c r="F20" i="6"/>
  <c r="J28" i="1" l="1"/>
  <c r="F23" i="6"/>
  <c r="E23" i="6"/>
  <c r="E31" i="6" s="1"/>
  <c r="J20" i="1" l="1"/>
  <c r="J18" i="1" l="1"/>
  <c r="J19" i="1"/>
  <c r="J21" i="1"/>
  <c r="C15" i="6"/>
  <c r="J17" i="1" l="1"/>
  <c r="D17" i="6"/>
  <c r="D31" i="6" s="1"/>
  <c r="D33" i="6" l="1"/>
  <c r="E33" i="6" s="1"/>
  <c r="D32" i="1" l="1"/>
  <c r="B34" i="16" s="1"/>
  <c r="I86" i="1"/>
  <c r="K17" i="1" s="1"/>
  <c r="C24" i="6"/>
  <c r="J55" i="1"/>
  <c r="G26" i="6" l="1"/>
  <c r="G31" i="6" s="1"/>
  <c r="C30" i="6"/>
  <c r="E32" i="6" s="1"/>
  <c r="F26" i="6"/>
  <c r="F31" i="6" s="1"/>
  <c r="K84" i="1"/>
  <c r="J82" i="1"/>
  <c r="J83" i="1"/>
  <c r="J78" i="1"/>
  <c r="C5" i="1"/>
  <c r="J79" i="1"/>
  <c r="J80" i="1"/>
  <c r="K11" i="1"/>
  <c r="K13" i="1"/>
  <c r="K28" i="1"/>
  <c r="K22" i="1"/>
  <c r="J77" i="1"/>
  <c r="J56" i="1"/>
  <c r="K53" i="1"/>
  <c r="J81" i="1"/>
  <c r="D32" i="6" l="1"/>
  <c r="D34" i="6" s="1"/>
  <c r="E34" i="6"/>
  <c r="G32" i="6"/>
  <c r="F32" i="6"/>
  <c r="F34" i="6" s="1"/>
  <c r="F33" i="6"/>
  <c r="G33" i="6" s="1"/>
  <c r="K86" i="1"/>
  <c r="C5" i="41"/>
  <c r="B5" i="8"/>
  <c r="C5" i="39"/>
  <c r="C5" i="44"/>
  <c r="C5" i="33"/>
  <c r="C5" i="13"/>
  <c r="C5" i="42"/>
  <c r="C5" i="16"/>
  <c r="B5" i="6"/>
  <c r="B5" i="12"/>
  <c r="G34" i="6" l="1"/>
</calcChain>
</file>

<file path=xl/sharedStrings.xml><?xml version="1.0" encoding="utf-8"?>
<sst xmlns="http://schemas.openxmlformats.org/spreadsheetml/2006/main" count="1725" uniqueCount="512">
  <si>
    <t>ITEM</t>
  </si>
  <si>
    <t>DESCRIÇÃO DOS SERVIÇOS</t>
  </si>
  <si>
    <t>UNID.</t>
  </si>
  <si>
    <t>QUANT.</t>
  </si>
  <si>
    <t>1.1</t>
  </si>
  <si>
    <t>m²</t>
  </si>
  <si>
    <t>m³</t>
  </si>
  <si>
    <t>SERVIÇOS FINAIS</t>
  </si>
  <si>
    <t>TOTAL GERAL</t>
  </si>
  <si>
    <t>CÓDIGO</t>
  </si>
  <si>
    <t>und</t>
  </si>
  <si>
    <t>SINAPI</t>
  </si>
  <si>
    <t>m</t>
  </si>
  <si>
    <t>6.2</t>
  </si>
  <si>
    <t>DESCRIÇÃO</t>
  </si>
  <si>
    <t>TOTAL</t>
  </si>
  <si>
    <t>1º MÊS</t>
  </si>
  <si>
    <t>2º MÊS</t>
  </si>
  <si>
    <t>x</t>
  </si>
  <si>
    <t>=</t>
  </si>
  <si>
    <t>6.1</t>
  </si>
  <si>
    <t>6.3</t>
  </si>
  <si>
    <t>PIS</t>
  </si>
  <si>
    <t>COFINS</t>
  </si>
  <si>
    <t>ISS</t>
  </si>
  <si>
    <t>Proponente:</t>
  </si>
  <si>
    <t>Objeto:</t>
  </si>
  <si>
    <t>Endereço Da Obra:</t>
  </si>
  <si>
    <t>Data Base:</t>
  </si>
  <si>
    <t xml:space="preserve">Responsável Técnico:    </t>
  </si>
  <si>
    <t xml:space="preserve">Registro Profissional:  </t>
  </si>
  <si>
    <t>Item</t>
  </si>
  <si>
    <t>Parcela do BDI</t>
  </si>
  <si>
    <t xml:space="preserve">AC = Taxa de Administração Central </t>
  </si>
  <si>
    <t>S e G = Taxas de Seguro e Garantia</t>
  </si>
  <si>
    <t>R = Taxa de Risco</t>
  </si>
  <si>
    <t>DF = Taxa de Despesas Financeiras</t>
  </si>
  <si>
    <t>I = Taxa de incidência de Impostos (PIS, COFINS e ISS)</t>
  </si>
  <si>
    <t>L = Taxa de Lucro / Remuneração</t>
  </si>
  <si>
    <t xml:space="preserve">Impostos </t>
  </si>
  <si>
    <t>6.4</t>
  </si>
  <si>
    <t>CPRM</t>
  </si>
  <si>
    <t>Total Impostos =</t>
  </si>
  <si>
    <t>Fórmula para o cálculo de BDI</t>
  </si>
  <si>
    <t>Notas:</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</si>
  <si>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</si>
  <si>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</si>
  <si>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</si>
  <si>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5) Antes da aplicação do BDI (Teto Empresa de Lucros Real ) os insumos constantes do art.3º da Lei nº10.637/02 deverão sofrer redução de 1,65%, após 31/12/2008, reduzir também do insumo o percentual de 7,6% da COFINS conforme art. 3º da Lei nº10.833/03 combinado com o inciso XX do art.10 da mesma Lei.</t>
  </si>
  <si>
    <t>_________________________________________________</t>
  </si>
  <si>
    <t>MARUZA BAPTISTA</t>
  </si>
  <si>
    <t>L=</t>
  </si>
  <si>
    <t>VALOR UNIT.</t>
  </si>
  <si>
    <t>VALOR TOTAL</t>
  </si>
  <si>
    <t>h</t>
  </si>
  <si>
    <t>5.1</t>
  </si>
  <si>
    <t xml:space="preserve">
SINAPI</t>
  </si>
  <si>
    <t>BDI</t>
  </si>
  <si>
    <t>LIMPEZA FINAL DA OBRA</t>
  </si>
  <si>
    <t>SERVENTE COM ENCARGOS COMPLEMENTARES</t>
  </si>
  <si>
    <t>5.2</t>
  </si>
  <si>
    <t>Altura</t>
  </si>
  <si>
    <t>% ITEM</t>
  </si>
  <si>
    <t>% TOTAL</t>
  </si>
  <si>
    <t>LIXEIRA</t>
  </si>
  <si>
    <t>H</t>
  </si>
  <si>
    <t>SERRALHEIRO COM ENCARGOS COMPLEMENTARES</t>
  </si>
  <si>
    <t>MEMÓRIA DE CÁLCULO 2</t>
  </si>
  <si>
    <t>MEMÓRIA DE CÁLCULO 3</t>
  </si>
  <si>
    <t>TOTAL (%)</t>
  </si>
  <si>
    <t>ACUMULADO NO MÊS (R$)</t>
  </si>
  <si>
    <t>ACUMULADO (%)</t>
  </si>
  <si>
    <t>TOTAL DO MÊS</t>
  </si>
  <si>
    <t>Município/UF:</t>
  </si>
  <si>
    <t>2.1</t>
  </si>
  <si>
    <t>Largura</t>
  </si>
  <si>
    <t>PEDREIRO COM ENCARGOS COMPLEMENTARES</t>
  </si>
  <si>
    <t>MEMÓRIA DE CÁLCULO 4</t>
  </si>
  <si>
    <t>MESA DE JOGO</t>
  </si>
  <si>
    <t>1) Alíquota de ISS é determinada pela “Relação de Serviços”  do município conforme Código Tributário</t>
  </si>
  <si>
    <t>PR. UNIT.</t>
  </si>
  <si>
    <t>PR. UNIT. C/ BDI</t>
  </si>
  <si>
    <t xml:space="preserve">VALOR TOTAL </t>
  </si>
  <si>
    <t>SINAPI-I</t>
  </si>
  <si>
    <t>FONTE</t>
  </si>
  <si>
    <t>PLANILHA ORÇAMENTÁRIA - DESONERADA</t>
  </si>
  <si>
    <t>CONCRETO CICLÓPICO FCK = 15MPA, 30% PEDRA DE MÃO EM VOLUME REAL, INCLUSIVE LANÇAMENTO. AF_05/2021</t>
  </si>
  <si>
    <t>SERVIÇOS PRELIMINARES</t>
  </si>
  <si>
    <t>DEMOLIÇÕES E RETIRADAS</t>
  </si>
  <si>
    <t>ADMINISTRAÇÃO LOCAL</t>
  </si>
  <si>
    <t>UNIDADE</t>
  </si>
  <si>
    <t>ENGENHEIRO CIVIL DE OBRA JUNIOR COM ENCARGOS COMPLEMENTARES</t>
  </si>
  <si>
    <t>ENCARREGADO GERAL COM ENCARGOS COMPLEMENTARES</t>
  </si>
  <si>
    <t>ADMINISTRAÇÃO LOCAL (ENGENHEIRO CIVIL E ENCARREGADO)</t>
  </si>
  <si>
    <t>h/dia</t>
  </si>
  <si>
    <t>dias/mês</t>
  </si>
  <si>
    <t>duração da obra (mês)</t>
  </si>
  <si>
    <t xml:space="preserve">TOTAL= </t>
  </si>
  <si>
    <t>un.</t>
  </si>
  <si>
    <t>Memória de cálculo dos quantitativos utilizados na Composição 01</t>
  </si>
  <si>
    <t>Total</t>
  </si>
  <si>
    <t>Total (m²)</t>
  </si>
  <si>
    <t>Local</t>
  </si>
  <si>
    <t>Quant.</t>
  </si>
  <si>
    <t>Total (m³)</t>
  </si>
  <si>
    <t>Área (m²)</t>
  </si>
  <si>
    <t>Comprimentos</t>
  </si>
  <si>
    <t>M3</t>
  </si>
  <si>
    <t>M2</t>
  </si>
  <si>
    <t xml:space="preserve">KG    </t>
  </si>
  <si>
    <t xml:space="preserve">M     </t>
  </si>
  <si>
    <t>AUXILIAR DE ELETRICISTA COM ENCARGOS COMPLEMENTARES</t>
  </si>
  <si>
    <t>ELETRICISTA COM ENCARGOS COMPLEMENTARES</t>
  </si>
  <si>
    <t>UND</t>
  </si>
  <si>
    <t>7.1</t>
  </si>
  <si>
    <t>5.3</t>
  </si>
  <si>
    <t>5.4</t>
  </si>
  <si>
    <t>Área total (m²)</t>
  </si>
  <si>
    <t>PAISAGISMO</t>
  </si>
  <si>
    <t>5.1.1</t>
  </si>
  <si>
    <t>PINTURA</t>
  </si>
  <si>
    <t>5.3.1</t>
  </si>
  <si>
    <t>APLICAÇÃO DE ADUBO EM SOLO. AF_05/2018</t>
  </si>
  <si>
    <t>5.1.3</t>
  </si>
  <si>
    <t>5.1.4</t>
  </si>
  <si>
    <t>FORNECIMENTO E INSTALAÇÃO MUDA DE DIANELA</t>
  </si>
  <si>
    <t>JARDINEIRO COM ENCARGOS COMPLEMENTARES</t>
  </si>
  <si>
    <t>ESCAVAÇÃO MANUAL DE VALA COM PROFUNDIDADE MENOR OU IGUAL A 1,30 M. AF_02/2021</t>
  </si>
  <si>
    <t>M³</t>
  </si>
  <si>
    <t>FORNECIMENTO E INSTALAÇÃO MUDA DE PENICILINA</t>
  </si>
  <si>
    <t>MUDA PENICILINA</t>
  </si>
  <si>
    <t>LIMITADOR DE GRAMA 12CM</t>
  </si>
  <si>
    <t>FORNECIMENTO E INSTALAÇÃO LIMITADOR DE GRAMA</t>
  </si>
  <si>
    <t>M</t>
  </si>
  <si>
    <t>KG</t>
  </si>
  <si>
    <t xml:space="preserve">UN    </t>
  </si>
  <si>
    <t xml:space="preserve">SERVENTE COM ENCARGOS COMPLEMENTARES  </t>
  </si>
  <si>
    <t>Placa</t>
  </si>
  <si>
    <t xml:space="preserve">Total </t>
  </si>
  <si>
    <t>Canteiro 1</t>
  </si>
  <si>
    <t>-</t>
  </si>
  <si>
    <t>Área das Mudas</t>
  </si>
  <si>
    <t>PINTURA DE MEIO-FIO COM TINTA BRANCA A BASE DE CAL (CAIAÇÃO). AF_05/2021</t>
  </si>
  <si>
    <t>5.4.1</t>
  </si>
  <si>
    <t>5.5</t>
  </si>
  <si>
    <t>ARQUITETA - CAU Nº: 28510-2 PA</t>
  </si>
  <si>
    <t>________________________________________________________</t>
  </si>
  <si>
    <t>MUDA DIANELLA</t>
  </si>
  <si>
    <t>5.2.1</t>
  </si>
  <si>
    <t>SEOP</t>
  </si>
  <si>
    <t>FORNECIMENTO E INSTALAÇÃO DE LIXEIRA COM PERFIL "U" ESTRUTURAL 100X40MM, CESTO EM TELA MOEDA E CHAPA METÁLICA Nº18 E ACABAMENTOS LATERAIS EM RIPA EM MADEIRA 10X2, INCLUINDO BLOCO DE FUNDAÇÃO EM CONCRETO CICLÓPICO, PINTURAS EM ESMALTE SINTÉTICO E ANTIFERRUGINOSA, E ACESSÓRIOS E FIXAÇÃO</t>
  </si>
  <si>
    <t>TELA MOEDA</t>
  </si>
  <si>
    <t>PERFIL "U" 100X40X2</t>
  </si>
  <si>
    <t>SOLDA DE TOPO EM CHAPA/PERFIL/TUBO DE AÇO CHANFRADO, ESPESSURA=3/4''. AF_06/2018</t>
  </si>
  <si>
    <t>REATERRO MANUAL DE VALAS COM COMPACTAÇÃO MECANIZADA. AF_04/2016</t>
  </si>
  <si>
    <t>AJUDANTE DE SERRALHEIRO (HORISTA)</t>
  </si>
  <si>
    <t>5.1.5</t>
  </si>
  <si>
    <t>5.5.1</t>
  </si>
  <si>
    <t>Canteiro 2</t>
  </si>
  <si>
    <t>Canteiro 3</t>
  </si>
  <si>
    <t>5.1.2</t>
  </si>
  <si>
    <t xml:space="preserve">Área (m²) </t>
  </si>
  <si>
    <t>Canteiro 4</t>
  </si>
  <si>
    <t>BANCOS</t>
  </si>
  <si>
    <t>2.2</t>
  </si>
  <si>
    <t>PLACA DE INAUGURAÇÃO</t>
  </si>
  <si>
    <t>ESCAVAÇÃO MANUAL ATÉ 1.50M DE PROFUNDIDADE - BALDRAME</t>
  </si>
  <si>
    <t>10009</t>
  </si>
  <si>
    <t>COTAÇÃO</t>
  </si>
  <si>
    <t>103946</t>
  </si>
  <si>
    <t>PLANTIO DE GRAMA ESMERALDA OU SÃO CARLOS OU CURITIBANA, EM PLACAS. AF_05/2022</t>
  </si>
  <si>
    <t>7253</t>
  </si>
  <si>
    <t>88441</t>
  </si>
  <si>
    <t>Total (m)</t>
  </si>
  <si>
    <t>50681</t>
  </si>
  <si>
    <t>Concreto armado Fck=15 MPA c/forma mad. branca (incl. lançamento e adensamento)</t>
  </si>
  <si>
    <t>88309</t>
  </si>
  <si>
    <t>241467</t>
  </si>
  <si>
    <t>METALON 20 X 20</t>
  </si>
  <si>
    <t>CHAPA DE ACO FINA A QUENTE BITOLA MSG 18, E = 1,20 MM (9,60 KG/M2) - FUNDO</t>
  </si>
  <si>
    <t>CANTONEIRA AÇO ABAS IGUAIS 1/2 X 1/8</t>
  </si>
  <si>
    <t>BARRA ROSQUEADA 3/8" COM PORCA E ARRUELA</t>
  </si>
  <si>
    <t>CHAPA DE A ÇO GROSSA E-3/8" ASTM A36 ( 9,53MM 74,69KG/M2) CORTADA E FURADA</t>
  </si>
  <si>
    <t>PEÇA  PARELHADA *2,5 X 25* 30, EM MACARANDUBA/MASSARANDUBA, ANGELIM OU EQUIVALENTE DA REGIAO - BRUTA</t>
  </si>
  <si>
    <t>CIMENTO QUEIMADO, REVESTIMENTO DECORATIVO.</t>
  </si>
  <si>
    <t>94990</t>
  </si>
  <si>
    <t>EXECUÇÃO DE PASSEIO (CALÇADA) OU PISO DE CONCRETO COM CONCRETO MOLDADO IN LOCO, FEITO EM OBRA, ACABAMENTO CONVENCIONAL, NÃO ARMADO. AF_08/2022</t>
  </si>
  <si>
    <t>Valor:</t>
  </si>
  <si>
    <t>BDI - Serviços</t>
  </si>
  <si>
    <t>PREFEITURA MUNICIPAL DE OURÉM</t>
  </si>
  <si>
    <t>OURÉM/PA</t>
  </si>
  <si>
    <t>SINAPI JANEIRO 2024 - DESONERADO</t>
  </si>
  <si>
    <t>SEOP FEVEREIRO 2024 - DESONERADO</t>
  </si>
  <si>
    <t>CAU: 28510-2 A</t>
  </si>
  <si>
    <t>GOVERNO DO ESTADO DO PARÁ
PREFEITURA MUNICIPAL DE OURÉM
CNPJ 05.149.133/0001-48</t>
  </si>
  <si>
    <t xml:space="preserve">MEMÓRIA DE CÁLCULO 1 </t>
  </si>
  <si>
    <t>MEMÓRIA DE CÁLCULO 7</t>
  </si>
  <si>
    <t>Compr.</t>
  </si>
  <si>
    <t>94266</t>
  </si>
  <si>
    <t>GUIA (MEIO-FIO) CONCRETO, MOLDADA  IN LOCO  EM TRECHO CURVO COM EXTRUSORA, 15 CM BASE X 30 CM ALTURA. AF_01/2024</t>
  </si>
  <si>
    <t>Espes.</t>
  </si>
  <si>
    <t>MEMÓRIA DE CÁLCULO 5</t>
  </si>
  <si>
    <t xml:space="preserve">TERRA VEGETAL (GRANEL)                                                                                                                                                                                                                                                                                                                                                                                                                                                                                    </t>
  </si>
  <si>
    <t xml:space="preserve">M3    </t>
  </si>
  <si>
    <t>88316</t>
  </si>
  <si>
    <t>PLANTIO DE GRAMA ESMERALDA OU SÃO CARLOS OU CURITIBANA, EM PLACAS, INCLUSO TERRA VEGETAL - FORNECIMENTO E INSTALAÇÃO</t>
  </si>
  <si>
    <t>Mudas p/ m²</t>
  </si>
  <si>
    <t>CPU 06</t>
  </si>
  <si>
    <t>CPU 05</t>
  </si>
  <si>
    <t>96617</t>
  </si>
  <si>
    <t>LASTRO DE CONCRETO MAGRO, APLICADO EM BLOCOS DE COROAMENTO OU SAPATAS, ESPESSURA DE 3 CM. AF_01/2024</t>
  </si>
  <si>
    <t>CPU 07</t>
  </si>
  <si>
    <t>CPU 08</t>
  </si>
  <si>
    <t>MEMÓRIA DE CÁLCULO 6</t>
  </si>
  <si>
    <t xml:space="preserve">PAVIMENTAÇÃO </t>
  </si>
  <si>
    <t>CPU 09</t>
  </si>
  <si>
    <t>Compr. (m)</t>
  </si>
  <si>
    <t>CPU 10</t>
  </si>
  <si>
    <t>CPU 01</t>
  </si>
  <si>
    <t>CPU 02</t>
  </si>
  <si>
    <t>CPU 03</t>
  </si>
  <si>
    <t>CPU 04</t>
  </si>
  <si>
    <t>3.1</t>
  </si>
  <si>
    <t>URBANIZAÇÃO</t>
  </si>
  <si>
    <t>CPU 11</t>
  </si>
  <si>
    <t>CPU 12</t>
  </si>
  <si>
    <t>CPU 13</t>
  </si>
  <si>
    <t>CPU 14</t>
  </si>
  <si>
    <t>103689</t>
  </si>
  <si>
    <t>FORNECIMENTO E INSTALAÇÃO DE PLACA DE OBRA COM CHAPA GALVANIZADA E ESTRUTURA DE MADEIRA. AF_03/2022_PS</t>
  </si>
  <si>
    <t>10848</t>
  </si>
  <si>
    <t xml:space="preserve">PLACA DE INAUGURACAO METALICA, *40* CM X *60* CM                                                                                                                                                                                                                                                                                                                                                                                                                                                          </t>
  </si>
  <si>
    <t>PLACA DE INAUGURACAO METALICA, *40* CM X *60* CM - FORNECIMENTO E INSTALAÇÃO</t>
  </si>
  <si>
    <t>CPU 15</t>
  </si>
  <si>
    <t>CPU 16</t>
  </si>
  <si>
    <t xml:space="preserve">PREGO DE ACO POLIDO COM CABECA 18 X 27 (2 1/2 X 10)                                                                                                                                                                                                                                                                                                                                                                                                                                                       </t>
  </si>
  <si>
    <t>AJUDANTE DE CARPINTEIRO COM ENCARGOS COMPLEMENTARES</t>
  </si>
  <si>
    <t>CARPINTEIRO DE FORMAS COM ENCARGOS COMPLEMENTARES</t>
  </si>
  <si>
    <t>Locação da obra a trena</t>
  </si>
  <si>
    <t>3.2</t>
  </si>
  <si>
    <t>3.3</t>
  </si>
  <si>
    <t>98524</t>
  </si>
  <si>
    <t>LIMPEZA MANUAL DE VEGETAÇÃO EM TERRENO COM ENXADA.AF_05/2018</t>
  </si>
  <si>
    <t>FABRICAÇÃO, MONTAGEM E DESMONTAGEM DE FÔRMA PARA VIGA BALDRAME, EM MADEIRA SERRADA, E=25 MM, 4 UTILIZAÇÕES. AF_01/2024</t>
  </si>
  <si>
    <t>Escavação manual ate 1.50m de profundidade</t>
  </si>
  <si>
    <t>LASTRO DE CONCRETO MAGRO, APLICADO EM PISOS, LAJES SOBRE SOLO OU RADIERS, ESPESSURA DE 5 CM. AF_01/2024</t>
  </si>
  <si>
    <t>REATERRO MANUAL DE VALAS, COM COMPACTADOR DE SOLOS DE PERCUSSÃO. AF_08/2023</t>
  </si>
  <si>
    <t xml:space="preserve">PILAR QUADRADO NAO APARELHADO *10 X 10* CM, EM MACARANDUBA/MASSARANDUBA, ANGELIM OU EQUIVALENTE DA REGIAO - BRUTA                                                                                                                                                                                                                                                                                                                                                                                         </t>
  </si>
  <si>
    <t xml:space="preserve">VIGA APARELHADA *6 X 16* CM, EM MACARANDUBA/MASSARANDUBA, ANGELIM OU EQUIVALENTE DA REGIAO                                                                                                                                                                                                                                                                                                                                                                                                                </t>
  </si>
  <si>
    <t xml:space="preserve">VIGA APARELHADA *6 X 12* CM, EM MACARANDUBA/MASSARANDUBA, ANGELIM OU EQUIVALENTE DA REGIAO                                                                                                                                                                                                                                                                                                                                                                                                                </t>
  </si>
  <si>
    <t xml:space="preserve">CAIBRO NAO APARELHADO *5 X 6* CM, EM MACARANDUBA/MASSARANDUBA, ANGELIM OU EQUIVALENTE DA REGIAO - BRUTA                                                                                                                                                                                                                                                                                                                                                                                                   </t>
  </si>
  <si>
    <t xml:space="preserve">TABUA APARELHADA *2,5 X 15* CM, EM MACARANDUBA/MASSARANDUBA, ANGELIM OU EQUIVALENTE DA REGIAO                                                                                                                                                                                                                                                                                                                                                                                                             </t>
  </si>
  <si>
    <t xml:space="preserve">M2    </t>
  </si>
  <si>
    <t xml:space="preserve">PRANCHA APARELHADA *4 X 30* CM, EM MACARANDUBA/MASSARANDUBA, ANGELIM OU EQUIVALENTE DA REGIAO                                                                                                                                                                                                                                                                                                                                                                                                             </t>
  </si>
  <si>
    <t xml:space="preserve">PRANCHA NAO APARELHADA *6 X 25* CM, EM MACARANDUBA/MASSARANDUBA, ANGELIM OU EQUIVALENTE DA REGIAO - BRUTA                                                                                                                                                                                                                                                                                                                                                                                                 </t>
  </si>
  <si>
    <t xml:space="preserve">PREGO DE ACO POLIDO COM CABECA 17 X 21 (2 X 11)                                                                                                                                                                                                                                                                                                                                                                                                                                                           </t>
  </si>
  <si>
    <t xml:space="preserve">PARAFUSO FRANCES METRICO ZINCADO, DIAMETRO 12 MM, COMPRIMENTO 150 MM, COM PORCA SEXTAVADA E ARRUELA DE PRESSAO MEDIA                                                                                                                                                                                                                                                                                                                                                                                      </t>
  </si>
  <si>
    <t xml:space="preserve">MADEIRA ROLICA TRATADA, D = 12 A 15 CM, H = 3,00 M, EM EUCALIPTO OU EQUIVALENTE DA REGIAO                                                                                                                                                                                                                                                                                                                                                                                                                 </t>
  </si>
  <si>
    <t>LIXAMENTO DE MADEIRA PARA APLICAÇÃO DE FUNDO OU PINTURA. AF_01/2021</t>
  </si>
  <si>
    <t>PINTURA VERNIZ (INCOLOR) POLIURETÂNICO (RESINA ALQUÍDICA MODIFICADA) EM MADEIRA, 2 DEMÃOS. AF_01/2021</t>
  </si>
  <si>
    <t>5.6</t>
  </si>
  <si>
    <t>5.6.1</t>
  </si>
  <si>
    <t>RECONSTRUÇÃO DA PRAÇA PURAQUEQUARINHA NO MUNICÍPIO DE OURÉM/PA</t>
  </si>
  <si>
    <t>Praça</t>
  </si>
  <si>
    <t>10005</t>
  </si>
  <si>
    <t>Barracão de madeira/Almoxarifado</t>
  </si>
  <si>
    <t>2.3</t>
  </si>
  <si>
    <t>3.4</t>
  </si>
  <si>
    <t>20018</t>
  </si>
  <si>
    <t>REMOÇÃO DE PISO DE BLOCO INTERTRAVADO (SEXTAVADO), DE FORMA MANUAL, SEM REAPROVEITAMENTO</t>
  </si>
  <si>
    <t>Demolição manual de concreto simples - tento, calçada em concreto e base do cruzeiro</t>
  </si>
  <si>
    <t>Almoxarifado</t>
  </si>
  <si>
    <t>Espessura</t>
  </si>
  <si>
    <t>Canteiro 5</t>
  </si>
  <si>
    <t>Canteiro 6</t>
  </si>
  <si>
    <t>Circulação 1</t>
  </si>
  <si>
    <t>Circulação 2</t>
  </si>
  <si>
    <t>Circulação 3</t>
  </si>
  <si>
    <t>Circulação 4</t>
  </si>
  <si>
    <t>Circulação 5</t>
  </si>
  <si>
    <t>Cruzeiro</t>
  </si>
  <si>
    <t>CALCETEIRO COM ENCARGOS COMPLEMENTARES</t>
  </si>
  <si>
    <t>REMOÇÃO DE BANCO EM CONCRETO, SEM REAPROVEITAMENTO</t>
  </si>
  <si>
    <t>Circulação 6</t>
  </si>
  <si>
    <t>Circulação 7</t>
  </si>
  <si>
    <t>Circulação 8</t>
  </si>
  <si>
    <t>Circulação 9</t>
  </si>
  <si>
    <t>Circulação 10</t>
  </si>
  <si>
    <t>Canteiro 8</t>
  </si>
  <si>
    <t>Canteiro 9</t>
  </si>
  <si>
    <t>Canteiro 10</t>
  </si>
  <si>
    <t>Rampa R1</t>
  </si>
  <si>
    <t>Rampa R2</t>
  </si>
  <si>
    <t>Rampa R3</t>
  </si>
  <si>
    <t>Rampa R5</t>
  </si>
  <si>
    <t>94265</t>
  </si>
  <si>
    <t>GUIA (MEIO-FIO) CONCRETO, MOLDADA  IN LOCO  EM TRECHO RETO COM EXTRUSORA, 15 CM BASE X 30 CM ALTURA. AF_01/2024</t>
  </si>
  <si>
    <t>Canteiro 7</t>
  </si>
  <si>
    <t>Canteiro 11</t>
  </si>
  <si>
    <t xml:space="preserve">PLANTIO DE GRAMA (INCL. TERRA PRETA) </t>
  </si>
  <si>
    <t>5.5.2</t>
  </si>
  <si>
    <t>5.5.3</t>
  </si>
  <si>
    <t>FORNECIMENTO E INSTALAÇÃO DE CARROCEL DE 6 LUGARES, ACABAMENTO EM ESMALTE SINTÉTICO, INCLUSO BLOCOS DE FUNDAÇÃO EM CONCRETO CICLÓPICO</t>
  </si>
  <si>
    <t>FORNECIMENTO E INSTALAÇÃO DE CARROSSEL DE 6 LUGARES, ACABAMENTO EM ESMALTE SINTÉTICO, INCLUSO BLOCOS DE FUNDAÇÃO EM CONCRETO CICLÓPICO</t>
  </si>
  <si>
    <t>PLAYGROUND</t>
  </si>
  <si>
    <t>260278</t>
  </si>
  <si>
    <t>Colchão de areia e=20 cm</t>
  </si>
  <si>
    <t>m2</t>
  </si>
  <si>
    <t>CRUZEIRO</t>
  </si>
  <si>
    <t>5.7</t>
  </si>
  <si>
    <t>5.7.1</t>
  </si>
  <si>
    <t>50766</t>
  </si>
  <si>
    <t>Concreto armado fck=25MPA c/ forma mad. branca (incl. lançamento e adensamento)</t>
  </si>
  <si>
    <t>102475</t>
  </si>
  <si>
    <t>CONCRETO FCK = 20MPA, TRAÇO 1:2,6:2,9 (EM MASSA SECA DE CIMENTO/ AREIA MÉDIA/ SEIXO ROLADO) - PREPARO MECÂNICO COM BETONEIRA 400 L. AF_05/2021</t>
  </si>
  <si>
    <t>10786</t>
  </si>
  <si>
    <t>Aluguel e montagem de andaime metálico</t>
  </si>
  <si>
    <t>88264</t>
  </si>
  <si>
    <t>247</t>
  </si>
  <si>
    <t xml:space="preserve">AJUDANTE DE ELETRICISTA (HORISTA)                                                                                                                                                                                                                                                                                                                                                                                                                                                                         </t>
  </si>
  <si>
    <t>m²/mês</t>
  </si>
  <si>
    <t xml:space="preserve">H     </t>
  </si>
  <si>
    <t>INSTALAÇÕES ELÉTRICAS</t>
  </si>
  <si>
    <t xml:space="preserve">RELE FOTOELETRICO INTERNO E EXTERNO BIVOLT 1000 W, DE CONECTOR, SEM BASE                                                                                                                                                                                                                                                                                                                                                                                                                                  </t>
  </si>
  <si>
    <t xml:space="preserve">POSTE CONICO CONTINUO EM ACO GALVANIZADO, CURVO, BRACO SIMPLES, FLANGEADO, H = 7 M, DIAMETRO INFERIOR = *125* MM                                                                                                                                                                                                                                                                                                                                                                                          </t>
  </si>
  <si>
    <t xml:space="preserve">CHAPA DE ACO GROSSA, SAE 1020, BITOLA 1/4", E = 6,35 MM (49,85 KG/M2)                                                                                                                                                                                                                                                                                                                                                                                                                                     </t>
  </si>
  <si>
    <t xml:space="preserve">ELETRODO REVESTIDO AWS - E6013, DIAMETRO IGUAL A 4,00 MM                                                                                                                                                                                                                                                                                                                                                                                                                                                  </t>
  </si>
  <si>
    <t xml:space="preserve">CABO DE COBRE, FLEXIVEL, CLASSE 4 OU 5, ISOLACAO EM PVC/A, ANTICHAMA BWF-B, 1 CONDUTOR, 450/750 V, SECAO NOMINAL 6 MM2                                                                                                                                                                                                                                                                                                                                                                                    </t>
  </si>
  <si>
    <t xml:space="preserve">FITA ISOLANTE ADESIVA ANTICHAMA, USO ATE 750 V, EM ROLO DE 19 MM X 5 M                                                                                                                                                                                                                                                                                                                                                                                                                                    </t>
  </si>
  <si>
    <t xml:space="preserve">CHUMBADOR DE ACO GALVANIZADO, 1" X 600 MM, PARA POSTES DE ACO COM BASE, INCLUSO PORCA E ARRUELA                                                                                                                                                                                                                                                                                                                                                                                                           </t>
  </si>
  <si>
    <t>PINTURA COM TINTA ALQUÍDICA DE FUNDO E ACABAMENTO (ESMALTE SINTÉTICO GRAFITE) PULVERIZADA SOBRE SUPERFÍCIES METÁLICAS (EXCETO PERFIL) EXECUTADO EM OBRA (POR DEMÃO). AF_01/2020_PE</t>
  </si>
  <si>
    <t>GUINDAUTO HIDRÁULICO, CAPACIDADE MÁXIMA DE CARGA 6200 KG, MOMENTO MÁXIMO DE CARGA 11,7 TM, ALCANCE MÁXIMO HORIZONTAL 9,70 M, INCLUSIVE CAMINHÃO TOCO PBT 16.000 KG, POTÊNCIA DE 189 CV - CHP DIURNO. AF_06/2014</t>
  </si>
  <si>
    <t>CHP</t>
  </si>
  <si>
    <t>SOLDADOR COM ENCARGOS COMPLEMENTARES</t>
  </si>
  <si>
    <t>94267</t>
  </si>
  <si>
    <t>GUIA (MEIO-FIO) E SARJETA CONJUGADOS DE CONCRETO, MOLDADA  IN LOCO  EM TRECHO RETO COM EXTRUSORA, 45 CM BASE (15 CM BASE DA GUIA + 30 CM BASE DA SARJETA) X 22 CM ALTURA. AF_01/2024</t>
  </si>
  <si>
    <t>Compr.(m)</t>
  </si>
  <si>
    <t>5.2.2</t>
  </si>
  <si>
    <t>5.2.3</t>
  </si>
  <si>
    <t>BANCO CURVO EM CONCRETO ARMADO 15 Mpa, ACABAMENTO EM CIMENTADO QUEIMADO, MEDINDO 6,95 X 0,50M, ESP. = 10 CM COM H=0,45M DO PISO PRONTO</t>
  </si>
  <si>
    <t>BANCO CURVO EM CONCRETO ARMADO 15 Mpa, ACABAMENTO EM CIMENTADO QUEIMADO, MEDINDO 5,45 X 0,50M, ESP. = 10 CM COM H=0,45M DO PISO PRONTO</t>
  </si>
  <si>
    <t>BANCO CURVO EM CONCRETO ARMADO 15 Mpa, ACABAMENTO EM CIMENTADO QUEIMADO, MEDINDO 4,70 X 0,50M, ESP. = 10 CM COM H=0,45M DO PISO PRONTO</t>
  </si>
  <si>
    <t>5.8</t>
  </si>
  <si>
    <t>FLOREIRA COM BANCO</t>
  </si>
  <si>
    <t>CPU 17</t>
  </si>
  <si>
    <t>CPU 18</t>
  </si>
  <si>
    <t>5.8.1</t>
  </si>
  <si>
    <t>Concreto armado fck=20MPA c/ forma mad. branca (incl. lançamento e adensamento)</t>
  </si>
  <si>
    <t>IMPERMEABILIZAÇÃO DE SUPERFÍCIE COM EMULSÃO ASFÁLTICA, 2 DEMÃOS. AF_09/2023</t>
  </si>
  <si>
    <t>Reboco impermeabilizante</t>
  </si>
  <si>
    <t>Cimentado queimado</t>
  </si>
  <si>
    <t xml:space="preserve">PEDRA BRITADA N. 1 (9,5 a 19 MM) POSTO PEDREIRA/FORNECEDOR, SEM FRETE                                                                                                                                                                                                                                                                                                                                                                                                                                     </t>
  </si>
  <si>
    <t>SEOP-I</t>
  </si>
  <si>
    <t xml:space="preserve"> J00008 </t>
  </si>
  <si>
    <t>Terra preta vegetal</t>
  </si>
  <si>
    <t xml:space="preserve">MUDA DE ARBUSTO FLORIFERO, CLUSIA/GARDENIA/MOREIA BRANCA/ AZALEIA OU EQUIVALENTE DA REGIAO, H= *50 A 70* CM                                                                                                                                                                                                                                                                                                                                                                                               </t>
  </si>
  <si>
    <t>AJUDANTE DE PEDREIRO COM ENCARGOS COMPLEMENTARES</t>
  </si>
  <si>
    <t>88489</t>
  </si>
  <si>
    <t>PINTURA LÁTEX ACRÍLICA PREMIUM, APLICAÇÃO MANUAL EM PAREDES, DUAS DEMÃOS. AF_04/2023</t>
  </si>
  <si>
    <t>LUMINÁRIA CANALETA DE LED, USO EXTERNO, IP-67 + FITA LED 10W/m - COM FONTE (3 METROS)</t>
  </si>
  <si>
    <t>96543</t>
  </si>
  <si>
    <t>ARMAÇÃO DE BLOCO UTILIZANDO AÇO CA-60 DE 5 MM - MONTAGEM. AF_01/2024</t>
  </si>
  <si>
    <t>96545</t>
  </si>
  <si>
    <t>ARMAÇÃO DE BLOCO UTILIZANDO AÇO CA-50 DE 8 MM - MONTAGEM. AF_01/2024</t>
  </si>
  <si>
    <t>ARMAÇÃO DE BLOCO UTILIZANDO AÇO CA-50 DE 10 MM - MONTAGEM. AF_01/2024</t>
  </si>
  <si>
    <t>FABRICAÇÃO, MONTAGEM E DESMONTAGEM DE FÔRMA PARA SAPATA, EM MADEIRA SERRADA, E=25 MM, 4 UTILIZAÇÕES. AF_01/2024</t>
  </si>
  <si>
    <t>EXECUÇÃO DE BANCO COM FLOREIRAS, COMPOSTA POR PAREDES EM CONCRETO ARMADO, IMPERMEABILIZADO, ACABAMENTO EXTERNO EM CIMENTO QUEIMADO, INCLUSO FUNDAÇÃO EM CONCRETO CICLÓPICO, BRITA Nº1 PARA DRENAGEM, ATERRO EM TERRA PRETA VEGETAL E MUDAS DE ARBUSTO FLORIFERO</t>
  </si>
  <si>
    <t>FORNECIMENTO E INSTALAÇÃO DE BRINQUEDO PARA PLAYGROUND TIPO CASTELO, COMPOSTO POR 1 ESCADA EM MADEIRA, 1 ESCORREGA EM PRANCHA DE MADEIRA - INCLUSIVE BLOCOS EM CONCRETO CICLÓPICO, LIXAMENTO DA MADEIRA E ACABAMENTO EM PINTURA VERNIZ INCOLOR</t>
  </si>
  <si>
    <t>PISO PODOTÁTIL 25X25, DIRECIONAL OU ALERTA,  EM CONCRETO E ASSENTADO COM ARGAMASSA - FORNECIMENTO E INSTALAÇÃO</t>
  </si>
  <si>
    <t xml:space="preserve"> J00003 </t>
  </si>
  <si>
    <t>Cimento</t>
  </si>
  <si>
    <t>SC</t>
  </si>
  <si>
    <t xml:space="preserve"> J00005 </t>
  </si>
  <si>
    <t>Areia</t>
  </si>
  <si>
    <t xml:space="preserve"> A00387 </t>
  </si>
  <si>
    <t>PisoTátil direcional na cor amarelo 25x25 premoldado (16 unidades)</t>
  </si>
  <si>
    <t>Rampa 1</t>
  </si>
  <si>
    <t>Rampa 2</t>
  </si>
  <si>
    <t>Rampa 3</t>
  </si>
  <si>
    <t>Rampa 4</t>
  </si>
  <si>
    <t>Rampa 5</t>
  </si>
  <si>
    <t>FORNECIMENTO E INSTALAÇÃO DE REFLETOR DE LED RGB 50 W COM CAIXA DE CONCRETO E FUNDO DE BRITA EMBUTIDO NO PISO, FECHADO COM GRADE.</t>
  </si>
  <si>
    <t>LUMINARIA LED REFLETOR RETANGULAR BIVOLT, LUZ COLORIDO, 50 W</t>
  </si>
  <si>
    <t xml:space="preserve">CONECTOR DE ALUMINIO TIPO PRENSA CABO, BITOLA 1/2", PARA CABOS DE DIAMETRO DE 12,5 A 15 MM                                                                                                                                                                                                                                                                                                                                                                                                                </t>
  </si>
  <si>
    <t xml:space="preserve">PARAFUSO, COMUM, ASTM A307, SEXTAVADO, DIAMETRO 1/2" (12,7 MM), COMPRIMENTO 1" (25,4 MM)                                                                                                                                                                                                                                                                                                                                                                                                                  </t>
  </si>
  <si>
    <t>RELÉ FOTOELÉTRICO PARA COMANDO DE ILUMINAÇÃO EXTERNA 1000 W - FORNECIMENTO E INSTALAÇÃO. AF_08/2020</t>
  </si>
  <si>
    <t>Joelho/Cotovelo 90º  PVC - JS - 50mm-LH</t>
  </si>
  <si>
    <t>PREPARO DE FUNDO DE VALA COM LARGURA MENOR QUE 1,5 M (ACERTO DO SOLO NATURAL). AF_08/2020</t>
  </si>
  <si>
    <t>LASTRO DE CONCRETO MAGRO, APLICADO EM BLOCOS DE COROAMENTO OU SAPATAS, ESPESSURA DE 5 CM. AF_01/2024</t>
  </si>
  <si>
    <t>Bloco em concreto armado p/ fundaçao (incl. forma)</t>
  </si>
  <si>
    <t>PEÇA RETANGULAR PRÉ-MOLDADA, VOLUME DE CONCRETO ACIMA DE 100 LITROS, TAXA DE AÇO APROXIMADA DE 30KG/M³. AF_01/2018</t>
  </si>
  <si>
    <t>Grade de ferro 1/2" (incl. pint. anti-corrosiva)</t>
  </si>
  <si>
    <t>FURO MECANIZADO EM CONCRETO, COM MARTELO DEMOLIDOR, PARA INSTALAÇÕES HIDRÁULICAS, DIÂMETROS MENORES OU IGUAIS A 40 MM. AF_09/2023</t>
  </si>
  <si>
    <t xml:space="preserve">CADEADO SIMPLES, CORPO EM LATAO MACICO, COM LARGURA DE 25 MM E ALTURA DE APROX 25 MM, HASTE CEMENTADA (NAO LONGA), EM ACO TEMPERADO COM DIAMETRO DE APROX 5,0 MM, INCLUINDO 2 CHAVES                                                                                                                                                                                                                                                                                                                      </t>
  </si>
  <si>
    <t xml:space="preserve">CENTO </t>
  </si>
  <si>
    <t>UN</t>
  </si>
  <si>
    <t>un</t>
  </si>
  <si>
    <t>Patamar</t>
  </si>
  <si>
    <t>42247</t>
  </si>
  <si>
    <t xml:space="preserve">LUMINARIA DE LED PARA ILUMINACAO PUBLICA, DE 138 W ATE 180 W, INVOLUCRO EM ALUMINIO OU ACO INOX                                                                                                                                                                                                                                                                                                                                                                                                           </t>
  </si>
  <si>
    <t>2512</t>
  </si>
  <si>
    <t xml:space="preserve">BRACO P/ LUMINARIA PUBLICA 1 X 1,50M ROMAGNOLE OU EQUIV                                                                                                                                                                                                                                                                                                                                                                                                                                                   </t>
  </si>
  <si>
    <t>11026</t>
  </si>
  <si>
    <t xml:space="preserve">CHAPA DE ACO GALVANIZADA BITOLA GSG 14, E = 1,95 MM (15,60 KG/M2)                                                                                                                                                                                                                                                                                                                                                                                                                                         </t>
  </si>
  <si>
    <t>96619</t>
  </si>
  <si>
    <t>FORNECIMENTO E INSTALAÇÃO DE POSTE EM AÇO GALVANIZADO CURVO H= 7M, COM 2 PÉTALAS EM TUBO DE AÇO GALV. E LUMINÁRIA PUBLICA EM LED 150W, BRANCO FRIO. ACABAMENTO EM PINTURA DE FUNDO E ACABAMENTO EM ESMALTE SINTÉTICO.</t>
  </si>
  <si>
    <t>CRUZEIRO EM CONCRETO ARMADO, BASE DE APOIO EM TRÊS DEGRAUS DE CONCRETO ARMADO, PINTURA DE ACABAMENTO COM TINTA LÁTEX ACRÍLICA PREMIUM, ILUMINAÇÃO COM CANALETA LED 10W/M 3000K BRANCO QUENTE COM FONTE E SPOT BALIZADOR LED EMBUTIDO NO PISO 30W BRANCO QUENTE - FORNECIMENTO E INSTALAÇÃO</t>
  </si>
  <si>
    <t>BALIZADOR LUMINÁRIA LED, EMBUTIDO NO CHÃO JARDIM 30W, LUZ BRANCO QUENTE</t>
  </si>
  <si>
    <t>6.1.1</t>
  </si>
  <si>
    <t>6.1.2</t>
  </si>
  <si>
    <t>POSTES E LUMINÁRIAS</t>
  </si>
  <si>
    <t>CABOS, ELETRODUTOS E CONEXÕES</t>
  </si>
  <si>
    <t>6.2.1</t>
  </si>
  <si>
    <t>6.2.2</t>
  </si>
  <si>
    <t>6.2.3</t>
  </si>
  <si>
    <t>6.3.1</t>
  </si>
  <si>
    <t>6.3.2</t>
  </si>
  <si>
    <t>QUADROS E DISJUNTORES</t>
  </si>
  <si>
    <t>6.3.3</t>
  </si>
  <si>
    <t>6.3.4</t>
  </si>
  <si>
    <t>6.3.5</t>
  </si>
  <si>
    <t>6.3.6</t>
  </si>
  <si>
    <t>6.3.7</t>
  </si>
  <si>
    <t>171164</t>
  </si>
  <si>
    <t>Haste de Aço cobreada 5/8"x2,40m c/ conector</t>
  </si>
  <si>
    <t>CPU 19</t>
  </si>
  <si>
    <t>CAIXA DE INSPEÇÃO DE PVC P/ ATERRAMENTO Ø30x60cm, C/ TAMPA DE FERRO FUNDIDO - FORNECIMENTO E INSTALAÇÃO</t>
  </si>
  <si>
    <t>41476</t>
  </si>
  <si>
    <t xml:space="preserve">CAIXA DE INSPECAO PARA ATERRAMENTO OU OUTRO USO, EM PVC, DN = 300 X 600 MM                                                                                                                                                                                                                                                                                                                                                                                                                                </t>
  </si>
  <si>
    <t>101618</t>
  </si>
  <si>
    <t>PREPARO DE FUNDO DE VALA COM LARGURA MENOR QUE 1,5 M, COM CAMADA DE AREIA, LANÇAMENTO MANUAL. AF_08/2020</t>
  </si>
  <si>
    <t>TAMPA DE FERRO FUNDIDO, DE CHÃO PASSAGEM ARTICULADO, Ø32CM</t>
  </si>
  <si>
    <t>CPU 20</t>
  </si>
  <si>
    <t>88247</t>
  </si>
  <si>
    <t>CPU 21</t>
  </si>
  <si>
    <t>CPU 22</t>
  </si>
  <si>
    <t>CPU 23</t>
  </si>
  <si>
    <t>171018</t>
  </si>
  <si>
    <t>Eletroduto de F°G° de 1 1/4"</t>
  </si>
  <si>
    <t>170632</t>
  </si>
  <si>
    <t>Eletroduto PVC Rígido de 1 1/4"</t>
  </si>
  <si>
    <t>91860</t>
  </si>
  <si>
    <t>ELETRODUTO FLEXÍVEL CORRUGADO, PEAD, DN 40 MM (1 1/4"), PARA CIRCUITOS TERMINAIS, INSTALADO EM PAREDE - FORNECIMENTO E INSTALAÇÃO. AF_03/2023</t>
  </si>
  <si>
    <t>CPU 24</t>
  </si>
  <si>
    <t>CPU 25</t>
  </si>
  <si>
    <t xml:space="preserve">ELETRODUTO FLEXÍVEL CORRUGADO, PEAD, DN 40 MM (1"), PARA CIRCUITOS TERMINAIS, INSTALADO EM PAREDE - FORNECIMENTO E INSTALAÇÃO. </t>
  </si>
  <si>
    <t>ELETRODUTO FLEXÍVEL CORRUGADO, PEAD, DN 40 MM (3/4"), PARA CIRCUITOS TERMINAIS, INSTALADO EM PAREDE - FORNECIMENTO E INSTALAÇÃO. AF_03/2023</t>
  </si>
  <si>
    <t>DUTO PEAD FLEXIVEL PAREDE SIMPLES, CORRUGACAO HELICOIDAL, COR PRETA, SEM ROSCA, DE 1", PARA CABEAMENTO SUBTERRANEO (NBR 15715)</t>
  </si>
  <si>
    <t>DUTO PEAD FLEXIVEL PAREDE SIMPLES, CORRUGACAO HELICOIDAL, COR PRETA, SEM ROSCA, DE 3/4", PARA CABEAMENTO SUBTERRANEO (NBR 15715)</t>
  </si>
  <si>
    <t>171347</t>
  </si>
  <si>
    <t>Curva  90º p/ elet. FºGº 1 1/4" (IE)</t>
  </si>
  <si>
    <t>171267</t>
  </si>
  <si>
    <t>Curva  90° p/ elet. PVC 1 1/4" (IE)</t>
  </si>
  <si>
    <t>171340</t>
  </si>
  <si>
    <t>Luva p/ elet. FºGº de 1 1/4" (IE)</t>
  </si>
  <si>
    <t>171048</t>
  </si>
  <si>
    <t>Luva p/ elet. PVC de 1 1/4" (IE)</t>
  </si>
  <si>
    <t>101560</t>
  </si>
  <si>
    <t>CABO DE COBRE FLEXÍVEL ISOLADO, 10 MM², 0,6/1,0 KV, PARA REDE AÉREA DE DISTRIBUIÇÃO DE ENERGIA ELÉTRICA DE BAIXA TENSÃO - FORNECIMENTO E INSTALAÇÃO. AF_07/2020</t>
  </si>
  <si>
    <t>91932</t>
  </si>
  <si>
    <t>CABO DE COBRE FLEXÍVEL ISOLADO, 10 MM², ANTI-CHAMA 450/750 V, PARA CIRCUITOS TERMINAIS - FORNECIMENTO E INSTALAÇÃO. AF_03/2023</t>
  </si>
  <si>
    <t>91928</t>
  </si>
  <si>
    <t>CABO DE COBRE FLEXÍVEL ISOLADO, 4 MM², ANTI-CHAMA 450/750 V, PARA CIRCUITOS TERMINAIS - FORNECIMENTO E INSTALAÇÃO. AF_03/2023</t>
  </si>
  <si>
    <t>CABO DE COBRE NÚ 10MM² - FORNECIMENTO E INSTALAÇÃO</t>
  </si>
  <si>
    <t>CABO DE COBRE NÚ 10MM2</t>
  </si>
  <si>
    <t>180414</t>
  </si>
  <si>
    <t>Caixa em alvenaria de  30x30x30cm c/ tpo. concreto</t>
  </si>
  <si>
    <t>CAIXA PARA MEDIDOR POLIFÁSICO INCLUINDO ACESSÓRIOS DE FIXAÇÃO - FORNECIMENTO E INSTALAÇÃO</t>
  </si>
  <si>
    <t>39809</t>
  </si>
  <si>
    <t xml:space="preserve">CAIXA PARA MEDIDOR POLIFASICO, EM POLICARBONATO / TERMOPLASTICO, PARA ALOJAR 1 DISJUNTOR (PADRAO DA CONCESSIONARIA LOCAL)                                                                                                                                                                                                                                                                                                                                                                                 </t>
  </si>
  <si>
    <t>11950</t>
  </si>
  <si>
    <t xml:space="preserve">BUCHA DE NYLON SEM ABA S6, COM PARAFUSO DE 4,20 X 40 MM EM ACO ZINCADO COM ROSCA SOBERBA, CABECA CHATA E FENDA PHILLIPS                                                                                                                                                                                                                                                                                                                                                                                   </t>
  </si>
  <si>
    <t>87367</t>
  </si>
  <si>
    <t>ARGAMASSA TRAÇO 1:1:6 (EM VOLUME DE CIMENTO, CAL E AREIA MÉDIA ÚMIDA) PARA EMBOÇO/MASSA ÚNICA/ASSENTAMENTO DE ALVENARIA DE VEDAÇÃO, PREPARO MANUAL. AF_08/2019</t>
  </si>
  <si>
    <t>QUADRO DE DISTRIBUIÇÃO DE ENERGIA EM CHAPA DE AÇO GALVANIZADO, DE EMBUTIR, COM BARRAMENTO BIFÁSICO, PARA 24 DISJUNTORES DIN 100A - FORNECIMENTO E INSTALAÇÃO. AF_10/2020</t>
  </si>
  <si>
    <t>QUADRO DE DISTRIBUICAO COM BARRAMENTO BIFASICO, DE EMBUTIR, EM CHAPA DE ACO GALVANIZADO, PARA 24 DISJUNTORES DIN, 100 A</t>
  </si>
  <si>
    <t>INTERRUPTOR DIFERENCIAL RESIDUAL DR-4P-100A - 30mA - FORNECIMENTO E INSTALAÇÃO</t>
  </si>
  <si>
    <t>INTERRUPTOR DIFERENCIAL RESIDUAL DR-4P-100A - 30mA</t>
  </si>
  <si>
    <t>93660</t>
  </si>
  <si>
    <t>DISJUNTOR BIPOLAR TIPO DIN, CORRENTE NOMINAL DE 10A - FORNECIMENTO E INSTALAÇÃO. AF_10/2020</t>
  </si>
  <si>
    <t>93661</t>
  </si>
  <si>
    <t>DISJUNTOR BIPOLAR TIPO DIN, CORRENTE NOMINAL DE 16A - FORNECIMENTO E INSTALAÇÃO. AF_10/2020</t>
  </si>
  <si>
    <t>93665</t>
  </si>
  <si>
    <t>DISJUNTOR BIPOLAR TIPO DIN, CORRENTE NOMINAL DE 40A - FORNECIMENTO E INSTALAÇÃO. AF_10/2020</t>
  </si>
  <si>
    <t>171419</t>
  </si>
  <si>
    <t>Supressor de transientes tipo Varistor 20KA-175V.</t>
  </si>
  <si>
    <t>6.3.8</t>
  </si>
  <si>
    <t>6.3.9</t>
  </si>
  <si>
    <t>6.3.10</t>
  </si>
  <si>
    <t>6.3.11</t>
  </si>
  <si>
    <t>6.3.12</t>
  </si>
  <si>
    <t>6.3.13</t>
  </si>
  <si>
    <t>6.3.14</t>
  </si>
  <si>
    <t>ATERRAMENTO</t>
  </si>
  <si>
    <t>6.4.1</t>
  </si>
  <si>
    <t>6.4.2</t>
  </si>
  <si>
    <t>6.4.3</t>
  </si>
  <si>
    <t>6.4.4</t>
  </si>
  <si>
    <t>6.4.5</t>
  </si>
  <si>
    <t>6.4.6</t>
  </si>
  <si>
    <t>6.4.7</t>
  </si>
  <si>
    <t>171110</t>
  </si>
  <si>
    <t>Conector para haste de aterramento de 5/8"</t>
  </si>
  <si>
    <t>AV. PRINCIPAL, S/N, VILA PURAQUEQUARINHA, OURÉM, PA</t>
  </si>
  <si>
    <t>4.1</t>
  </si>
  <si>
    <t>4.2</t>
  </si>
  <si>
    <t>4.3</t>
  </si>
  <si>
    <t>4.4</t>
  </si>
  <si>
    <t>4.5</t>
  </si>
  <si>
    <t>CPU 26</t>
  </si>
  <si>
    <t>CPU 27</t>
  </si>
  <si>
    <t>EXECUÇÃO DE BANCO COM FLOREIRAS, COMPOSTA POR PAREDES EM CONCRETO ARMADO, IMPERMEABILIZADO, ACABAMENTO EXTERNO EM CIMENTO QUEIMADO, INCLUSO FUNDAÇÃO EM CONCRETO CICLÓPICO, BRITA Nº1 PARA DRENAGEM, ATERRO EM TERRA PRETA VEGETAL, MUDAS DE ARBUSTO FLORIFERO.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</si>
</sst>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R$&quot;\ #,##0.00;[Red]\-&quot;R$&quot;\ #,##0.00"/>
    <numFmt numFmtId="44" formatCode="_-&quot;R$&quot;\ * #,##0.00_-;\-&quot;R$&quot;\ * #,##0.00_-;_-&quot;R$&quot;\ * &quot;-&quot;??_-;_-@_-"/>
    <numFmt numFmtId="43" formatCode="_-* #,##0.00_-;\-* #,##0.00_-;_-* &quot;-&quot;??_-;_-@_-"/>
    <numFmt numFmtId="164" formatCode="&quot;R$ &quot;#,##0.00_);\(&quot;R$ &quot;#,##0.00\)"/>
    <numFmt numFmtId="165" formatCode="_(* #,##0.00_);_(* \(#,##0.00\);_(* &quot;-&quot;??_);_(@_)"/>
    <numFmt numFmtId="166" formatCode="_-[$R$-416]\ * #,##0.00_-;\-[$R$-416]\ * #,##0.00_-;_-[$R$-416]\ * &quot;-&quot;??_-;_-@_-"/>
    <numFmt numFmtId="167" formatCode="_([$€]* #,##0.00_);_([$€]* \(#,##0.00\);_([$€]* &quot;-&quot;??_);_(@_)"/>
    <numFmt numFmtId="168" formatCode="#,##0.00_ ;[Red]\-#,##0.00\ "/>
    <numFmt numFmtId="169" formatCode="&quot;R$&quot;\ #,##0.00"/>
    <numFmt numFmtId="170" formatCode="0.0000"/>
    <numFmt numFmtId="171" formatCode="0.000"/>
    <numFmt numFmtId="172" formatCode="#,##0.00_ ;\-#,##0.00\ "/>
    <numFmt numFmtId="173" formatCode="#,##0.000;\-#,##0.000"/>
    <numFmt numFmtId="174" formatCode="#,##0.000;[Red]\-#,##0.000"/>
    <numFmt numFmtId="175" formatCode="#,##0.0000;[Red]\-#,##0.0000"/>
  </numFmts>
  <fonts count="30" x14ac:knownFonts="1">
    <font>
      <sz val="11"/>
      <color theme="1"/>
      <name val="Calibri"/>
      <family val="2"/>
      <scheme val="minor"/>
    </font>
    <font>
      <sz val="11"/>
      <color theme="1"/>
      <name val="Calibri"/>
      <family val="2"/>
      <scheme val="minor"/>
    </font>
    <font>
      <sz val="10"/>
      <name val="Arial"/>
      <family val="2"/>
    </font>
    <font>
      <b/>
      <sz val="10"/>
      <name val="Arial"/>
      <family val="2"/>
    </font>
    <font>
      <b/>
      <sz val="11"/>
      <color theme="1"/>
      <name val="Arial"/>
      <family val="2"/>
    </font>
    <font>
      <sz val="11"/>
      <color theme="1"/>
      <name val="Arial"/>
      <family val="2"/>
    </font>
    <font>
      <sz val="10"/>
      <name val="Arial"/>
      <family val="2"/>
    </font>
    <font>
      <sz val="8"/>
      <name val="Arial"/>
      <family val="2"/>
    </font>
    <font>
      <b/>
      <sz val="8"/>
      <name val="Arial"/>
      <family val="2"/>
    </font>
    <font>
      <b/>
      <sz val="10"/>
      <name val="Calibri"/>
      <family val="2"/>
      <scheme val="minor"/>
    </font>
    <font>
      <b/>
      <sz val="11"/>
      <name val="Arial"/>
      <family val="2"/>
    </font>
    <font>
      <b/>
      <sz val="10"/>
      <color indexed="8"/>
      <name val="Arial"/>
      <family val="2"/>
    </font>
    <font>
      <sz val="11"/>
      <name val="Arial"/>
      <family val="2"/>
    </font>
    <font>
      <sz val="10"/>
      <name val="Arial Narrow"/>
      <family val="2"/>
    </font>
    <font>
      <sz val="10"/>
      <color rgb="FF000000"/>
      <name val="Arial Narrow"/>
      <family val="2"/>
    </font>
    <font>
      <b/>
      <sz val="12"/>
      <color theme="1"/>
      <name val="Arial"/>
      <family val="2"/>
    </font>
    <font>
      <sz val="11"/>
      <color rgb="FF000000"/>
      <name val="Arial"/>
      <family val="2"/>
    </font>
    <font>
      <sz val="8"/>
      <name val="Calibri"/>
      <family val="2"/>
      <scheme val="minor"/>
    </font>
    <font>
      <sz val="11"/>
      <color rgb="FFFF0000"/>
      <name val="Arial"/>
      <family val="2"/>
    </font>
    <font>
      <sz val="10"/>
      <color theme="1"/>
      <name val="Calibri"/>
      <family val="2"/>
      <scheme val="minor"/>
    </font>
    <font>
      <sz val="9"/>
      <name val="Arial"/>
      <family val="2"/>
    </font>
    <font>
      <b/>
      <sz val="11"/>
      <color theme="1"/>
      <name val="Calibri"/>
      <family val="2"/>
      <scheme val="minor"/>
    </font>
    <font>
      <sz val="11"/>
      <color rgb="FF000000"/>
      <name val="Calibri"/>
      <family val="2"/>
    </font>
    <font>
      <b/>
      <sz val="12"/>
      <name val="Arial"/>
      <family val="2"/>
    </font>
    <font>
      <sz val="11"/>
      <color indexed="8"/>
      <name val="Arial"/>
      <family val="2"/>
    </font>
    <font>
      <b/>
      <sz val="10"/>
      <color theme="1"/>
      <name val="Arial"/>
      <family val="2"/>
    </font>
    <font>
      <b/>
      <sz val="10"/>
      <color theme="1"/>
      <name val="Calibri"/>
      <family val="2"/>
      <scheme val="minor"/>
    </font>
    <font>
      <sz val="12"/>
      <name val="Arial"/>
      <family val="2"/>
    </font>
    <font>
      <sz val="12"/>
      <color theme="1"/>
      <name val="Arial"/>
      <family val="2"/>
    </font>
    <font>
      <sz val="12"/>
      <color indexed="8"/>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indexed="9"/>
        <bgColor indexed="26"/>
      </patternFill>
    </fill>
    <fill>
      <patternFill patternType="solid">
        <fgColor theme="4" tint="0.79998168889431442"/>
        <bgColor indexed="64"/>
      </patternFill>
    </fill>
    <fill>
      <patternFill patternType="solid">
        <fgColor theme="0" tint="-0.249977111117893"/>
        <bgColor indexed="55"/>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8"/>
      </patternFill>
    </fill>
  </fills>
  <borders count="70">
    <border>
      <left/>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style="medium">
        <color indexed="8"/>
      </bottom>
      <diagonal/>
    </border>
    <border>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8"/>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33">
    <xf numFmtId="0" fontId="0" fillId="0" borderId="0"/>
    <xf numFmtId="165"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6"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xf numFmtId="165" fontId="1" fillId="0" borderId="0" applyFont="0" applyFill="0" applyBorder="0" applyAlignment="0" applyProtection="0"/>
    <xf numFmtId="0" fontId="2" fillId="0" borderId="0"/>
    <xf numFmtId="167" fontId="2" fillId="0" borderId="0"/>
    <xf numFmtId="167" fontId="2" fillId="0" borderId="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43" fontId="1" fillId="0" borderId="0" applyFont="0" applyFill="0" applyBorder="0" applyAlignment="0" applyProtection="0"/>
    <xf numFmtId="44" fontId="2" fillId="0" borderId="0" applyFont="0" applyFill="0" applyBorder="0" applyAlignment="0" applyProtection="0"/>
    <xf numFmtId="0" fontId="22" fillId="0" borderId="0"/>
    <xf numFmtId="44" fontId="2" fillId="0" borderId="0" applyFont="0" applyFill="0" applyBorder="0" applyAlignment="0" applyProtection="0"/>
    <xf numFmtId="0" fontId="2" fillId="0" borderId="0" applyFill="0"/>
    <xf numFmtId="0" fontId="2" fillId="0" borderId="0"/>
    <xf numFmtId="44" fontId="2" fillId="0" borderId="0" applyFont="0" applyFill="0" applyBorder="0" applyAlignment="0" applyProtection="0"/>
    <xf numFmtId="165" fontId="2" fillId="0" borderId="0" applyFont="0" applyFill="0" applyBorder="0" applyAlignment="0" applyProtection="0"/>
    <xf numFmtId="0" fontId="2" fillId="0" borderId="0"/>
    <xf numFmtId="167" fontId="2" fillId="0" borderId="0"/>
    <xf numFmtId="0" fontId="1" fillId="0" borderId="0"/>
    <xf numFmtId="165" fontId="2" fillId="0" borderId="0" applyFont="0" applyFill="0" applyBorder="0" applyAlignment="0" applyProtection="0"/>
    <xf numFmtId="0" fontId="2" fillId="0" borderId="0"/>
  </cellStyleXfs>
  <cellXfs count="640">
    <xf numFmtId="0" fontId="0" fillId="0" borderId="0" xfId="0"/>
    <xf numFmtId="0" fontId="2" fillId="0" borderId="0" xfId="0" applyFont="1" applyAlignment="1">
      <alignment vertical="center" wrapText="1"/>
    </xf>
    <xf numFmtId="0" fontId="5" fillId="0" borderId="0" xfId="0" applyFont="1" applyAlignment="1">
      <alignment wrapText="1"/>
    </xf>
    <xf numFmtId="40" fontId="2" fillId="3" borderId="0" xfId="6" applyNumberFormat="1" applyFill="1" applyAlignment="1">
      <alignment horizontal="center"/>
    </xf>
    <xf numFmtId="40" fontId="3" fillId="3" borderId="0" xfId="6" applyNumberFormat="1" applyFont="1" applyFill="1" applyAlignment="1">
      <alignment horizontal="left"/>
    </xf>
    <xf numFmtId="0" fontId="4" fillId="2" borderId="0" xfId="0" applyFont="1" applyFill="1" applyAlignment="1">
      <alignment wrapText="1"/>
    </xf>
    <xf numFmtId="0" fontId="2" fillId="3" borderId="0" xfId="3" applyFill="1"/>
    <xf numFmtId="0" fontId="2" fillId="3" borderId="0" xfId="3" applyFill="1" applyAlignment="1">
      <alignment horizontal="center"/>
    </xf>
    <xf numFmtId="40" fontId="3" fillId="3" borderId="0" xfId="6" applyNumberFormat="1" applyFont="1" applyFill="1" applyAlignment="1">
      <alignment horizontal="center"/>
    </xf>
    <xf numFmtId="40" fontId="2" fillId="3" borderId="0" xfId="6" applyNumberFormat="1" applyFill="1" applyAlignment="1">
      <alignment horizontal="left"/>
    </xf>
    <xf numFmtId="10" fontId="3" fillId="0" borderId="26" xfId="0" applyNumberFormat="1" applyFont="1" applyBorder="1" applyAlignment="1">
      <alignment horizontal="center"/>
    </xf>
    <xf numFmtId="0" fontId="8" fillId="0" borderId="25" xfId="0" applyFont="1" applyBorder="1"/>
    <xf numFmtId="0" fontId="7" fillId="0" borderId="0" xfId="0" applyFont="1"/>
    <xf numFmtId="0" fontId="7" fillId="0" borderId="26" xfId="0" applyFont="1" applyBorder="1"/>
    <xf numFmtId="0" fontId="0" fillId="3" borderId="0" xfId="0" applyFill="1"/>
    <xf numFmtId="9" fontId="2" fillId="3" borderId="5" xfId="3" applyNumberFormat="1" applyFill="1" applyBorder="1" applyAlignment="1">
      <alignment horizontal="center"/>
    </xf>
    <xf numFmtId="0" fontId="2" fillId="3" borderId="5" xfId="3" applyFill="1" applyBorder="1" applyAlignment="1">
      <alignment horizontal="center"/>
    </xf>
    <xf numFmtId="8" fontId="2" fillId="3" borderId="5" xfId="3" applyNumberFormat="1" applyFill="1" applyBorder="1" applyAlignment="1">
      <alignment horizontal="center"/>
    </xf>
    <xf numFmtId="0" fontId="2" fillId="3" borderId="5" xfId="3" applyFill="1" applyBorder="1"/>
    <xf numFmtId="10" fontId="2" fillId="3" borderId="5" xfId="3" applyNumberForma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10" fontId="2" fillId="3" borderId="34" xfId="0" applyNumberFormat="1" applyFont="1" applyFill="1" applyBorder="1" applyAlignment="1">
      <alignment horizontal="center" vertical="center"/>
    </xf>
    <xf numFmtId="166" fontId="9" fillId="3" borderId="0" xfId="0" applyNumberFormat="1" applyFont="1" applyFill="1" applyAlignment="1">
      <alignment vertical="center" wrapText="1"/>
    </xf>
    <xf numFmtId="2" fontId="13" fillId="0" borderId="9" xfId="11" applyNumberFormat="1" applyFont="1" applyBorder="1" applyAlignment="1">
      <alignment vertical="center"/>
    </xf>
    <xf numFmtId="2" fontId="13" fillId="0" borderId="38" xfId="11" applyNumberFormat="1" applyFont="1" applyBorder="1" applyAlignment="1">
      <alignment vertical="center"/>
    </xf>
    <xf numFmtId="2" fontId="14" fillId="0" borderId="9" xfId="8" applyNumberFormat="1" applyFont="1" applyFill="1" applyBorder="1" applyAlignment="1" applyProtection="1">
      <alignment horizontal="center" vertical="center"/>
    </xf>
    <xf numFmtId="2" fontId="13" fillId="0" borderId="5" xfId="11" applyNumberFormat="1" applyFont="1" applyBorder="1" applyAlignment="1">
      <alignment vertical="center"/>
    </xf>
    <xf numFmtId="2" fontId="13" fillId="0" borderId="4" xfId="11" applyNumberFormat="1" applyFont="1" applyBorder="1" applyAlignment="1">
      <alignment vertical="center"/>
    </xf>
    <xf numFmtId="2" fontId="14" fillId="0" borderId="5" xfId="8" applyNumberFormat="1" applyFont="1" applyFill="1" applyBorder="1" applyAlignment="1" applyProtection="1">
      <alignment horizontal="center" vertical="center"/>
    </xf>
    <xf numFmtId="2" fontId="13" fillId="0" borderId="5" xfId="11" applyNumberFormat="1" applyFont="1" applyBorder="1" applyAlignment="1">
      <alignment horizontal="center" vertical="center"/>
    </xf>
    <xf numFmtId="2" fontId="14" fillId="0" borderId="5" xfId="8" applyNumberFormat="1" applyFont="1" applyFill="1" applyBorder="1" applyAlignment="1" applyProtection="1">
      <alignment horizontal="right" vertical="center"/>
    </xf>
    <xf numFmtId="2" fontId="14" fillId="0" borderId="4" xfId="8" applyNumberFormat="1" applyFont="1" applyFill="1" applyBorder="1" applyAlignment="1" applyProtection="1">
      <alignment horizontal="right" vertical="center"/>
    </xf>
    <xf numFmtId="0" fontId="0" fillId="0" borderId="0" xfId="0" applyAlignment="1">
      <alignment horizontal="right"/>
    </xf>
    <xf numFmtId="10" fontId="3" fillId="5" borderId="30" xfId="8" applyNumberFormat="1" applyFont="1" applyFill="1" applyBorder="1" applyAlignment="1" applyProtection="1">
      <alignment horizontal="center"/>
    </xf>
    <xf numFmtId="10" fontId="3" fillId="5" borderId="34" xfId="0" applyNumberFormat="1" applyFont="1" applyFill="1" applyBorder="1" applyAlignment="1">
      <alignment horizontal="center" vertical="center"/>
    </xf>
    <xf numFmtId="0" fontId="12" fillId="3" borderId="0" xfId="0" applyFont="1" applyFill="1"/>
    <xf numFmtId="40" fontId="3" fillId="3" borderId="0" xfId="6" applyNumberFormat="1" applyFont="1" applyFill="1" applyAlignment="1">
      <alignment horizontal="center" vertical="center"/>
    </xf>
    <xf numFmtId="0" fontId="5" fillId="3" borderId="0" xfId="0" applyFont="1" applyFill="1" applyAlignment="1">
      <alignment wrapText="1"/>
    </xf>
    <xf numFmtId="40" fontId="12" fillId="3" borderId="5" xfId="0" applyNumberFormat="1" applyFont="1" applyFill="1" applyBorder="1" applyAlignment="1">
      <alignment horizontal="center" vertical="center"/>
    </xf>
    <xf numFmtId="0" fontId="3" fillId="3" borderId="9" xfId="3" applyFont="1" applyFill="1" applyBorder="1" applyAlignment="1">
      <alignment horizontal="center" vertical="center"/>
    </xf>
    <xf numFmtId="0" fontId="2" fillId="3" borderId="1" xfId="3" applyFill="1" applyBorder="1" applyAlignment="1">
      <alignment horizontal="center"/>
    </xf>
    <xf numFmtId="0" fontId="12" fillId="0" borderId="5" xfId="0" applyFont="1" applyBorder="1" applyAlignment="1">
      <alignment horizontal="center" vertical="center" wrapText="1"/>
    </xf>
    <xf numFmtId="0" fontId="12" fillId="0" borderId="0" xfId="0" applyFont="1" applyAlignment="1">
      <alignment horizontal="center" wrapText="1"/>
    </xf>
    <xf numFmtId="0" fontId="12" fillId="0" borderId="0" xfId="0" applyFont="1" applyAlignment="1">
      <alignment wrapText="1"/>
    </xf>
    <xf numFmtId="39" fontId="12" fillId="0" borderId="0" xfId="0" applyNumberFormat="1" applyFont="1" applyAlignment="1">
      <alignment horizontal="center" wrapText="1"/>
    </xf>
    <xf numFmtId="164" fontId="12" fillId="0" borderId="0" xfId="0" applyNumberFormat="1" applyFont="1" applyAlignment="1">
      <alignment wrapText="1"/>
    </xf>
    <xf numFmtId="3" fontId="12" fillId="0" borderId="0" xfId="0" applyNumberFormat="1" applyFont="1" applyAlignment="1">
      <alignment wrapText="1"/>
    </xf>
    <xf numFmtId="0" fontId="4" fillId="0" borderId="0" xfId="0" applyFont="1" applyAlignment="1">
      <alignment horizontal="center"/>
    </xf>
    <xf numFmtId="0" fontId="3" fillId="0" borderId="5" xfId="0" applyFont="1" applyBorder="1" applyAlignment="1">
      <alignment horizontal="center"/>
    </xf>
    <xf numFmtId="0" fontId="5" fillId="0" borderId="20" xfId="0" applyFont="1" applyBorder="1" applyAlignment="1">
      <alignment horizontal="center"/>
    </xf>
    <xf numFmtId="10" fontId="16" fillId="0" borderId="15" xfId="8" applyNumberFormat="1" applyFont="1" applyFill="1" applyBorder="1" applyAlignment="1" applyProtection="1">
      <alignment horizontal="center"/>
    </xf>
    <xf numFmtId="10" fontId="5" fillId="0" borderId="15" xfId="0" applyNumberFormat="1" applyFont="1" applyBorder="1" applyAlignment="1">
      <alignment horizontal="center"/>
    </xf>
    <xf numFmtId="0" fontId="5" fillId="0" borderId="18" xfId="0" applyFont="1" applyBorder="1" applyAlignment="1">
      <alignment horizontal="center"/>
    </xf>
    <xf numFmtId="10" fontId="16" fillId="0" borderId="45" xfId="8" applyNumberFormat="1" applyFont="1" applyFill="1" applyBorder="1" applyAlignment="1" applyProtection="1">
      <alignment horizontal="center"/>
    </xf>
    <xf numFmtId="10" fontId="5" fillId="0" borderId="5" xfId="0" applyNumberFormat="1" applyFont="1" applyBorder="1"/>
    <xf numFmtId="0" fontId="5" fillId="0" borderId="25" xfId="0" applyFont="1" applyBorder="1"/>
    <xf numFmtId="0" fontId="5" fillId="0" borderId="0" xfId="0" applyFont="1"/>
    <xf numFmtId="0" fontId="5" fillId="0" borderId="16" xfId="0" applyFont="1" applyBorder="1" applyAlignment="1">
      <alignment horizontal="center"/>
    </xf>
    <xf numFmtId="10" fontId="16" fillId="0" borderId="17" xfId="8" applyNumberFormat="1" applyFont="1" applyFill="1" applyBorder="1" applyAlignment="1" applyProtection="1">
      <alignment horizontal="center"/>
    </xf>
    <xf numFmtId="0" fontId="5" fillId="0" borderId="46" xfId="0" applyFont="1" applyBorder="1" applyAlignment="1">
      <alignment horizontal="center"/>
    </xf>
    <xf numFmtId="0" fontId="3" fillId="0" borderId="40" xfId="0" applyFont="1" applyBorder="1" applyAlignment="1">
      <alignment horizontal="center"/>
    </xf>
    <xf numFmtId="0" fontId="5" fillId="0" borderId="28" xfId="0" applyFont="1" applyBorder="1"/>
    <xf numFmtId="0" fontId="5" fillId="0" borderId="29" xfId="0" applyFont="1" applyBorder="1"/>
    <xf numFmtId="0" fontId="5" fillId="0" borderId="35" xfId="0" applyFont="1" applyBorder="1"/>
    <xf numFmtId="10" fontId="16" fillId="0" borderId="47" xfId="8" applyNumberFormat="1" applyFont="1" applyFill="1" applyBorder="1" applyAlignment="1" applyProtection="1">
      <alignment horizontal="center"/>
    </xf>
    <xf numFmtId="2" fontId="5" fillId="0" borderId="12" xfId="0" applyNumberFormat="1" applyFont="1" applyBorder="1"/>
    <xf numFmtId="0" fontId="12" fillId="0" borderId="0" xfId="0" applyFont="1" applyAlignment="1">
      <alignment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xf>
    <xf numFmtId="0" fontId="12" fillId="3" borderId="5" xfId="0" applyFont="1" applyFill="1" applyBorder="1" applyAlignment="1">
      <alignment vertical="center" wrapText="1"/>
    </xf>
    <xf numFmtId="39" fontId="12" fillId="3" borderId="5" xfId="0" applyNumberFormat="1" applyFont="1" applyFill="1" applyBorder="1" applyAlignment="1">
      <alignment horizontal="center" vertical="center" wrapText="1"/>
    </xf>
    <xf numFmtId="0" fontId="12" fillId="0" borderId="10" xfId="0" applyFont="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39" fontId="12" fillId="3" borderId="5" xfId="1" applyNumberFormat="1" applyFont="1" applyFill="1" applyBorder="1" applyAlignment="1" applyProtection="1">
      <alignment horizontal="center" vertical="center" wrapText="1"/>
    </xf>
    <xf numFmtId="0" fontId="10" fillId="3" borderId="5" xfId="0" applyFont="1" applyFill="1" applyBorder="1" applyAlignment="1">
      <alignment horizontal="center" vertical="center"/>
    </xf>
    <xf numFmtId="8" fontId="10" fillId="3" borderId="5" xfId="0" applyNumberFormat="1" applyFont="1" applyFill="1" applyBorder="1" applyAlignment="1">
      <alignment horizontal="center" vertical="center"/>
    </xf>
    <xf numFmtId="0" fontId="12" fillId="0" borderId="0" xfId="0" applyFont="1" applyAlignment="1">
      <alignment horizontal="left" wrapText="1"/>
    </xf>
    <xf numFmtId="49" fontId="12" fillId="0" borderId="5" xfId="3" applyNumberFormat="1" applyFont="1" applyBorder="1" applyAlignment="1">
      <alignment horizontal="center" vertical="center" wrapText="1"/>
    </xf>
    <xf numFmtId="166" fontId="12" fillId="0" borderId="5" xfId="1" applyNumberFormat="1" applyFont="1" applyFill="1" applyBorder="1" applyAlignment="1">
      <alignment horizontal="center" vertical="center"/>
    </xf>
    <xf numFmtId="40" fontId="12" fillId="0" borderId="5" xfId="0" applyNumberFormat="1" applyFont="1" applyBorder="1" applyAlignment="1">
      <alignment horizontal="center" vertical="center"/>
    </xf>
    <xf numFmtId="0" fontId="12" fillId="3" borderId="0" xfId="0" applyFont="1" applyFill="1" applyAlignment="1">
      <alignment horizontal="center"/>
    </xf>
    <xf numFmtId="0" fontId="10" fillId="3" borderId="20" xfId="0" applyFont="1" applyFill="1" applyBorder="1" applyAlignment="1">
      <alignment horizontal="center" vertical="center"/>
    </xf>
    <xf numFmtId="40" fontId="10" fillId="3" borderId="5" xfId="0" applyNumberFormat="1" applyFont="1" applyFill="1" applyBorder="1" applyAlignment="1">
      <alignment horizontal="center" vertical="center"/>
    </xf>
    <xf numFmtId="8" fontId="10" fillId="3" borderId="15" xfId="0" applyNumberFormat="1" applyFont="1" applyFill="1" applyBorder="1" applyAlignment="1">
      <alignment horizontal="center" vertical="center"/>
    </xf>
    <xf numFmtId="0" fontId="12" fillId="3" borderId="5" xfId="0" applyFont="1" applyFill="1" applyBorder="1" applyAlignment="1">
      <alignment horizontal="left" vertical="center" wrapText="1"/>
    </xf>
    <xf numFmtId="0" fontId="12" fillId="3" borderId="20" xfId="0" applyFont="1" applyFill="1" applyBorder="1" applyAlignment="1">
      <alignment horizontal="center" vertical="center"/>
    </xf>
    <xf numFmtId="0" fontId="12" fillId="0" borderId="0" xfId="0" applyFont="1"/>
    <xf numFmtId="0" fontId="12" fillId="0" borderId="0" xfId="0" applyFont="1" applyAlignment="1">
      <alignment horizontal="center"/>
    </xf>
    <xf numFmtId="10" fontId="12" fillId="0" borderId="5" xfId="7" applyNumberFormat="1" applyFont="1" applyBorder="1" applyAlignment="1">
      <alignment horizontal="center" vertical="center" wrapText="1"/>
    </xf>
    <xf numFmtId="0" fontId="10" fillId="3" borderId="15" xfId="0" applyFont="1" applyFill="1" applyBorder="1" applyAlignment="1">
      <alignment horizontal="center" vertical="center"/>
    </xf>
    <xf numFmtId="40" fontId="3" fillId="3" borderId="0" xfId="6" applyNumberFormat="1" applyFont="1" applyFill="1" applyAlignment="1">
      <alignment horizontal="left" vertical="center"/>
    </xf>
    <xf numFmtId="0" fontId="5" fillId="0" borderId="5" xfId="0" applyFont="1" applyBorder="1" applyAlignment="1">
      <alignment horizontal="center" vertical="center"/>
    </xf>
    <xf numFmtId="0" fontId="12" fillId="0" borderId="4" xfId="0" applyFont="1" applyBorder="1" applyAlignment="1">
      <alignment horizontal="left" vertical="center" wrapText="1"/>
    </xf>
    <xf numFmtId="0" fontId="16" fillId="0" borderId="5" xfId="0" applyFont="1" applyBorder="1" applyAlignment="1">
      <alignment horizontal="center" vertical="center"/>
    </xf>
    <xf numFmtId="40" fontId="12" fillId="3" borderId="0" xfId="10" applyNumberFormat="1" applyFont="1" applyFill="1" applyAlignment="1">
      <alignment horizontal="center"/>
    </xf>
    <xf numFmtId="40" fontId="2" fillId="3" borderId="0" xfId="10" applyNumberFormat="1" applyFill="1" applyAlignment="1">
      <alignment horizontal="center"/>
    </xf>
    <xf numFmtId="40" fontId="10" fillId="3" borderId="0" xfId="10" applyNumberFormat="1" applyFont="1" applyFill="1" applyAlignment="1">
      <alignment horizontal="center"/>
    </xf>
    <xf numFmtId="44" fontId="12" fillId="0" borderId="5" xfId="0" applyNumberFormat="1" applyFont="1" applyBorder="1" applyAlignment="1">
      <alignment horizontal="center" vertical="center" wrapText="1"/>
    </xf>
    <xf numFmtId="40" fontId="10" fillId="3" borderId="0" xfId="6" applyNumberFormat="1" applyFont="1" applyFill="1" applyAlignment="1">
      <alignment horizontal="left"/>
    </xf>
    <xf numFmtId="40" fontId="10" fillId="3" borderId="0" xfId="6" applyNumberFormat="1" applyFont="1" applyFill="1" applyAlignment="1">
      <alignment horizontal="center"/>
    </xf>
    <xf numFmtId="40" fontId="12" fillId="3" borderId="0" xfId="6" applyNumberFormat="1" applyFont="1" applyFill="1" applyAlignment="1">
      <alignment horizontal="center"/>
    </xf>
    <xf numFmtId="40" fontId="12" fillId="3" borderId="0" xfId="6" applyNumberFormat="1" applyFont="1" applyFill="1" applyAlignment="1">
      <alignment horizontal="left"/>
    </xf>
    <xf numFmtId="0" fontId="1" fillId="0" borderId="0" xfId="0" applyFont="1"/>
    <xf numFmtId="40" fontId="10" fillId="2" borderId="4" xfId="10" applyNumberFormat="1" applyFont="1" applyFill="1" applyBorder="1" applyAlignment="1">
      <alignment horizontal="center"/>
    </xf>
    <xf numFmtId="40" fontId="10" fillId="2" borderId="2" xfId="10" applyNumberFormat="1" applyFont="1" applyFill="1" applyBorder="1" applyAlignment="1">
      <alignment horizontal="center"/>
    </xf>
    <xf numFmtId="40" fontId="10" fillId="2" borderId="3" xfId="10" applyNumberFormat="1" applyFont="1" applyFill="1" applyBorder="1" applyAlignment="1">
      <alignment horizontal="center"/>
    </xf>
    <xf numFmtId="0" fontId="1" fillId="3" borderId="0" xfId="0" applyFont="1" applyFill="1"/>
    <xf numFmtId="38" fontId="10" fillId="3" borderId="0" xfId="6" applyNumberFormat="1" applyFont="1" applyFill="1" applyAlignment="1">
      <alignment horizontal="center"/>
    </xf>
    <xf numFmtId="40" fontId="12" fillId="3" borderId="0" xfId="10" applyNumberFormat="1" applyFont="1" applyFill="1" applyAlignment="1">
      <alignment horizontal="center" wrapText="1"/>
    </xf>
    <xf numFmtId="40" fontId="12" fillId="3" borderId="0" xfId="10" applyNumberFormat="1" applyFont="1" applyFill="1" applyAlignment="1">
      <alignment wrapText="1"/>
    </xf>
    <xf numFmtId="0" fontId="10" fillId="0" borderId="0" xfId="0" applyFont="1" applyAlignment="1">
      <alignment horizontal="center" vertical="center"/>
    </xf>
    <xf numFmtId="38" fontId="10" fillId="3" borderId="0" xfId="6" applyNumberFormat="1" applyFont="1" applyFill="1" applyAlignment="1">
      <alignment horizontal="center" vertical="center"/>
    </xf>
    <xf numFmtId="10" fontId="2" fillId="3" borderId="5" xfId="7" applyNumberFormat="1" applyFont="1" applyFill="1" applyBorder="1" applyAlignment="1">
      <alignment horizontal="center" vertical="center"/>
    </xf>
    <xf numFmtId="10" fontId="2" fillId="4" borderId="5" xfId="8" applyNumberFormat="1" applyFont="1" applyFill="1" applyBorder="1" applyAlignment="1" applyProtection="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9" fontId="10" fillId="8" borderId="5" xfId="7" applyFont="1" applyFill="1" applyBorder="1" applyAlignment="1">
      <alignment horizontal="center" vertical="center" wrapText="1"/>
    </xf>
    <xf numFmtId="44" fontId="10" fillId="8" borderId="5" xfId="1" applyNumberFormat="1" applyFont="1" applyFill="1" applyBorder="1" applyAlignment="1">
      <alignment horizontal="center" vertical="center" wrapText="1"/>
    </xf>
    <xf numFmtId="0" fontId="4" fillId="0" borderId="0" xfId="0" applyFont="1" applyAlignment="1">
      <alignment horizontal="center" vertical="center"/>
    </xf>
    <xf numFmtId="0" fontId="3" fillId="8" borderId="18" xfId="3" applyFont="1" applyFill="1" applyBorder="1" applyAlignment="1">
      <alignment horizontal="center"/>
    </xf>
    <xf numFmtId="0" fontId="3" fillId="8" borderId="10" xfId="3" applyFont="1" applyFill="1" applyBorder="1" applyAlignment="1">
      <alignment horizontal="center"/>
    </xf>
    <xf numFmtId="8" fontId="2" fillId="8" borderId="5" xfId="3" applyNumberFormat="1" applyFill="1" applyBorder="1" applyAlignment="1">
      <alignment horizontal="center" vertical="center"/>
    </xf>
    <xf numFmtId="0" fontId="2" fillId="9" borderId="5" xfId="3" applyFill="1" applyBorder="1" applyAlignment="1">
      <alignment horizontal="center"/>
    </xf>
    <xf numFmtId="10" fontId="10" fillId="8" borderId="5" xfId="0" applyNumberFormat="1" applyFont="1" applyFill="1" applyBorder="1" applyAlignment="1">
      <alignment horizontal="center" vertical="center" wrapText="1"/>
    </xf>
    <xf numFmtId="10" fontId="12" fillId="0" borderId="47" xfId="8" applyNumberFormat="1" applyFont="1" applyFill="1" applyBorder="1" applyAlignment="1" applyProtection="1">
      <alignment horizontal="center"/>
    </xf>
    <xf numFmtId="44" fontId="12" fillId="3" borderId="5" xfId="0" applyNumberFormat="1" applyFont="1" applyFill="1" applyBorder="1" applyAlignment="1">
      <alignment horizontal="center" vertical="center" wrapText="1"/>
    </xf>
    <xf numFmtId="44" fontId="5" fillId="0" borderId="0" xfId="2" applyFont="1" applyAlignment="1">
      <alignment wrapText="1"/>
    </xf>
    <xf numFmtId="40" fontId="10" fillId="3" borderId="0" xfId="6" applyNumberFormat="1" applyFont="1" applyFill="1" applyAlignment="1">
      <alignment horizontal="left" wrapText="1"/>
    </xf>
    <xf numFmtId="44" fontId="12" fillId="3" borderId="5" xfId="2" applyFont="1" applyFill="1" applyBorder="1" applyAlignment="1">
      <alignment horizontal="center" vertical="center"/>
    </xf>
    <xf numFmtId="0" fontId="10" fillId="3" borderId="5" xfId="0" applyFont="1" applyFill="1" applyBorder="1" applyAlignment="1">
      <alignment horizontal="center" vertical="center" wrapText="1"/>
    </xf>
    <xf numFmtId="10" fontId="12" fillId="0" borderId="5" xfId="7" applyNumberFormat="1" applyFont="1" applyFill="1" applyBorder="1" applyAlignment="1">
      <alignment horizontal="center" vertical="center" wrapText="1"/>
    </xf>
    <xf numFmtId="40" fontId="10" fillId="2" borderId="52" xfId="10" applyNumberFormat="1" applyFont="1" applyFill="1" applyBorder="1" applyAlignment="1">
      <alignment horizontal="center"/>
    </xf>
    <xf numFmtId="4" fontId="12" fillId="0" borderId="5" xfId="0" applyNumberFormat="1" applyFont="1" applyBorder="1" applyAlignment="1">
      <alignment horizontal="center" wrapText="1"/>
    </xf>
    <xf numFmtId="2" fontId="12" fillId="3" borderId="5" xfId="0" applyNumberFormat="1" applyFont="1" applyFill="1" applyBorder="1" applyAlignment="1">
      <alignment horizontal="center" vertical="center" wrapText="1"/>
    </xf>
    <xf numFmtId="0" fontId="12" fillId="3" borderId="5" xfId="7" applyNumberFormat="1" applyFont="1" applyFill="1" applyBorder="1" applyAlignment="1">
      <alignment horizontal="center" vertical="center" wrapText="1"/>
    </xf>
    <xf numFmtId="40" fontId="10" fillId="2" borderId="6" xfId="10" applyNumberFormat="1" applyFont="1" applyFill="1" applyBorder="1" applyAlignment="1">
      <alignment horizontal="center"/>
    </xf>
    <xf numFmtId="40" fontId="10" fillId="2" borderId="7" xfId="10" applyNumberFormat="1" applyFont="1" applyFill="1" applyBorder="1" applyAlignment="1">
      <alignment horizontal="center"/>
    </xf>
    <xf numFmtId="40" fontId="10" fillId="2" borderId="6" xfId="10" applyNumberFormat="1" applyFont="1" applyFill="1" applyBorder="1" applyAlignment="1">
      <alignment horizontal="center" vertical="center" wrapText="1"/>
    </xf>
    <xf numFmtId="40" fontId="10" fillId="2" borderId="7" xfId="10" applyNumberFormat="1" applyFont="1" applyFill="1" applyBorder="1" applyAlignment="1">
      <alignment horizontal="center" vertical="center"/>
    </xf>
    <xf numFmtId="40" fontId="10" fillId="2" borderId="52" xfId="10" applyNumberFormat="1" applyFont="1" applyFill="1" applyBorder="1" applyAlignment="1">
      <alignment horizontal="center" vertical="center"/>
    </xf>
    <xf numFmtId="44" fontId="12" fillId="0" borderId="5" xfId="2" applyFont="1" applyBorder="1" applyAlignment="1">
      <alignment horizontal="center" vertical="center"/>
    </xf>
    <xf numFmtId="10" fontId="12" fillId="3" borderId="5" xfId="7" applyNumberFormat="1" applyFont="1" applyFill="1" applyBorder="1" applyAlignment="1">
      <alignment horizontal="center" vertical="center" wrapText="1"/>
    </xf>
    <xf numFmtId="40" fontId="10" fillId="3" borderId="0" xfId="10" applyNumberFormat="1" applyFont="1" applyFill="1" applyAlignment="1">
      <alignment horizontal="left"/>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12" fillId="0" borderId="19" xfId="0" applyFont="1" applyBorder="1" applyAlignment="1">
      <alignment horizontal="left" vertical="center" wrapText="1"/>
    </xf>
    <xf numFmtId="0" fontId="16" fillId="0" borderId="10" xfId="0" applyFont="1" applyBorder="1" applyAlignment="1">
      <alignment horizontal="center" vertical="center"/>
    </xf>
    <xf numFmtId="40" fontId="12" fillId="3" borderId="10" xfId="0" applyNumberFormat="1" applyFont="1" applyFill="1" applyBorder="1" applyAlignment="1">
      <alignment horizontal="center" vertical="center"/>
    </xf>
    <xf numFmtId="44" fontId="10" fillId="0" borderId="54" xfId="0" applyNumberFormat="1" applyFont="1" applyBorder="1" applyAlignment="1">
      <alignment horizontal="center" vertical="center" wrapText="1"/>
    </xf>
    <xf numFmtId="44" fontId="12" fillId="3" borderId="10" xfId="2" applyFont="1" applyFill="1" applyBorder="1" applyAlignment="1">
      <alignment horizontal="center" vertical="center"/>
    </xf>
    <xf numFmtId="44" fontId="12" fillId="0" borderId="15" xfId="2" applyFont="1" applyBorder="1" applyAlignment="1">
      <alignment horizontal="center" vertical="center"/>
    </xf>
    <xf numFmtId="44" fontId="12" fillId="3" borderId="45" xfId="2" applyFont="1" applyFill="1" applyBorder="1" applyAlignment="1">
      <alignment horizontal="center" vertical="center"/>
    </xf>
    <xf numFmtId="40" fontId="10" fillId="3" borderId="0" xfId="6" applyNumberFormat="1" applyFont="1" applyFill="1" applyAlignment="1">
      <alignment horizontal="center" vertical="center" wrapText="1"/>
    </xf>
    <xf numFmtId="44" fontId="5" fillId="0" borderId="5" xfId="0" applyNumberFormat="1" applyFont="1" applyBorder="1" applyAlignment="1">
      <alignment vertical="center" wrapText="1"/>
    </xf>
    <xf numFmtId="0" fontId="12" fillId="3" borderId="5" xfId="0" applyFont="1" applyFill="1" applyBorder="1" applyAlignment="1">
      <alignment vertical="center"/>
    </xf>
    <xf numFmtId="44" fontId="10" fillId="0" borderId="5" xfId="1" applyNumberFormat="1" applyFont="1" applyFill="1" applyBorder="1" applyAlignment="1">
      <alignment horizontal="center" vertical="center" wrapText="1"/>
    </xf>
    <xf numFmtId="44" fontId="10" fillId="3" borderId="54" xfId="0" applyNumberFormat="1" applyFont="1" applyFill="1" applyBorder="1" applyAlignment="1">
      <alignment vertical="center"/>
    </xf>
    <xf numFmtId="10" fontId="10" fillId="0" borderId="5" xfId="7" applyNumberFormat="1" applyFont="1" applyBorder="1" applyAlignment="1">
      <alignment horizontal="center" vertical="center" wrapText="1"/>
    </xf>
    <xf numFmtId="40" fontId="12" fillId="3" borderId="0" xfId="10" applyNumberFormat="1" applyFont="1" applyFill="1"/>
    <xf numFmtId="4" fontId="12" fillId="0" borderId="5" xfId="0" applyNumberFormat="1" applyFont="1" applyBorder="1" applyAlignment="1">
      <alignment horizontal="center" vertical="center" wrapText="1"/>
    </xf>
    <xf numFmtId="2" fontId="12" fillId="0" borderId="5" xfId="0" applyNumberFormat="1" applyFont="1" applyBorder="1" applyAlignment="1">
      <alignment horizontal="center" vertical="center" wrapText="1"/>
    </xf>
    <xf numFmtId="40" fontId="12" fillId="0" borderId="0" xfId="10" applyNumberFormat="1" applyFont="1"/>
    <xf numFmtId="0" fontId="12" fillId="3" borderId="10" xfId="0" applyFont="1" applyFill="1" applyBorder="1" applyAlignment="1">
      <alignment horizontal="center" vertical="center"/>
    </xf>
    <xf numFmtId="44" fontId="12" fillId="3" borderId="5" xfId="1" applyNumberFormat="1" applyFont="1" applyFill="1" applyBorder="1" applyAlignment="1">
      <alignment horizontal="center" vertical="center"/>
    </xf>
    <xf numFmtId="0" fontId="12" fillId="3" borderId="10" xfId="0" applyFont="1" applyFill="1" applyBorder="1" applyAlignment="1">
      <alignment horizontal="center" vertical="center" wrapText="1"/>
    </xf>
    <xf numFmtId="166" fontId="12" fillId="3" borderId="5" xfId="1" applyNumberFormat="1" applyFont="1" applyFill="1" applyBorder="1" applyAlignment="1">
      <alignment horizontal="center" vertical="center"/>
    </xf>
    <xf numFmtId="2" fontId="12" fillId="3" borderId="5" xfId="7" applyNumberFormat="1" applyFont="1" applyFill="1" applyBorder="1" applyAlignment="1">
      <alignment horizontal="center" vertical="center" wrapText="1"/>
    </xf>
    <xf numFmtId="38" fontId="10" fillId="3" borderId="0" xfId="6" applyNumberFormat="1" applyFont="1" applyFill="1" applyAlignment="1">
      <alignment horizontal="left" vertical="center"/>
    </xf>
    <xf numFmtId="0" fontId="12" fillId="3" borderId="10" xfId="3" applyFont="1" applyFill="1" applyBorder="1" applyAlignment="1">
      <alignment horizontal="center" vertical="center" wrapText="1"/>
    </xf>
    <xf numFmtId="49" fontId="12" fillId="3" borderId="10" xfId="3" applyNumberFormat="1" applyFont="1" applyFill="1" applyBorder="1" applyAlignment="1">
      <alignment horizontal="left" vertical="center" wrapText="1"/>
    </xf>
    <xf numFmtId="0" fontId="12" fillId="3" borderId="5" xfId="3" applyFont="1" applyFill="1" applyBorder="1" applyAlignment="1">
      <alignment horizontal="center" vertical="center" wrapText="1"/>
    </xf>
    <xf numFmtId="49" fontId="12" fillId="3" borderId="5" xfId="3" applyNumberFormat="1" applyFont="1" applyFill="1" applyBorder="1" applyAlignment="1">
      <alignment horizontal="left" vertical="center" wrapText="1"/>
    </xf>
    <xf numFmtId="44" fontId="12" fillId="0" borderId="5" xfId="1" applyNumberFormat="1" applyFont="1" applyFill="1" applyBorder="1" applyAlignment="1">
      <alignment horizontal="center" vertical="center"/>
    </xf>
    <xf numFmtId="0" fontId="12" fillId="3" borderId="5" xfId="0" applyFont="1" applyFill="1" applyBorder="1" applyAlignment="1">
      <alignment horizontal="left" vertical="center"/>
    </xf>
    <xf numFmtId="0" fontId="12" fillId="3" borderId="20" xfId="0" applyFont="1" applyFill="1" applyBorder="1" applyAlignment="1">
      <alignment horizontal="center" vertical="center" wrapText="1"/>
    </xf>
    <xf numFmtId="0" fontId="18" fillId="0" borderId="0" xfId="0" applyFont="1" applyAlignment="1">
      <alignment wrapText="1"/>
    </xf>
    <xf numFmtId="0" fontId="24" fillId="0" borderId="4" xfId="22" applyFont="1" applyBorder="1" applyAlignment="1">
      <alignment horizontal="left" vertical="center" wrapText="1"/>
    </xf>
    <xf numFmtId="0" fontId="10" fillId="8" borderId="5" xfId="0" applyFont="1" applyFill="1" applyBorder="1" applyAlignment="1">
      <alignment horizontal="center" vertical="center"/>
    </xf>
    <xf numFmtId="0" fontId="10" fillId="8" borderId="5" xfId="0" applyFont="1" applyFill="1" applyBorder="1" applyAlignment="1">
      <alignment horizontal="left" vertical="center" wrapText="1"/>
    </xf>
    <xf numFmtId="165" fontId="12" fillId="3" borderId="5" xfId="1" applyFont="1" applyFill="1" applyBorder="1" applyAlignment="1">
      <alignment horizontal="center" vertical="center"/>
    </xf>
    <xf numFmtId="164" fontId="12" fillId="3" borderId="5" xfId="0" applyNumberFormat="1" applyFont="1" applyFill="1" applyBorder="1" applyAlignment="1">
      <alignment horizontal="center" vertical="center" wrapText="1"/>
    </xf>
    <xf numFmtId="0" fontId="12" fillId="0" borderId="5" xfId="3" applyFont="1" applyBorder="1" applyAlignment="1">
      <alignment vertical="center"/>
    </xf>
    <xf numFmtId="44" fontId="12" fillId="0" borderId="5" xfId="2" applyFont="1" applyFill="1" applyBorder="1" applyAlignment="1" applyProtection="1">
      <alignment horizontal="center" vertical="center"/>
    </xf>
    <xf numFmtId="0" fontId="12" fillId="8" borderId="5" xfId="0" applyFont="1" applyFill="1" applyBorder="1" applyAlignment="1">
      <alignment wrapText="1"/>
    </xf>
    <xf numFmtId="39" fontId="12" fillId="0" borderId="5" xfId="1" applyNumberFormat="1" applyFont="1" applyFill="1" applyBorder="1" applyAlignment="1" applyProtection="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3" fillId="3" borderId="0" xfId="6" applyFont="1" applyFill="1" applyAlignment="1">
      <alignment horizontal="center" vertical="center"/>
    </xf>
    <xf numFmtId="0" fontId="10" fillId="7" borderId="9" xfId="0" applyFont="1" applyFill="1" applyBorder="1" applyAlignment="1">
      <alignment horizontal="center" vertical="center"/>
    </xf>
    <xf numFmtId="44" fontId="10" fillId="7" borderId="9" xfId="1" applyNumberFormat="1" applyFont="1" applyFill="1" applyBorder="1" applyAlignment="1">
      <alignment horizontal="center" vertical="center" wrapText="1"/>
    </xf>
    <xf numFmtId="9" fontId="10" fillId="7" borderId="9" xfId="7"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9" fontId="10" fillId="7" borderId="41" xfId="7" applyFont="1" applyFill="1" applyBorder="1" applyAlignment="1">
      <alignment horizontal="center" vertical="center" wrapText="1"/>
    </xf>
    <xf numFmtId="0" fontId="10" fillId="7" borderId="41" xfId="0" applyFont="1" applyFill="1" applyBorder="1" applyAlignment="1">
      <alignment vertical="center" wrapText="1"/>
    </xf>
    <xf numFmtId="39" fontId="10" fillId="7" borderId="41" xfId="1" applyNumberFormat="1" applyFont="1" applyFill="1" applyBorder="1" applyAlignment="1">
      <alignment horizontal="center" vertical="center" wrapText="1"/>
    </xf>
    <xf numFmtId="164" fontId="10" fillId="7" borderId="41" xfId="1" applyNumberFormat="1" applyFont="1" applyFill="1" applyBorder="1" applyAlignment="1">
      <alignment horizontal="center" vertical="center" wrapText="1"/>
    </xf>
    <xf numFmtId="0" fontId="10" fillId="7" borderId="41" xfId="1" applyNumberFormat="1" applyFont="1" applyFill="1" applyBorder="1" applyAlignment="1">
      <alignment horizontal="center" vertical="center" wrapText="1"/>
    </xf>
    <xf numFmtId="0" fontId="10" fillId="8" borderId="12" xfId="1" applyNumberFormat="1" applyFont="1" applyFill="1" applyBorder="1" applyAlignment="1">
      <alignment horizontal="center" vertical="center" wrapText="1"/>
    </xf>
    <xf numFmtId="40" fontId="3" fillId="2" borderId="6" xfId="10" applyNumberFormat="1" applyFont="1" applyFill="1" applyBorder="1" applyAlignment="1">
      <alignment horizontal="center"/>
    </xf>
    <xf numFmtId="40" fontId="3" fillId="2" borderId="7" xfId="10" applyNumberFormat="1" applyFont="1" applyFill="1" applyBorder="1" applyAlignment="1">
      <alignment horizontal="center"/>
    </xf>
    <xf numFmtId="40" fontId="3" fillId="2" borderId="52" xfId="10" applyNumberFormat="1" applyFont="1" applyFill="1" applyBorder="1" applyAlignment="1">
      <alignment horizontal="center"/>
    </xf>
    <xf numFmtId="0" fontId="19" fillId="0" borderId="0" xfId="0" applyFont="1"/>
    <xf numFmtId="40" fontId="2" fillId="3" borderId="0" xfId="6" applyNumberFormat="1" applyFill="1" applyAlignment="1">
      <alignment vertical="center" wrapText="1"/>
    </xf>
    <xf numFmtId="40" fontId="3" fillId="3" borderId="0" xfId="6" applyNumberFormat="1" applyFont="1" applyFill="1" applyAlignment="1">
      <alignment horizontal="center" vertical="center" wrapText="1"/>
    </xf>
    <xf numFmtId="40" fontId="2" fillId="3" borderId="23" xfId="10" applyNumberFormat="1" applyFill="1" applyBorder="1" applyAlignment="1">
      <alignment horizontal="left"/>
    </xf>
    <xf numFmtId="40" fontId="2" fillId="3" borderId="37" xfId="10" applyNumberFormat="1" applyFill="1" applyBorder="1" applyAlignment="1">
      <alignment horizontal="center"/>
    </xf>
    <xf numFmtId="40" fontId="2" fillId="3" borderId="23" xfId="10" applyNumberFormat="1" applyFill="1" applyBorder="1" applyAlignment="1">
      <alignment horizontal="center"/>
    </xf>
    <xf numFmtId="40" fontId="2" fillId="3" borderId="38" xfId="10" applyNumberFormat="1" applyFill="1" applyBorder="1" applyAlignment="1">
      <alignment horizontal="center"/>
    </xf>
    <xf numFmtId="40" fontId="2" fillId="3" borderId="22" xfId="10" applyNumberFormat="1" applyFill="1" applyBorder="1" applyAlignment="1">
      <alignment horizontal="center"/>
    </xf>
    <xf numFmtId="40" fontId="2" fillId="3" borderId="39" xfId="10" applyNumberFormat="1" applyFill="1" applyBorder="1" applyAlignment="1">
      <alignment horizontal="center"/>
    </xf>
    <xf numFmtId="40" fontId="2" fillId="3" borderId="0" xfId="10" applyNumberFormat="1" applyFill="1" applyAlignment="1">
      <alignment horizontal="left"/>
    </xf>
    <xf numFmtId="40" fontId="3" fillId="3" borderId="0" xfId="10" applyNumberFormat="1" applyFont="1" applyFill="1" applyAlignment="1">
      <alignment horizontal="center"/>
    </xf>
    <xf numFmtId="40" fontId="3" fillId="9" borderId="5" xfId="6" applyNumberFormat="1" applyFont="1" applyFill="1" applyBorder="1" applyAlignment="1">
      <alignment horizontal="left" vertical="center"/>
    </xf>
    <xf numFmtId="40" fontId="3" fillId="9" borderId="5" xfId="6" applyNumberFormat="1" applyFont="1" applyFill="1" applyBorder="1" applyAlignment="1">
      <alignment horizontal="center" vertical="center"/>
    </xf>
    <xf numFmtId="40" fontId="2" fillId="3" borderId="5" xfId="6" applyNumberFormat="1" applyFill="1" applyBorder="1" applyAlignment="1">
      <alignment horizontal="center" vertical="center"/>
    </xf>
    <xf numFmtId="0" fontId="19" fillId="0" borderId="5" xfId="0" applyFont="1" applyBorder="1" applyAlignment="1">
      <alignment horizontal="center" vertical="center"/>
    </xf>
    <xf numFmtId="40" fontId="2" fillId="3" borderId="0" xfId="6" applyNumberFormat="1" applyFill="1" applyAlignment="1">
      <alignment horizontal="center" vertical="center"/>
    </xf>
    <xf numFmtId="40" fontId="2" fillId="3" borderId="0" xfId="6" applyNumberFormat="1" applyFill="1" applyAlignment="1">
      <alignment horizontal="left" vertical="center"/>
    </xf>
    <xf numFmtId="0" fontId="19" fillId="0" borderId="0" xfId="0" applyFont="1" applyAlignment="1">
      <alignment horizontal="center" vertical="center"/>
    </xf>
    <xf numFmtId="40" fontId="3" fillId="2" borderId="6" xfId="10" applyNumberFormat="1" applyFont="1" applyFill="1" applyBorder="1" applyAlignment="1">
      <alignment horizontal="center" vertical="center"/>
    </xf>
    <xf numFmtId="40" fontId="3" fillId="2" borderId="7" xfId="10" applyNumberFormat="1" applyFont="1" applyFill="1" applyBorder="1" applyAlignment="1">
      <alignment horizontal="center" vertical="center"/>
    </xf>
    <xf numFmtId="40" fontId="3" fillId="2" borderId="52" xfId="10" applyNumberFormat="1" applyFont="1" applyFill="1" applyBorder="1" applyAlignment="1">
      <alignment horizontal="center" vertical="center"/>
    </xf>
    <xf numFmtId="0" fontId="19" fillId="0" borderId="0" xfId="0" applyFont="1" applyAlignment="1">
      <alignment vertical="center"/>
    </xf>
    <xf numFmtId="0" fontId="0" fillId="0" borderId="0" xfId="0" applyAlignment="1">
      <alignment vertical="center"/>
    </xf>
    <xf numFmtId="39" fontId="12" fillId="0" borderId="0" xfId="0" applyNumberFormat="1" applyFont="1" applyAlignment="1">
      <alignment horizontal="center" vertical="center" wrapText="1"/>
    </xf>
    <xf numFmtId="40" fontId="3" fillId="2" borderId="6" xfId="10" applyNumberFormat="1" applyFont="1" applyFill="1" applyBorder="1" applyAlignment="1">
      <alignment horizontal="center" vertical="center" wrapText="1"/>
    </xf>
    <xf numFmtId="0" fontId="15" fillId="3" borderId="0" xfId="0" applyFont="1" applyFill="1" applyAlignment="1">
      <alignment horizontal="center" vertical="center"/>
    </xf>
    <xf numFmtId="49" fontId="12" fillId="0" borderId="5" xfId="3" applyNumberFormat="1" applyFont="1" applyBorder="1" applyAlignment="1">
      <alignment horizontal="left" vertical="center" wrapText="1"/>
    </xf>
    <xf numFmtId="39" fontId="12" fillId="0" borderId="5" xfId="0" applyNumberFormat="1" applyFont="1" applyBorder="1" applyAlignment="1">
      <alignment horizontal="center" vertical="center" wrapText="1"/>
    </xf>
    <xf numFmtId="40" fontId="2" fillId="3" borderId="5" xfId="6" applyNumberFormat="1" applyFill="1" applyBorder="1" applyAlignment="1">
      <alignment horizontal="center" vertical="center" wrapText="1"/>
    </xf>
    <xf numFmtId="168" fontId="19" fillId="0" borderId="0" xfId="0" applyNumberFormat="1" applyFont="1" applyAlignment="1">
      <alignment vertical="center"/>
    </xf>
    <xf numFmtId="4" fontId="12" fillId="0" borderId="5" xfId="0" applyNumberFormat="1" applyFont="1" applyBorder="1" applyAlignment="1">
      <alignment horizontal="left" vertical="center" wrapText="1"/>
    </xf>
    <xf numFmtId="0" fontId="10" fillId="9" borderId="15" xfId="0" applyFont="1" applyFill="1" applyBorder="1" applyAlignment="1">
      <alignment horizontal="center" vertical="center"/>
    </xf>
    <xf numFmtId="0" fontId="12" fillId="0" borderId="0" xfId="0" applyFont="1" applyAlignment="1">
      <alignment horizontal="center" vertical="center" wrapText="1"/>
    </xf>
    <xf numFmtId="2" fontId="12" fillId="0" borderId="0" xfId="0" applyNumberFormat="1" applyFont="1" applyAlignment="1">
      <alignment horizontal="center" vertical="center" wrapText="1"/>
    </xf>
    <xf numFmtId="4" fontId="12" fillId="0" borderId="0" xfId="0" applyNumberFormat="1" applyFont="1" applyAlignment="1">
      <alignment wrapText="1"/>
    </xf>
    <xf numFmtId="4" fontId="12" fillId="0" borderId="4" xfId="0" applyNumberFormat="1" applyFont="1" applyBorder="1" applyAlignment="1">
      <alignment horizontal="center" wrapText="1"/>
    </xf>
    <xf numFmtId="4" fontId="12" fillId="0" borderId="4" xfId="0" applyNumberFormat="1" applyFont="1" applyBorder="1" applyAlignment="1">
      <alignment horizontal="center" vertical="center" wrapText="1"/>
    </xf>
    <xf numFmtId="0" fontId="10" fillId="9" borderId="20" xfId="0" applyFont="1" applyFill="1" applyBorder="1" applyAlignment="1">
      <alignment horizontal="center" vertical="center" wrapText="1"/>
    </xf>
    <xf numFmtId="0" fontId="10" fillId="9" borderId="46" xfId="0" applyFont="1" applyFill="1" applyBorder="1" applyAlignment="1">
      <alignment horizontal="center" vertical="center"/>
    </xf>
    <xf numFmtId="0" fontId="10" fillId="9" borderId="47" xfId="0" applyFont="1" applyFill="1" applyBorder="1" applyAlignment="1">
      <alignment horizontal="center" vertical="center"/>
    </xf>
    <xf numFmtId="0" fontId="10" fillId="8" borderId="4" xfId="0" applyFont="1" applyFill="1" applyBorder="1" applyAlignment="1">
      <alignment horizontal="center" vertical="center"/>
    </xf>
    <xf numFmtId="44" fontId="10" fillId="8" borderId="3" xfId="1" applyNumberFormat="1" applyFont="1" applyFill="1" applyBorder="1" applyAlignment="1">
      <alignment horizontal="center" vertical="center" wrapText="1"/>
    </xf>
    <xf numFmtId="44" fontId="10" fillId="0" borderId="3" xfId="1" applyNumberFormat="1" applyFont="1" applyFill="1" applyBorder="1" applyAlignment="1">
      <alignment horizontal="center" vertical="center" wrapText="1"/>
    </xf>
    <xf numFmtId="44" fontId="12" fillId="0" borderId="10" xfId="0" applyNumberFormat="1" applyFont="1" applyBorder="1" applyAlignment="1">
      <alignment horizontal="center" vertical="center" wrapText="1"/>
    </xf>
    <xf numFmtId="0" fontId="12" fillId="0" borderId="9" xfId="0" applyFont="1" applyBorder="1" applyAlignment="1">
      <alignment horizontal="center" vertical="center"/>
    </xf>
    <xf numFmtId="4" fontId="12" fillId="0" borderId="9" xfId="0" applyNumberFormat="1" applyFont="1" applyBorder="1" applyAlignment="1">
      <alignment horizontal="left" vertical="center" wrapText="1"/>
    </xf>
    <xf numFmtId="0" fontId="12" fillId="0" borderId="9" xfId="0" applyFont="1" applyBorder="1" applyAlignment="1">
      <alignment horizontal="center" vertical="center" wrapText="1"/>
    </xf>
    <xf numFmtId="39" fontId="12" fillId="0" borderId="9" xfId="1" applyNumberFormat="1" applyFont="1" applyFill="1" applyBorder="1" applyAlignment="1" applyProtection="1">
      <alignment horizontal="center" vertical="center" wrapText="1"/>
    </xf>
    <xf numFmtId="44" fontId="12" fillId="0" borderId="9" xfId="1" applyNumberFormat="1" applyFont="1" applyFill="1" applyBorder="1" applyAlignment="1">
      <alignment horizontal="center" vertical="center"/>
    </xf>
    <xf numFmtId="4" fontId="10" fillId="9"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4" fontId="12" fillId="0" borderId="10" xfId="0" applyNumberFormat="1" applyFont="1" applyBorder="1" applyAlignment="1">
      <alignment horizontal="left" vertical="center" wrapText="1"/>
    </xf>
    <xf numFmtId="0" fontId="12" fillId="0" borderId="10" xfId="0" applyFont="1" applyBorder="1" applyAlignment="1">
      <alignment horizontal="center" vertical="center" wrapText="1"/>
    </xf>
    <xf numFmtId="39" fontId="12" fillId="0" borderId="10" xfId="1" applyNumberFormat="1" applyFont="1" applyFill="1" applyBorder="1" applyAlignment="1" applyProtection="1">
      <alignment horizontal="center" vertical="center" wrapText="1"/>
    </xf>
    <xf numFmtId="44" fontId="12" fillId="3" borderId="9" xfId="1" applyNumberFormat="1" applyFont="1" applyFill="1" applyBorder="1" applyAlignment="1">
      <alignment horizontal="center" vertical="center"/>
    </xf>
    <xf numFmtId="44" fontId="12" fillId="0" borderId="9" xfId="0" applyNumberFormat="1" applyFont="1" applyBorder="1" applyAlignment="1">
      <alignment horizontal="center" vertical="center" wrapText="1"/>
    </xf>
    <xf numFmtId="0" fontId="10" fillId="0" borderId="2" xfId="0" applyFont="1" applyBorder="1" applyAlignment="1">
      <alignment horizontal="center" vertical="center"/>
    </xf>
    <xf numFmtId="4" fontId="10" fillId="0" borderId="2" xfId="0" applyNumberFormat="1" applyFont="1" applyBorder="1" applyAlignment="1">
      <alignment horizontal="left" vertical="center" wrapText="1"/>
    </xf>
    <xf numFmtId="0" fontId="10" fillId="0" borderId="2" xfId="0" applyFont="1" applyBorder="1" applyAlignment="1">
      <alignment horizontal="center" vertical="center" wrapText="1"/>
    </xf>
    <xf numFmtId="39" fontId="10" fillId="0" borderId="2" xfId="1" applyNumberFormat="1" applyFont="1" applyFill="1" applyBorder="1" applyAlignment="1" applyProtection="1">
      <alignment horizontal="center" vertical="center" wrapText="1"/>
    </xf>
    <xf numFmtId="44" fontId="10" fillId="3" borderId="2" xfId="1" applyNumberFormat="1" applyFont="1" applyFill="1" applyBorder="1" applyAlignment="1">
      <alignment horizontal="center" vertical="center"/>
    </xf>
    <xf numFmtId="44" fontId="10" fillId="3" borderId="3" xfId="0" applyNumberFormat="1" applyFont="1" applyFill="1" applyBorder="1" applyAlignment="1">
      <alignment horizontal="center" vertical="center" wrapText="1"/>
    </xf>
    <xf numFmtId="44" fontId="12" fillId="3" borderId="10" xfId="1" applyNumberFormat="1" applyFont="1" applyFill="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5" fillId="3" borderId="5" xfId="0" applyFont="1" applyFill="1" applyBorder="1" applyAlignment="1">
      <alignment horizontal="center" vertical="center"/>
    </xf>
    <xf numFmtId="0" fontId="10" fillId="9" borderId="5" xfId="0" applyFont="1" applyFill="1" applyBorder="1" applyAlignment="1">
      <alignment horizontal="center" vertical="center" wrapText="1"/>
    </xf>
    <xf numFmtId="4" fontId="10" fillId="9" borderId="5" xfId="0" applyNumberFormat="1" applyFont="1" applyFill="1" applyBorder="1" applyAlignment="1">
      <alignment horizontal="center" vertical="center" wrapText="1"/>
    </xf>
    <xf numFmtId="0" fontId="10"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2" xfId="3" applyFont="1" applyBorder="1" applyAlignment="1">
      <alignment horizontal="center" vertical="center"/>
    </xf>
    <xf numFmtId="0" fontId="10" fillId="0" borderId="2" xfId="0" applyFont="1" applyBorder="1" applyAlignment="1">
      <alignment vertical="center" wrapText="1"/>
    </xf>
    <xf numFmtId="0" fontId="12" fillId="0" borderId="2" xfId="0" applyFont="1" applyBorder="1" applyAlignment="1">
      <alignment horizontal="center" vertical="center" wrapText="1"/>
    </xf>
    <xf numFmtId="39" fontId="12" fillId="0" borderId="2" xfId="0" applyNumberFormat="1" applyFont="1" applyBorder="1" applyAlignment="1">
      <alignment horizontal="center" vertical="center" wrapText="1"/>
    </xf>
    <xf numFmtId="165" fontId="12" fillId="3" borderId="2" xfId="1" applyFont="1" applyFill="1" applyBorder="1" applyAlignment="1">
      <alignment horizontal="center" vertical="center"/>
    </xf>
    <xf numFmtId="164" fontId="12" fillId="3" borderId="3" xfId="0" applyNumberFormat="1" applyFont="1" applyFill="1" applyBorder="1" applyAlignment="1">
      <alignment horizontal="center" vertical="center" wrapText="1"/>
    </xf>
    <xf numFmtId="49" fontId="12" fillId="0" borderId="10" xfId="3" applyNumberFormat="1" applyFont="1" applyBorder="1" applyAlignment="1">
      <alignment horizontal="left" vertical="center" wrapText="1"/>
    </xf>
    <xf numFmtId="0" fontId="12" fillId="0" borderId="9" xfId="0" applyFont="1" applyBorder="1" applyAlignment="1">
      <alignment vertical="center" wrapText="1"/>
    </xf>
    <xf numFmtId="40" fontId="10" fillId="3" borderId="0" xfId="6" applyNumberFormat="1" applyFont="1" applyFill="1" applyAlignment="1">
      <alignment horizontal="center" vertical="center"/>
    </xf>
    <xf numFmtId="0" fontId="10" fillId="9" borderId="53" xfId="0" applyFont="1" applyFill="1" applyBorder="1" applyAlignment="1">
      <alignment horizontal="center" vertical="center"/>
    </xf>
    <xf numFmtId="0" fontId="10" fillId="9" borderId="5" xfId="0" applyFont="1" applyFill="1" applyBorder="1" applyAlignment="1">
      <alignment horizontal="center" vertical="center"/>
    </xf>
    <xf numFmtId="40" fontId="10" fillId="9" borderId="5" xfId="0" applyNumberFormat="1" applyFont="1" applyFill="1" applyBorder="1" applyAlignment="1">
      <alignment horizontal="center" vertical="center"/>
    </xf>
    <xf numFmtId="8" fontId="10" fillId="9" borderId="5" xfId="0" applyNumberFormat="1" applyFont="1" applyFill="1" applyBorder="1" applyAlignment="1">
      <alignment horizontal="center" vertical="center"/>
    </xf>
    <xf numFmtId="8" fontId="10" fillId="9" borderId="15" xfId="0" applyNumberFormat="1" applyFont="1" applyFill="1" applyBorder="1" applyAlignment="1">
      <alignment horizontal="center" vertical="center"/>
    </xf>
    <xf numFmtId="0" fontId="10" fillId="9" borderId="20" xfId="0"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26" fillId="9" borderId="5" xfId="0" applyFont="1" applyFill="1" applyBorder="1" applyAlignment="1">
      <alignment vertical="center"/>
    </xf>
    <xf numFmtId="40" fontId="3" fillId="9" borderId="5" xfId="6" applyNumberFormat="1" applyFont="1" applyFill="1" applyBorder="1" applyAlignment="1">
      <alignment horizontal="center" vertical="center" wrapText="1"/>
    </xf>
    <xf numFmtId="39" fontId="12" fillId="3" borderId="10" xfId="1" applyNumberFormat="1" applyFont="1" applyFill="1" applyBorder="1" applyAlignment="1" applyProtection="1">
      <alignment horizontal="center" vertical="center" wrapText="1"/>
    </xf>
    <xf numFmtId="166" fontId="12" fillId="0" borderId="10" xfId="1" applyNumberFormat="1" applyFont="1" applyFill="1" applyBorder="1" applyAlignment="1">
      <alignment horizontal="center" vertical="center"/>
    </xf>
    <xf numFmtId="0" fontId="26" fillId="9" borderId="5" xfId="0" applyFont="1" applyFill="1" applyBorder="1" applyAlignment="1">
      <alignment horizontal="center" vertical="center"/>
    </xf>
    <xf numFmtId="4" fontId="12" fillId="0" borderId="0" xfId="0" applyNumberFormat="1" applyFont="1" applyAlignment="1">
      <alignment horizontal="center" vertical="center" wrapText="1"/>
    </xf>
    <xf numFmtId="4" fontId="12" fillId="3" borderId="0" xfId="0" applyNumberFormat="1" applyFont="1" applyFill="1" applyAlignment="1">
      <alignment horizontal="justify" vertical="center" wrapText="1"/>
    </xf>
    <xf numFmtId="4" fontId="12" fillId="3" borderId="0" xfId="0" applyNumberFormat="1" applyFont="1" applyFill="1" applyAlignment="1">
      <alignment horizontal="center" vertical="center" wrapText="1"/>
    </xf>
    <xf numFmtId="4" fontId="12" fillId="3" borderId="0" xfId="27" applyNumberFormat="1" applyFont="1" applyFill="1" applyBorder="1" applyAlignment="1">
      <alignment horizontal="center" vertical="center" wrapText="1"/>
    </xf>
    <xf numFmtId="44" fontId="12" fillId="3" borderId="0" xfId="2" applyFont="1" applyFill="1" applyBorder="1" applyAlignment="1">
      <alignment vertical="center"/>
    </xf>
    <xf numFmtId="10" fontId="12" fillId="0" borderId="0" xfId="0" applyNumberFormat="1" applyFont="1" applyAlignment="1">
      <alignment horizontal="center" vertical="center"/>
    </xf>
    <xf numFmtId="0" fontId="12" fillId="0" borderId="5" xfId="0" applyFont="1" applyBorder="1" applyAlignment="1">
      <alignment vertical="center" wrapText="1"/>
    </xf>
    <xf numFmtId="2" fontId="12" fillId="0" borderId="5" xfId="0" applyNumberFormat="1" applyFont="1" applyBorder="1" applyAlignment="1">
      <alignment horizontal="center" vertical="center"/>
    </xf>
    <xf numFmtId="0" fontId="12" fillId="0" borderId="5" xfId="22" applyFont="1" applyBorder="1" applyAlignment="1">
      <alignment horizontal="center" vertical="center" wrapText="1"/>
    </xf>
    <xf numFmtId="0" fontId="10" fillId="7" borderId="20" xfId="6" applyFont="1" applyFill="1" applyBorder="1" applyAlignment="1">
      <alignment vertical="center"/>
    </xf>
    <xf numFmtId="0" fontId="10" fillId="7" borderId="4" xfId="6" applyFont="1" applyFill="1" applyBorder="1" applyAlignment="1">
      <alignment vertical="center"/>
    </xf>
    <xf numFmtId="0" fontId="10" fillId="7" borderId="16" xfId="6" applyFont="1" applyFill="1" applyBorder="1" applyAlignment="1">
      <alignment vertical="center" wrapText="1"/>
    </xf>
    <xf numFmtId="0" fontId="10" fillId="7" borderId="20" xfId="6" applyFont="1" applyFill="1" applyBorder="1" applyAlignment="1">
      <alignment vertical="center" wrapText="1"/>
    </xf>
    <xf numFmtId="0" fontId="10" fillId="7" borderId="58" xfId="6" applyFont="1" applyFill="1" applyBorder="1" applyAlignment="1">
      <alignment vertical="center"/>
    </xf>
    <xf numFmtId="0" fontId="5" fillId="0" borderId="1" xfId="0" applyFont="1" applyBorder="1"/>
    <xf numFmtId="0" fontId="0" fillId="0" borderId="14" xfId="0" applyBorder="1" applyAlignment="1">
      <alignment horizontal="center"/>
    </xf>
    <xf numFmtId="0" fontId="0" fillId="0" borderId="65" xfId="0" applyBorder="1" applyAlignment="1">
      <alignment horizontal="center"/>
    </xf>
    <xf numFmtId="10" fontId="2" fillId="3" borderId="0" xfId="0" applyNumberFormat="1" applyFont="1" applyFill="1" applyAlignment="1">
      <alignment horizontal="center" vertical="center"/>
    </xf>
    <xf numFmtId="0" fontId="10" fillId="3" borderId="42" xfId="6" applyFont="1" applyFill="1" applyBorder="1" applyAlignment="1">
      <alignment vertical="center"/>
    </xf>
    <xf numFmtId="0" fontId="10" fillId="3" borderId="24" xfId="6" applyFont="1" applyFill="1" applyBorder="1" applyAlignment="1">
      <alignment vertical="center"/>
    </xf>
    <xf numFmtId="0" fontId="10" fillId="3" borderId="4" xfId="6" applyFont="1" applyFill="1" applyBorder="1" applyAlignment="1">
      <alignment vertical="center"/>
    </xf>
    <xf numFmtId="0" fontId="10" fillId="3" borderId="2" xfId="6" applyFont="1" applyFill="1" applyBorder="1" applyAlignment="1">
      <alignment vertical="center"/>
    </xf>
    <xf numFmtId="0" fontId="10" fillId="3" borderId="49" xfId="6" applyFont="1" applyFill="1" applyBorder="1" applyAlignment="1">
      <alignment vertical="center" wrapText="1"/>
    </xf>
    <xf numFmtId="0" fontId="10" fillId="3" borderId="50" xfId="6" applyFont="1" applyFill="1" applyBorder="1" applyAlignment="1">
      <alignment vertical="center" wrapText="1"/>
    </xf>
    <xf numFmtId="0" fontId="10" fillId="7" borderId="55" xfId="6" applyFont="1" applyFill="1" applyBorder="1" applyAlignment="1">
      <alignment vertical="center"/>
    </xf>
    <xf numFmtId="40" fontId="3" fillId="0" borderId="0" xfId="6" applyNumberFormat="1" applyFont="1" applyAlignment="1">
      <alignment horizontal="center" vertical="center"/>
    </xf>
    <xf numFmtId="40" fontId="2" fillId="0" borderId="0" xfId="6" applyNumberFormat="1" applyAlignment="1">
      <alignment horizontal="center" vertical="center"/>
    </xf>
    <xf numFmtId="0" fontId="10" fillId="3" borderId="43" xfId="6" applyFont="1" applyFill="1" applyBorder="1" applyAlignment="1">
      <alignment vertical="center"/>
    </xf>
    <xf numFmtId="0" fontId="10" fillId="3" borderId="3" xfId="6" applyFont="1" applyFill="1" applyBorder="1" applyAlignment="1">
      <alignment vertical="center"/>
    </xf>
    <xf numFmtId="0" fontId="10" fillId="3" borderId="44" xfId="6" applyFont="1" applyFill="1" applyBorder="1" applyAlignment="1">
      <alignment vertical="center" wrapText="1"/>
    </xf>
    <xf numFmtId="0" fontId="10" fillId="7" borderId="19" xfId="6" applyFont="1" applyFill="1" applyBorder="1" applyAlignment="1">
      <alignment vertical="center"/>
    </xf>
    <xf numFmtId="0" fontId="10" fillId="7" borderId="38" xfId="6" applyFont="1" applyFill="1" applyBorder="1" applyAlignment="1">
      <alignment vertical="center"/>
    </xf>
    <xf numFmtId="166" fontId="10" fillId="7" borderId="49" xfId="0" applyNumberFormat="1" applyFont="1" applyFill="1" applyBorder="1" applyAlignment="1">
      <alignment vertical="center" wrapText="1"/>
    </xf>
    <xf numFmtId="0" fontId="10" fillId="7" borderId="42" xfId="6" applyFont="1" applyFill="1" applyBorder="1" applyAlignment="1">
      <alignment vertical="center"/>
    </xf>
    <xf numFmtId="44" fontId="3" fillId="3" borderId="5" xfId="3" applyNumberFormat="1" applyFont="1" applyFill="1" applyBorder="1" applyAlignment="1">
      <alignment horizontal="left" vertical="center"/>
    </xf>
    <xf numFmtId="10" fontId="2" fillId="0" borderId="5" xfId="3" applyNumberFormat="1" applyBorder="1" applyAlignment="1">
      <alignment horizontal="center"/>
    </xf>
    <xf numFmtId="0" fontId="2" fillId="0" borderId="5" xfId="3" applyBorder="1" applyAlignment="1">
      <alignment horizontal="center"/>
    </xf>
    <xf numFmtId="8" fontId="2" fillId="0" borderId="5" xfId="3" applyNumberFormat="1" applyBorder="1" applyAlignment="1">
      <alignment horizontal="center"/>
    </xf>
    <xf numFmtId="9" fontId="2" fillId="0" borderId="5" xfId="3" applyNumberFormat="1" applyBorder="1" applyAlignment="1">
      <alignment horizontal="center"/>
    </xf>
    <xf numFmtId="0" fontId="2" fillId="0" borderId="0" xfId="3"/>
    <xf numFmtId="8" fontId="2" fillId="0" borderId="5" xfId="3" applyNumberFormat="1" applyBorder="1" applyAlignment="1">
      <alignment horizontal="center" vertical="center"/>
    </xf>
    <xf numFmtId="10" fontId="2" fillId="0" borderId="5" xfId="7" applyNumberFormat="1" applyFont="1" applyFill="1" applyBorder="1" applyAlignment="1">
      <alignment horizontal="center" vertical="center"/>
    </xf>
    <xf numFmtId="10" fontId="2" fillId="0" borderId="5" xfId="8" applyNumberFormat="1" applyFont="1" applyFill="1" applyBorder="1" applyAlignment="1" applyProtection="1">
      <alignment horizontal="center" vertical="center"/>
    </xf>
    <xf numFmtId="0" fontId="26" fillId="0" borderId="0" xfId="0" applyFont="1" applyAlignment="1">
      <alignment horizontal="center" vertical="center"/>
    </xf>
    <xf numFmtId="169" fontId="0" fillId="0" borderId="0" xfId="0" applyNumberFormat="1"/>
    <xf numFmtId="49" fontId="12" fillId="0" borderId="5" xfId="0" applyNumberFormat="1" applyFont="1" applyBorder="1" applyAlignment="1">
      <alignment horizontal="left" vertical="center" wrapText="1"/>
    </xf>
    <xf numFmtId="2" fontId="27" fillId="3" borderId="5" xfId="13" applyNumberFormat="1" applyFont="1" applyFill="1" applyBorder="1" applyAlignment="1">
      <alignment horizontal="center" vertical="center" wrapText="1"/>
    </xf>
    <xf numFmtId="170" fontId="27" fillId="3" borderId="5" xfId="13" applyNumberFormat="1" applyFont="1" applyFill="1" applyBorder="1" applyAlignment="1">
      <alignment horizontal="center" vertical="center" wrapText="1"/>
    </xf>
    <xf numFmtId="0" fontId="28" fillId="10" borderId="5" xfId="0" applyFont="1" applyFill="1" applyBorder="1" applyAlignment="1">
      <alignment vertical="center" wrapText="1"/>
    </xf>
    <xf numFmtId="44" fontId="27" fillId="3" borderId="5" xfId="26" applyFont="1" applyFill="1" applyBorder="1" applyAlignment="1">
      <alignment horizontal="center" vertical="center" wrapText="1"/>
    </xf>
    <xf numFmtId="171" fontId="27" fillId="3" borderId="5" xfId="13" applyNumberFormat="1" applyFont="1" applyFill="1" applyBorder="1" applyAlignment="1">
      <alignment horizontal="center" vertical="center" wrapText="1"/>
    </xf>
    <xf numFmtId="2" fontId="27" fillId="0" borderId="5" xfId="28" applyNumberFormat="1" applyFont="1" applyBorder="1" applyAlignment="1">
      <alignment horizontal="center" vertical="center" wrapText="1"/>
    </xf>
    <xf numFmtId="40" fontId="3" fillId="0" borderId="0" xfId="6" applyNumberFormat="1" applyFont="1" applyAlignment="1">
      <alignment vertical="center"/>
    </xf>
    <xf numFmtId="40" fontId="2" fillId="0" borderId="0" xfId="6" applyNumberFormat="1" applyAlignment="1">
      <alignment vertical="center"/>
    </xf>
    <xf numFmtId="40" fontId="3" fillId="9" borderId="5" xfId="6" applyNumberFormat="1" applyFont="1" applyFill="1" applyBorder="1" applyAlignment="1">
      <alignment vertical="center"/>
    </xf>
    <xf numFmtId="172" fontId="0" fillId="0" borderId="0" xfId="0" applyNumberFormat="1"/>
    <xf numFmtId="0" fontId="12" fillId="0" borderId="9" xfId="0" applyFont="1" applyFill="1" applyBorder="1" applyAlignment="1">
      <alignment vertical="center" wrapText="1"/>
    </xf>
    <xf numFmtId="49" fontId="12" fillId="0" borderId="9" xfId="0" applyNumberFormat="1" applyFont="1" applyFill="1" applyBorder="1" applyAlignment="1">
      <alignment vertical="center" wrapText="1"/>
    </xf>
    <xf numFmtId="0" fontId="12" fillId="0" borderId="2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Fill="1" applyBorder="1" applyAlignment="1">
      <alignment vertical="center" wrapText="1"/>
    </xf>
    <xf numFmtId="40" fontId="12" fillId="0" borderId="5" xfId="0" applyNumberFormat="1" applyFont="1" applyFill="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40" fontId="2" fillId="3" borderId="5" xfId="6" applyNumberFormat="1" applyFill="1" applyBorder="1" applyAlignment="1">
      <alignment horizontal="center" vertical="center"/>
    </xf>
    <xf numFmtId="0" fontId="12" fillId="0" borderId="5" xfId="0" applyFont="1" applyBorder="1" applyAlignment="1">
      <alignment horizontal="center" vertical="center" wrapText="1"/>
    </xf>
    <xf numFmtId="49" fontId="12" fillId="0" borderId="2" xfId="3" applyNumberFormat="1" applyFont="1" applyBorder="1" applyAlignment="1">
      <alignment horizontal="left" vertical="center" wrapText="1"/>
    </xf>
    <xf numFmtId="0" fontId="12" fillId="11" borderId="5" xfId="22" applyFont="1" applyFill="1" applyBorder="1" applyAlignment="1">
      <alignment horizontal="center" vertical="center" wrapText="1"/>
    </xf>
    <xf numFmtId="40" fontId="12" fillId="3" borderId="5" xfId="32" applyNumberFormat="1" applyFont="1" applyFill="1" applyBorder="1" applyAlignment="1">
      <alignment horizontal="center" vertical="center"/>
    </xf>
    <xf numFmtId="44" fontId="12" fillId="3" borderId="5" xfId="31" applyNumberFormat="1" applyFont="1" applyFill="1" applyBorder="1" applyAlignment="1">
      <alignment horizontal="center" vertical="center" wrapText="1"/>
    </xf>
    <xf numFmtId="44" fontId="12" fillId="0" borderId="5" xfId="2" applyFont="1" applyFill="1" applyBorder="1" applyAlignment="1">
      <alignment horizontal="center" vertical="center"/>
    </xf>
    <xf numFmtId="0" fontId="12" fillId="0" borderId="5" xfId="24" applyFont="1" applyFill="1" applyBorder="1" applyAlignment="1">
      <alignment vertical="center" wrapText="1"/>
    </xf>
    <xf numFmtId="2" fontId="5" fillId="3" borderId="5" xfId="0" applyNumberFormat="1" applyFont="1" applyFill="1" applyBorder="1" applyAlignment="1">
      <alignment horizontal="center" vertical="center"/>
    </xf>
    <xf numFmtId="40" fontId="12" fillId="0" borderId="5" xfId="24" applyNumberFormat="1" applyFont="1" applyFill="1" applyBorder="1" applyAlignment="1">
      <alignment horizontal="center" vertical="center"/>
    </xf>
    <xf numFmtId="0" fontId="12" fillId="0" borderId="10" xfId="22" applyFont="1" applyBorder="1" applyAlignment="1">
      <alignment horizontal="center" vertical="center" wrapText="1"/>
    </xf>
    <xf numFmtId="40" fontId="12" fillId="0" borderId="10" xfId="24" applyNumberFormat="1" applyFont="1" applyFill="1" applyBorder="1" applyAlignment="1">
      <alignment horizontal="center" vertical="center"/>
    </xf>
    <xf numFmtId="166" fontId="12" fillId="3" borderId="10" xfId="1" applyNumberFormat="1" applyFont="1" applyFill="1" applyBorder="1" applyAlignment="1">
      <alignment horizontal="center" vertical="center"/>
    </xf>
    <xf numFmtId="44" fontId="12" fillId="0" borderId="10" xfId="2" applyFont="1" applyBorder="1" applyAlignment="1">
      <alignment horizontal="center" vertical="center"/>
    </xf>
    <xf numFmtId="0" fontId="12" fillId="0" borderId="5" xfId="0" applyFont="1" applyBorder="1" applyAlignment="1">
      <alignment horizontal="center" vertical="center" wrapText="1"/>
    </xf>
    <xf numFmtId="173" fontId="12" fillId="3" borderId="5" xfId="1" applyNumberFormat="1" applyFont="1" applyFill="1" applyBorder="1" applyAlignment="1" applyProtection="1">
      <alignment horizontal="center" vertical="center" wrapText="1"/>
    </xf>
    <xf numFmtId="2" fontId="12" fillId="0" borderId="0" xfId="7" applyNumberFormat="1" applyFont="1" applyFill="1" applyBorder="1" applyAlignment="1">
      <alignment horizontal="center" vertical="center" wrapText="1"/>
    </xf>
    <xf numFmtId="4" fontId="12" fillId="0" borderId="0" xfId="0" applyNumberFormat="1" applyFont="1" applyBorder="1" applyAlignment="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4" fillId="0" borderId="0" xfId="0" applyFont="1" applyAlignment="1">
      <alignment horizontal="left" vertical="center" wrapText="1"/>
    </xf>
    <xf numFmtId="0" fontId="12" fillId="0" borderId="5" xfId="0" applyFont="1" applyBorder="1" applyAlignment="1">
      <alignment horizontal="center" vertical="center" wrapText="1"/>
    </xf>
    <xf numFmtId="44" fontId="10" fillId="3" borderId="69" xfId="0" applyNumberFormat="1" applyFont="1" applyFill="1" applyBorder="1" applyAlignment="1">
      <alignment vertical="center"/>
    </xf>
    <xf numFmtId="171" fontId="29" fillId="0" borderId="9" xfId="26" applyNumberFormat="1" applyFont="1" applyFill="1" applyBorder="1" applyAlignment="1">
      <alignment horizontal="center" vertical="center" wrapText="1"/>
    </xf>
    <xf numFmtId="40" fontId="28" fillId="3" borderId="5" xfId="0" applyNumberFormat="1" applyFont="1" applyFill="1" applyBorder="1" applyAlignment="1">
      <alignment horizontal="center" vertical="center"/>
    </xf>
    <xf numFmtId="174" fontId="28" fillId="3" borderId="5" xfId="0" applyNumberFormat="1" applyFont="1" applyFill="1" applyBorder="1" applyAlignment="1">
      <alignment horizontal="center" vertical="center"/>
    </xf>
    <xf numFmtId="171" fontId="29" fillId="0" borderId="5" xfId="26" applyNumberFormat="1" applyFont="1" applyFill="1" applyBorder="1" applyAlignment="1">
      <alignment horizontal="center" vertical="center" wrapText="1"/>
    </xf>
    <xf numFmtId="170" fontId="29" fillId="0" borderId="5" xfId="26" applyNumberFormat="1" applyFont="1" applyFill="1" applyBorder="1" applyAlignment="1">
      <alignment horizontal="center" vertical="center" wrapText="1"/>
    </xf>
    <xf numFmtId="175" fontId="28" fillId="3" borderId="5" xfId="0" applyNumberFormat="1" applyFont="1" applyFill="1" applyBorder="1" applyAlignment="1">
      <alignment horizontal="center" vertical="center"/>
    </xf>
    <xf numFmtId="2" fontId="12" fillId="0" borderId="2" xfId="0" applyNumberFormat="1" applyFont="1" applyBorder="1" applyAlignment="1">
      <alignment horizontal="center" vertical="center"/>
    </xf>
    <xf numFmtId="0" fontId="12" fillId="0" borderId="5" xfId="0" applyFont="1" applyBorder="1" applyAlignment="1">
      <alignment horizontal="center" vertical="center"/>
    </xf>
    <xf numFmtId="166" fontId="10" fillId="7" borderId="60" xfId="0" applyNumberFormat="1" applyFont="1" applyFill="1" applyBorder="1" applyAlignment="1">
      <alignment vertical="center" wrapText="1"/>
    </xf>
    <xf numFmtId="0" fontId="10" fillId="0" borderId="56" xfId="6" applyFont="1" applyBorder="1" applyAlignment="1">
      <alignment horizontal="left" vertical="center"/>
    </xf>
    <xf numFmtId="0" fontId="10" fillId="0" borderId="57" xfId="6" applyFont="1" applyBorder="1" applyAlignment="1">
      <alignment horizontal="left" vertical="center"/>
    </xf>
    <xf numFmtId="0" fontId="10" fillId="0" borderId="5" xfId="6" applyFont="1" applyBorder="1" applyAlignment="1">
      <alignment horizontal="left" vertical="center"/>
    </xf>
    <xf numFmtId="0" fontId="10" fillId="0" borderId="15" xfId="6" applyFont="1" applyBorder="1" applyAlignment="1">
      <alignment horizontal="left" vertical="center"/>
    </xf>
    <xf numFmtId="10" fontId="10" fillId="0" borderId="5" xfId="6" applyNumberFormat="1" applyFont="1" applyBorder="1" applyAlignment="1">
      <alignment horizontal="left" vertical="center"/>
    </xf>
    <xf numFmtId="10" fontId="10" fillId="0" borderId="15" xfId="6" applyNumberFormat="1" applyFont="1" applyBorder="1" applyAlignment="1">
      <alignment horizontal="left" vertical="center"/>
    </xf>
    <xf numFmtId="166" fontId="10" fillId="0" borderId="60" xfId="0" applyNumberFormat="1" applyFont="1" applyBorder="1" applyAlignment="1">
      <alignment horizontal="left" vertical="center" wrapText="1"/>
    </xf>
    <xf numFmtId="166" fontId="10" fillId="0" borderId="17" xfId="0" applyNumberFormat="1" applyFont="1" applyBorder="1" applyAlignment="1">
      <alignment horizontal="left" vertical="center" wrapText="1"/>
    </xf>
    <xf numFmtId="0" fontId="10" fillId="7" borderId="5" xfId="6" applyFont="1" applyFill="1" applyBorder="1" applyAlignment="1">
      <alignment horizontal="left" vertical="center"/>
    </xf>
    <xf numFmtId="0" fontId="10" fillId="7" borderId="5" xfId="6" applyFont="1" applyFill="1" applyBorder="1"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66" xfId="0" applyFont="1" applyBorder="1" applyAlignment="1">
      <alignment horizontal="center" vertical="center" wrapText="1"/>
    </xf>
    <xf numFmtId="0" fontId="5" fillId="0" borderId="0" xfId="0" applyFont="1" applyAlignment="1">
      <alignment horizontal="center"/>
    </xf>
    <xf numFmtId="0" fontId="3" fillId="0" borderId="51" xfId="0" applyFont="1" applyBorder="1" applyAlignment="1">
      <alignment horizontal="left"/>
    </xf>
    <xf numFmtId="0" fontId="3" fillId="0" borderId="7" xfId="0" applyFont="1" applyBorder="1" applyAlignment="1">
      <alignment horizontal="left"/>
    </xf>
    <xf numFmtId="0" fontId="3" fillId="0" borderId="11" xfId="0" applyFont="1" applyBorder="1" applyAlignment="1">
      <alignment horizontal="left"/>
    </xf>
    <xf numFmtId="0" fontId="5" fillId="0" borderId="38" xfId="0" applyFont="1" applyBorder="1" applyAlignment="1">
      <alignment horizontal="left"/>
    </xf>
    <xf numFmtId="0" fontId="5" fillId="0" borderId="22" xfId="0" applyFont="1" applyBorder="1" applyAlignment="1">
      <alignment horizontal="left"/>
    </xf>
    <xf numFmtId="0" fontId="5" fillId="0" borderId="39" xfId="0" applyFont="1" applyBorder="1" applyAlignment="1">
      <alignment horizontal="left"/>
    </xf>
    <xf numFmtId="0" fontId="5" fillId="0" borderId="4"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19" xfId="0" applyFont="1" applyBorder="1" applyAlignment="1">
      <alignment horizontal="left"/>
    </xf>
    <xf numFmtId="0" fontId="5" fillId="0" borderId="21" xfId="0" applyFont="1" applyBorder="1" applyAlignment="1">
      <alignment horizontal="left"/>
    </xf>
    <xf numFmtId="0" fontId="5" fillId="0" borderId="36"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2" fillId="0" borderId="38" xfId="0" applyFont="1" applyBorder="1" applyAlignment="1">
      <alignment horizontal="left"/>
    </xf>
    <xf numFmtId="0" fontId="2" fillId="0" borderId="22" xfId="0" applyFont="1" applyBorder="1" applyAlignment="1">
      <alignment horizontal="left"/>
    </xf>
    <xf numFmtId="0" fontId="2" fillId="0" borderId="39"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9" xfId="0" applyFont="1" applyBorder="1" applyAlignment="1">
      <alignment horizontal="left"/>
    </xf>
    <xf numFmtId="0" fontId="2" fillId="0" borderId="50" xfId="0" applyFont="1" applyBorder="1" applyAlignment="1">
      <alignment horizontal="left"/>
    </xf>
    <xf numFmtId="0" fontId="2" fillId="0" borderId="44" xfId="0" applyFont="1" applyBorder="1" applyAlignment="1">
      <alignment horizontal="left"/>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10" fillId="3" borderId="60" xfId="6" applyFont="1" applyFill="1" applyBorder="1" applyAlignment="1">
      <alignment vertical="center" wrapText="1"/>
    </xf>
    <xf numFmtId="0" fontId="10" fillId="0" borderId="2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20" fillId="0" borderId="25" xfId="0" applyFont="1" applyBorder="1" applyAlignment="1">
      <alignment wrapText="1"/>
    </xf>
    <xf numFmtId="0" fontId="20" fillId="0" borderId="0" xfId="0" applyFont="1" applyAlignment="1">
      <alignment wrapText="1"/>
    </xf>
    <xf numFmtId="0" fontId="20" fillId="0" borderId="26" xfId="0" applyFont="1" applyBorder="1" applyAlignment="1">
      <alignment wrapText="1"/>
    </xf>
    <xf numFmtId="0" fontId="20" fillId="0" borderId="27" xfId="0" applyFont="1" applyBorder="1" applyAlignment="1">
      <alignment wrapText="1"/>
    </xf>
    <xf numFmtId="0" fontId="11" fillId="0" borderId="38" xfId="0" applyFont="1" applyBorder="1" applyAlignment="1">
      <alignment horizontal="center"/>
    </xf>
    <xf numFmtId="0" fontId="11" fillId="0" borderId="22" xfId="0" applyFont="1" applyBorder="1" applyAlignment="1">
      <alignment horizontal="center"/>
    </xf>
    <xf numFmtId="0" fontId="11" fillId="0" borderId="39" xfId="0" applyFont="1" applyBorder="1" applyAlignment="1">
      <alignment horizontal="center"/>
    </xf>
    <xf numFmtId="0" fontId="20" fillId="0" borderId="25" xfId="0" applyFont="1" applyBorder="1" applyAlignment="1">
      <alignment vertical="center" wrapText="1"/>
    </xf>
    <xf numFmtId="0" fontId="20" fillId="0" borderId="0" xfId="0" applyFont="1" applyAlignment="1">
      <alignment vertical="center" wrapText="1"/>
    </xf>
    <xf numFmtId="0" fontId="20" fillId="0" borderId="26" xfId="0" applyFont="1" applyBorder="1" applyAlignment="1">
      <alignment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11" fillId="0" borderId="23" xfId="0" applyFont="1" applyBorder="1" applyAlignment="1">
      <alignment horizontal="center"/>
    </xf>
    <xf numFmtId="0" fontId="11" fillId="0" borderId="0" xfId="0" applyFont="1" applyAlignment="1">
      <alignment horizontal="center"/>
    </xf>
    <xf numFmtId="0" fontId="11" fillId="0" borderId="37" xfId="0" applyFont="1" applyBorder="1" applyAlignment="1">
      <alignment horizontal="center"/>
    </xf>
    <xf numFmtId="0" fontId="13" fillId="0" borderId="4" xfId="11" applyFont="1" applyBorder="1" applyAlignment="1">
      <alignment horizontal="left" vertical="center"/>
    </xf>
    <xf numFmtId="0" fontId="13" fillId="0" borderId="2" xfId="11" applyFont="1" applyBorder="1" applyAlignment="1">
      <alignment horizontal="left" vertical="center"/>
    </xf>
    <xf numFmtId="0" fontId="13" fillId="0" borderId="3" xfId="11" applyFont="1" applyBorder="1" applyAlignment="1">
      <alignment horizontal="left" vertical="center"/>
    </xf>
    <xf numFmtId="0" fontId="13" fillId="0" borderId="42" xfId="11" applyFont="1" applyBorder="1" applyAlignment="1">
      <alignment horizontal="left" vertical="center"/>
    </xf>
    <xf numFmtId="0" fontId="13" fillId="0" borderId="24" xfId="11" applyFont="1" applyBorder="1" applyAlignment="1">
      <alignment horizontal="left" vertical="center"/>
    </xf>
    <xf numFmtId="0" fontId="13" fillId="0" borderId="43" xfId="11" applyFont="1" applyBorder="1" applyAlignment="1">
      <alignment horizontal="left" vertical="center"/>
    </xf>
    <xf numFmtId="169" fontId="10" fillId="3" borderId="5" xfId="6" applyNumberFormat="1" applyFont="1" applyFill="1" applyBorder="1" applyAlignment="1">
      <alignment horizontal="left" vertical="center"/>
    </xf>
    <xf numFmtId="0" fontId="10" fillId="3" borderId="56" xfId="6" applyFont="1" applyFill="1" applyBorder="1" applyAlignment="1">
      <alignment vertical="center"/>
    </xf>
    <xf numFmtId="0" fontId="10" fillId="0" borderId="5" xfId="0" applyFont="1" applyBorder="1" applyAlignment="1">
      <alignment vertical="center" wrapText="1"/>
    </xf>
    <xf numFmtId="0" fontId="10" fillId="3" borderId="5" xfId="6" applyFont="1" applyFill="1" applyBorder="1" applyAlignment="1">
      <alignment vertical="center"/>
    </xf>
    <xf numFmtId="0" fontId="10" fillId="7" borderId="56" xfId="6" applyFont="1" applyFill="1" applyBorder="1" applyAlignment="1">
      <alignment vertical="center"/>
    </xf>
    <xf numFmtId="40" fontId="2" fillId="3" borderId="36" xfId="3" applyNumberFormat="1" applyFill="1" applyBorder="1" applyAlignment="1">
      <alignment horizontal="left" vertical="center"/>
    </xf>
    <xf numFmtId="0" fontId="2" fillId="3" borderId="37" xfId="3" applyFill="1" applyBorder="1" applyAlignment="1">
      <alignment horizontal="left" vertical="center"/>
    </xf>
    <xf numFmtId="0" fontId="2" fillId="3" borderId="39" xfId="3" applyFill="1" applyBorder="1" applyAlignment="1">
      <alignment horizontal="left" vertical="center"/>
    </xf>
    <xf numFmtId="0" fontId="2" fillId="3" borderId="10" xfId="3" applyFill="1" applyBorder="1" applyAlignment="1">
      <alignment horizontal="center" vertical="center"/>
    </xf>
    <xf numFmtId="0" fontId="2" fillId="3" borderId="8" xfId="3" applyFill="1" applyBorder="1" applyAlignment="1">
      <alignment horizontal="center" vertical="center"/>
    </xf>
    <xf numFmtId="0" fontId="2" fillId="3" borderId="9" xfId="3" applyFill="1" applyBorder="1" applyAlignment="1">
      <alignment horizontal="center" vertical="center"/>
    </xf>
    <xf numFmtId="166" fontId="10" fillId="0" borderId="49" xfId="0" applyNumberFormat="1" applyFont="1" applyBorder="1" applyAlignment="1">
      <alignment vertical="center" wrapText="1"/>
    </xf>
    <xf numFmtId="166" fontId="10" fillId="0" borderId="44" xfId="0" applyNumberFormat="1" applyFont="1" applyBorder="1" applyAlignment="1">
      <alignment vertical="center" wrapText="1"/>
    </xf>
    <xf numFmtId="44" fontId="2" fillId="3" borderId="10" xfId="2" applyFont="1" applyFill="1" applyBorder="1" applyAlignment="1">
      <alignment horizontal="center" vertical="center"/>
    </xf>
    <xf numFmtId="44" fontId="2" fillId="3" borderId="8" xfId="2" applyFont="1" applyFill="1" applyBorder="1" applyAlignment="1">
      <alignment horizontal="center" vertical="center"/>
    </xf>
    <xf numFmtId="44" fontId="2" fillId="3" borderId="9" xfId="2" applyFont="1" applyFill="1" applyBorder="1" applyAlignment="1">
      <alignment horizontal="center" vertical="center"/>
    </xf>
    <xf numFmtId="0" fontId="2" fillId="3" borderId="36" xfId="3" applyFill="1" applyBorder="1" applyAlignment="1">
      <alignment horizontal="left" vertical="center"/>
    </xf>
    <xf numFmtId="0" fontId="3" fillId="8" borderId="4" xfId="3" applyFont="1" applyFill="1" applyBorder="1" applyAlignment="1">
      <alignment horizontal="center"/>
    </xf>
    <xf numFmtId="0" fontId="3" fillId="8" borderId="3" xfId="3" applyFont="1" applyFill="1" applyBorder="1" applyAlignment="1">
      <alignment horizontal="center"/>
    </xf>
    <xf numFmtId="169" fontId="10" fillId="3" borderId="4" xfId="6" applyNumberFormat="1" applyFont="1" applyFill="1" applyBorder="1" applyAlignment="1">
      <alignment horizontal="left" vertical="center"/>
    </xf>
    <xf numFmtId="169" fontId="10" fillId="3" borderId="2" xfId="6" applyNumberFormat="1" applyFont="1" applyFill="1" applyBorder="1" applyAlignment="1">
      <alignment horizontal="left" vertical="center"/>
    </xf>
    <xf numFmtId="169" fontId="10" fillId="3" borderId="3" xfId="6" applyNumberFormat="1" applyFont="1" applyFill="1" applyBorder="1" applyAlignment="1">
      <alignment horizontal="left" vertical="center"/>
    </xf>
    <xf numFmtId="0" fontId="3" fillId="3" borderId="1" xfId="3" applyFont="1" applyFill="1" applyBorder="1" applyAlignment="1">
      <alignment horizontal="center" vertical="center" wrapText="1"/>
    </xf>
    <xf numFmtId="0" fontId="3" fillId="3" borderId="0" xfId="3" applyFont="1" applyFill="1" applyAlignment="1">
      <alignment horizontal="center" vertical="center"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2" xfId="6" applyFont="1" applyBorder="1" applyAlignment="1">
      <alignment vertical="center"/>
    </xf>
    <xf numFmtId="0" fontId="10" fillId="0" borderId="43" xfId="6" applyFont="1" applyBorder="1" applyAlignment="1">
      <alignment vertical="center"/>
    </xf>
    <xf numFmtId="0" fontId="10" fillId="0" borderId="4" xfId="6" applyFont="1" applyBorder="1" applyAlignment="1">
      <alignment vertical="center"/>
    </xf>
    <xf numFmtId="0" fontId="10" fillId="0" borderId="3" xfId="6" applyFont="1" applyBorder="1" applyAlignment="1">
      <alignment vertical="center"/>
    </xf>
    <xf numFmtId="10" fontId="10" fillId="0" borderId="4" xfId="6" applyNumberFormat="1" applyFont="1" applyBorder="1" applyAlignment="1">
      <alignment horizontal="left" vertical="center"/>
    </xf>
    <xf numFmtId="10" fontId="10" fillId="0" borderId="3" xfId="6" applyNumberFormat="1" applyFont="1" applyBorder="1" applyAlignment="1">
      <alignment horizontal="left" vertical="center"/>
    </xf>
    <xf numFmtId="0" fontId="3" fillId="3" borderId="10" xfId="3" applyFont="1" applyFill="1" applyBorder="1" applyAlignment="1">
      <alignment horizontal="center"/>
    </xf>
    <xf numFmtId="0" fontId="3" fillId="3" borderId="8" xfId="3" applyFont="1" applyFill="1" applyBorder="1" applyAlignment="1">
      <alignment horizontal="center"/>
    </xf>
    <xf numFmtId="0" fontId="3" fillId="3" borderId="9" xfId="3" applyFont="1" applyFill="1" applyBorder="1" applyAlignment="1">
      <alignment horizontal="center"/>
    </xf>
    <xf numFmtId="0" fontId="3" fillId="8" borderId="4" xfId="3" applyFont="1" applyFill="1" applyBorder="1" applyAlignment="1">
      <alignment horizontal="center" vertical="center"/>
    </xf>
    <xf numFmtId="0" fontId="3" fillId="8"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3" borderId="3" xfId="3" applyFont="1" applyFill="1" applyBorder="1" applyAlignment="1">
      <alignment horizontal="center" vertical="center"/>
    </xf>
    <xf numFmtId="0" fontId="10" fillId="9" borderId="4"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49" fontId="10" fillId="9" borderId="4" xfId="0" applyNumberFormat="1"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2" fillId="3" borderId="53" xfId="0" applyFont="1" applyFill="1" applyBorder="1" applyAlignment="1">
      <alignment horizontal="center" vertical="center"/>
    </xf>
    <xf numFmtId="0" fontId="12" fillId="3" borderId="3"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51" xfId="0" applyFont="1" applyFill="1" applyBorder="1" applyAlignment="1">
      <alignment horizontal="center" vertical="center"/>
    </xf>
    <xf numFmtId="0" fontId="10" fillId="8" borderId="63"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9" borderId="4" xfId="0" applyFont="1" applyFill="1" applyBorder="1" applyAlignment="1">
      <alignment horizontal="center" vertical="center" wrapText="1"/>
    </xf>
    <xf numFmtId="0" fontId="10" fillId="8" borderId="6"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52" xfId="0" applyFont="1" applyFill="1" applyBorder="1" applyAlignment="1">
      <alignment horizontal="center" vertical="center"/>
    </xf>
    <xf numFmtId="4" fontId="10" fillId="9" borderId="4" xfId="0" applyNumberFormat="1" applyFont="1" applyFill="1" applyBorder="1" applyAlignment="1">
      <alignment horizontal="center" vertical="center" wrapText="1"/>
    </xf>
    <xf numFmtId="49" fontId="10" fillId="9" borderId="4" xfId="0" applyNumberFormat="1" applyFont="1" applyFill="1" applyBorder="1" applyAlignment="1">
      <alignment horizontal="center" vertical="center"/>
    </xf>
    <xf numFmtId="0" fontId="10" fillId="3" borderId="0" xfId="0" applyFont="1" applyFill="1" applyAlignment="1">
      <alignment horizontal="center" vertical="center" wrapText="1"/>
    </xf>
    <xf numFmtId="0" fontId="10" fillId="3" borderId="67"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8"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0" fillId="8" borderId="4"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vertical="center"/>
    </xf>
    <xf numFmtId="0" fontId="10" fillId="8" borderId="3" xfId="0" applyFont="1" applyFill="1" applyBorder="1" applyAlignment="1">
      <alignment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0" fillId="7" borderId="20" xfId="6" applyFont="1" applyFill="1" applyBorder="1" applyAlignment="1">
      <alignment horizontal="left" vertical="center" wrapText="1"/>
    </xf>
    <xf numFmtId="0" fontId="10" fillId="7" borderId="5" xfId="6" applyFont="1" applyFill="1" applyBorder="1" applyAlignment="1">
      <alignment horizontal="left" vertical="center" wrapText="1"/>
    </xf>
    <xf numFmtId="0" fontId="10" fillId="3" borderId="61" xfId="6" applyFont="1" applyFill="1" applyBorder="1" applyAlignment="1">
      <alignment vertical="center"/>
    </xf>
    <xf numFmtId="0" fontId="10" fillId="3" borderId="10" xfId="6" applyFont="1" applyFill="1" applyBorder="1" applyAlignment="1">
      <alignment vertical="center"/>
    </xf>
    <xf numFmtId="0" fontId="10" fillId="3" borderId="59" xfId="6" applyFont="1" applyFill="1" applyBorder="1" applyAlignment="1">
      <alignment vertical="center" wrapText="1"/>
    </xf>
    <xf numFmtId="0" fontId="10" fillId="7" borderId="16" xfId="6" applyFont="1" applyFill="1" applyBorder="1" applyAlignment="1">
      <alignment horizontal="left" vertical="center" wrapText="1"/>
    </xf>
    <xf numFmtId="0" fontId="10" fillId="7" borderId="60" xfId="6" applyFont="1" applyFill="1" applyBorder="1" applyAlignment="1">
      <alignment horizontal="left" vertical="center" wrapText="1"/>
    </xf>
    <xf numFmtId="0" fontId="10" fillId="7" borderId="61" xfId="6" applyFont="1" applyFill="1" applyBorder="1" applyAlignment="1">
      <alignment horizontal="left" vertical="center"/>
    </xf>
    <xf numFmtId="0" fontId="10" fillId="7" borderId="3" xfId="6" applyFont="1" applyFill="1" applyBorder="1" applyAlignment="1">
      <alignment vertical="center"/>
    </xf>
    <xf numFmtId="0" fontId="10" fillId="0" borderId="61" xfId="6" applyFont="1" applyBorder="1" applyAlignment="1">
      <alignment vertical="center"/>
    </xf>
    <xf numFmtId="0" fontId="10" fillId="0" borderId="62" xfId="6" applyFont="1" applyBorder="1" applyAlignment="1">
      <alignment vertical="center"/>
    </xf>
    <xf numFmtId="0" fontId="10" fillId="0" borderId="5" xfId="6" applyFont="1" applyBorder="1" applyAlignment="1">
      <alignment vertical="center"/>
    </xf>
    <xf numFmtId="0" fontId="10" fillId="0" borderId="15" xfId="6" applyFont="1" applyBorder="1" applyAlignment="1">
      <alignment vertical="center"/>
    </xf>
    <xf numFmtId="166" fontId="10" fillId="0" borderId="60" xfId="0" applyNumberFormat="1" applyFont="1" applyBorder="1" applyAlignment="1">
      <alignment vertical="center" wrapText="1"/>
    </xf>
    <xf numFmtId="166" fontId="10" fillId="0" borderId="17" xfId="0" applyNumberFormat="1" applyFont="1" applyBorder="1" applyAlignment="1">
      <alignment vertical="center" wrapText="1"/>
    </xf>
    <xf numFmtId="10" fontId="12" fillId="3" borderId="5" xfId="7" applyNumberFormat="1" applyFont="1" applyFill="1" applyBorder="1" applyAlignment="1">
      <alignment horizontal="center" vertical="center" wrapText="1"/>
    </xf>
    <xf numFmtId="0" fontId="10" fillId="8" borderId="5"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2" xfId="0" applyFont="1" applyFill="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10" fillId="8" borderId="2" xfId="0" applyFont="1" applyFill="1" applyBorder="1" applyAlignment="1">
      <alignment horizontal="left" vertical="center" wrapText="1"/>
    </xf>
    <xf numFmtId="0" fontId="10" fillId="8" borderId="3" xfId="0" applyFont="1" applyFill="1" applyBorder="1" applyAlignment="1">
      <alignment horizontal="left" vertical="center" wrapText="1"/>
    </xf>
    <xf numFmtId="10" fontId="12" fillId="0" borderId="9" xfId="1" applyNumberFormat="1" applyFont="1" applyFill="1" applyBorder="1" applyAlignment="1">
      <alignment horizontal="center" vertical="center" wrapText="1"/>
    </xf>
    <xf numFmtId="10" fontId="12" fillId="0" borderId="5" xfId="1" applyNumberFormat="1" applyFont="1" applyFill="1" applyBorder="1" applyAlignment="1">
      <alignment horizontal="center" vertical="center" wrapText="1"/>
    </xf>
    <xf numFmtId="0" fontId="10" fillId="7" borderId="9" xfId="0" applyFont="1" applyFill="1" applyBorder="1" applyAlignment="1">
      <alignment horizontal="left"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7" borderId="58" xfId="6" applyFont="1" applyFill="1" applyBorder="1" applyAlignment="1">
      <alignment horizontal="left" vertical="center"/>
    </xf>
    <xf numFmtId="0" fontId="10" fillId="7" borderId="20" xfId="6" applyFont="1" applyFill="1" applyBorder="1" applyAlignment="1">
      <alignment horizontal="left" vertical="center"/>
    </xf>
    <xf numFmtId="0" fontId="10" fillId="7" borderId="4" xfId="6" applyFont="1" applyFill="1" applyBorder="1" applyAlignment="1">
      <alignment horizontal="left" vertical="center"/>
    </xf>
    <xf numFmtId="40" fontId="3" fillId="3" borderId="19" xfId="10" applyNumberFormat="1" applyFont="1" applyFill="1" applyBorder="1" applyAlignment="1">
      <alignment horizontal="center"/>
    </xf>
    <xf numFmtId="40" fontId="3" fillId="3" borderId="21" xfId="10" applyNumberFormat="1" applyFont="1" applyFill="1" applyBorder="1" applyAlignment="1">
      <alignment horizontal="center"/>
    </xf>
    <xf numFmtId="40" fontId="3" fillId="3" borderId="36" xfId="10" applyNumberFormat="1" applyFont="1" applyFill="1" applyBorder="1" applyAlignment="1">
      <alignment horizontal="center"/>
    </xf>
    <xf numFmtId="40" fontId="3" fillId="3" borderId="0" xfId="6" applyNumberFormat="1" applyFont="1" applyFill="1" applyAlignment="1">
      <alignment horizontal="center" vertical="center" wrapText="1"/>
    </xf>
    <xf numFmtId="0" fontId="3" fillId="7" borderId="55" xfId="6" applyFont="1" applyFill="1" applyBorder="1" applyAlignment="1">
      <alignment horizontal="left" vertical="center" wrapText="1"/>
    </xf>
    <xf numFmtId="0" fontId="3" fillId="7" borderId="56" xfId="6" applyFont="1" applyFill="1" applyBorder="1" applyAlignment="1">
      <alignment horizontal="left" vertical="center" wrapText="1"/>
    </xf>
    <xf numFmtId="0" fontId="3" fillId="3" borderId="56" xfId="6" applyFont="1" applyFill="1" applyBorder="1" applyAlignment="1">
      <alignment vertical="center"/>
    </xf>
    <xf numFmtId="44" fontId="3" fillId="3" borderId="56" xfId="6" applyNumberFormat="1" applyFont="1" applyFill="1" applyBorder="1" applyAlignment="1">
      <alignment horizontal="left" vertical="center" wrapText="1"/>
    </xf>
    <xf numFmtId="0" fontId="3" fillId="3" borderId="56" xfId="6" applyFont="1" applyFill="1" applyBorder="1" applyAlignment="1">
      <alignment horizontal="left" vertical="center" wrapText="1"/>
    </xf>
    <xf numFmtId="0" fontId="3" fillId="3" borderId="57" xfId="6" applyFont="1" applyFill="1" applyBorder="1" applyAlignment="1">
      <alignment horizontal="left" vertical="center" wrapText="1"/>
    </xf>
    <xf numFmtId="0" fontId="3" fillId="7" borderId="20" xfId="6" applyFont="1" applyFill="1" applyBorder="1" applyAlignment="1">
      <alignment horizontal="left" vertical="center" wrapText="1"/>
    </xf>
    <xf numFmtId="0" fontId="3" fillId="7" borderId="5" xfId="6" applyFont="1" applyFill="1" applyBorder="1" applyAlignment="1">
      <alignment horizontal="left" vertical="center" wrapText="1"/>
    </xf>
    <xf numFmtId="0" fontId="3" fillId="3" borderId="5" xfId="6" applyFont="1" applyFill="1" applyBorder="1" applyAlignment="1">
      <alignment vertical="center" wrapText="1"/>
    </xf>
    <xf numFmtId="0" fontId="3" fillId="3" borderId="5" xfId="6" applyFont="1" applyFill="1" applyBorder="1" applyAlignment="1">
      <alignment horizontal="left" vertical="center" wrapText="1"/>
    </xf>
    <xf numFmtId="0" fontId="3" fillId="3" borderId="15" xfId="6" applyFont="1" applyFill="1" applyBorder="1" applyAlignment="1">
      <alignment horizontal="left" vertical="center" wrapText="1"/>
    </xf>
    <xf numFmtId="0" fontId="25" fillId="6" borderId="6" xfId="6" applyFont="1" applyFill="1" applyBorder="1" applyAlignment="1">
      <alignment horizontal="center" vertical="center" wrapText="1"/>
    </xf>
    <xf numFmtId="0" fontId="25" fillId="6" borderId="7" xfId="6" applyFont="1" applyFill="1" applyBorder="1" applyAlignment="1">
      <alignment horizontal="center" vertical="center" wrapText="1"/>
    </xf>
    <xf numFmtId="0" fontId="25" fillId="6" borderId="52" xfId="6" applyFont="1" applyFill="1" applyBorder="1" applyAlignment="1">
      <alignment horizontal="center" vertical="center" wrapText="1"/>
    </xf>
    <xf numFmtId="4" fontId="3" fillId="7" borderId="5" xfId="6" applyNumberFormat="1" applyFont="1" applyFill="1" applyBorder="1" applyAlignment="1">
      <alignment vertical="center" wrapText="1"/>
    </xf>
    <xf numFmtId="4" fontId="3" fillId="7" borderId="60" xfId="6" applyNumberFormat="1" applyFont="1" applyFill="1" applyBorder="1" applyAlignment="1">
      <alignment vertical="center" wrapText="1"/>
    </xf>
    <xf numFmtId="10" fontId="3" fillId="0" borderId="5" xfId="6" applyNumberFormat="1" applyFont="1" applyBorder="1" applyAlignment="1">
      <alignment horizontal="left" vertical="center" wrapText="1"/>
    </xf>
    <xf numFmtId="10" fontId="3" fillId="0" borderId="15" xfId="6" applyNumberFormat="1" applyFont="1" applyBorder="1" applyAlignment="1">
      <alignment horizontal="left" vertical="center" wrapText="1"/>
    </xf>
    <xf numFmtId="10" fontId="3" fillId="0" borderId="60" xfId="6" applyNumberFormat="1" applyFont="1" applyBorder="1" applyAlignment="1">
      <alignment vertical="center" wrapText="1"/>
    </xf>
    <xf numFmtId="10" fontId="3" fillId="0" borderId="17" xfId="6" applyNumberFormat="1" applyFont="1" applyBorder="1" applyAlignment="1">
      <alignment vertical="center" wrapText="1"/>
    </xf>
    <xf numFmtId="0" fontId="3" fillId="7" borderId="20" xfId="6" applyFont="1" applyFill="1" applyBorder="1" applyAlignment="1">
      <alignment vertical="center" wrapText="1"/>
    </xf>
    <xf numFmtId="0" fontId="3" fillId="7" borderId="5" xfId="6" applyFont="1" applyFill="1" applyBorder="1" applyAlignment="1">
      <alignment vertical="center" wrapText="1"/>
    </xf>
    <xf numFmtId="169" fontId="3" fillId="0" borderId="5" xfId="8" applyNumberFormat="1" applyFont="1" applyFill="1" applyBorder="1" applyAlignment="1">
      <alignment horizontal="left" vertical="center" wrapText="1"/>
    </xf>
    <xf numFmtId="4" fontId="3" fillId="7" borderId="16" xfId="6" applyNumberFormat="1" applyFont="1" applyFill="1" applyBorder="1" applyAlignment="1">
      <alignment horizontal="left" vertical="center" wrapText="1"/>
    </xf>
    <xf numFmtId="4" fontId="3" fillId="7" borderId="60" xfId="6" applyNumberFormat="1" applyFont="1" applyFill="1" applyBorder="1" applyAlignment="1">
      <alignment horizontal="left" vertical="center" wrapText="1"/>
    </xf>
    <xf numFmtId="10" fontId="3" fillId="0" borderId="60" xfId="8" applyNumberFormat="1" applyFont="1" applyBorder="1" applyAlignment="1">
      <alignment horizontal="left" vertical="center" wrapText="1"/>
    </xf>
    <xf numFmtId="40" fontId="3" fillId="3" borderId="0" xfId="6" applyNumberFormat="1" applyFont="1" applyFill="1" applyAlignment="1">
      <alignment horizontal="left" vertical="center"/>
    </xf>
    <xf numFmtId="40" fontId="3" fillId="3" borderId="0" xfId="6" applyNumberFormat="1" applyFont="1" applyFill="1" applyAlignment="1">
      <alignment horizontal="left" vertical="center" wrapText="1"/>
    </xf>
    <xf numFmtId="40" fontId="2" fillId="3" borderId="4" xfId="6" applyNumberFormat="1" applyFill="1" applyBorder="1" applyAlignment="1">
      <alignment horizontal="center" vertical="center"/>
    </xf>
    <xf numFmtId="40" fontId="2" fillId="3" borderId="2" xfId="6" applyNumberFormat="1" applyFill="1" applyBorder="1" applyAlignment="1">
      <alignment horizontal="center" vertical="center"/>
    </xf>
    <xf numFmtId="40" fontId="2" fillId="3" borderId="3" xfId="6" applyNumberFormat="1" applyFill="1" applyBorder="1" applyAlignment="1">
      <alignment horizontal="center" vertical="center"/>
    </xf>
    <xf numFmtId="40" fontId="2" fillId="3" borderId="4" xfId="6" applyNumberFormat="1" applyFill="1" applyBorder="1" applyAlignment="1">
      <alignment horizontal="center" vertical="center" wrapText="1"/>
    </xf>
    <xf numFmtId="40" fontId="2" fillId="3" borderId="2" xfId="6" applyNumberFormat="1" applyFill="1" applyBorder="1" applyAlignment="1">
      <alignment horizontal="center" vertical="center" wrapText="1"/>
    </xf>
    <xf numFmtId="40" fontId="2" fillId="3" borderId="3" xfId="6" applyNumberFormat="1" applyFill="1" applyBorder="1" applyAlignment="1">
      <alignment horizontal="center" vertical="center" wrapText="1"/>
    </xf>
    <xf numFmtId="40" fontId="2" fillId="3" borderId="5" xfId="6" applyNumberFormat="1" applyFill="1" applyBorder="1" applyAlignment="1">
      <alignment horizontal="center" vertical="center"/>
    </xf>
    <xf numFmtId="40" fontId="3" fillId="9" borderId="4" xfId="6" applyNumberFormat="1" applyFont="1" applyFill="1" applyBorder="1" applyAlignment="1">
      <alignment horizontal="center" vertical="center"/>
    </xf>
    <xf numFmtId="40" fontId="3" fillId="9" borderId="2" xfId="6" applyNumberFormat="1" applyFont="1" applyFill="1" applyBorder="1" applyAlignment="1">
      <alignment horizontal="center" vertical="center"/>
    </xf>
    <xf numFmtId="40" fontId="3" fillId="9" borderId="3" xfId="6" applyNumberFormat="1" applyFont="1" applyFill="1" applyBorder="1" applyAlignment="1">
      <alignment horizontal="center" vertical="center"/>
    </xf>
    <xf numFmtId="40" fontId="2" fillId="3" borderId="10" xfId="6" applyNumberFormat="1" applyFill="1" applyBorder="1" applyAlignment="1">
      <alignment horizontal="center" vertical="center"/>
    </xf>
    <xf numFmtId="40" fontId="2" fillId="3" borderId="8" xfId="6" applyNumberFormat="1" applyFill="1" applyBorder="1" applyAlignment="1">
      <alignment horizontal="center" vertical="center"/>
    </xf>
    <xf numFmtId="40" fontId="2" fillId="3" borderId="9" xfId="6" applyNumberFormat="1" applyFill="1" applyBorder="1" applyAlignment="1">
      <alignment horizontal="center" vertical="center"/>
    </xf>
    <xf numFmtId="40" fontId="10" fillId="3" borderId="0" xfId="6" applyNumberFormat="1" applyFont="1" applyFill="1" applyAlignment="1">
      <alignment horizontal="left" wrapText="1"/>
    </xf>
    <xf numFmtId="0" fontId="3" fillId="0" borderId="0" xfId="6" applyFont="1" applyAlignment="1">
      <alignment horizontal="center" vertical="center" wrapText="1"/>
    </xf>
    <xf numFmtId="40" fontId="12" fillId="3" borderId="0" xfId="10" applyNumberFormat="1" applyFont="1" applyFill="1" applyAlignment="1">
      <alignment horizontal="center" wrapText="1"/>
    </xf>
    <xf numFmtId="40" fontId="12" fillId="3" borderId="0" xfId="10" applyNumberFormat="1" applyFont="1" applyFill="1" applyAlignment="1">
      <alignment horizontal="left" wrapText="1"/>
    </xf>
    <xf numFmtId="40" fontId="10" fillId="3" borderId="0" xfId="6" applyNumberFormat="1" applyFont="1" applyFill="1" applyAlignment="1">
      <alignment horizontal="left"/>
    </xf>
    <xf numFmtId="4" fontId="12" fillId="0" borderId="4" xfId="0" applyNumberFormat="1" applyFont="1" applyBorder="1" applyAlignment="1">
      <alignment horizontal="center" wrapText="1"/>
    </xf>
    <xf numFmtId="4" fontId="12" fillId="0" borderId="2" xfId="0" applyNumberFormat="1" applyFont="1" applyBorder="1" applyAlignment="1">
      <alignment horizontal="center" wrapText="1"/>
    </xf>
    <xf numFmtId="4" fontId="12" fillId="0" borderId="3" xfId="0" applyNumberFormat="1" applyFont="1" applyBorder="1" applyAlignment="1">
      <alignment horizontal="center" wrapText="1"/>
    </xf>
    <xf numFmtId="38" fontId="10" fillId="3" borderId="0" xfId="6" applyNumberFormat="1" applyFont="1" applyFill="1" applyAlignment="1">
      <alignment horizontal="left" vertical="center" wrapText="1"/>
    </xf>
    <xf numFmtId="0" fontId="4" fillId="0" borderId="0" xfId="0" applyFont="1"/>
    <xf numFmtId="0" fontId="4" fillId="0" borderId="0" xfId="0" applyFont="1" applyAlignment="1">
      <alignment horizontal="left" vertical="center" wrapText="1"/>
    </xf>
    <xf numFmtId="0" fontId="21" fillId="0" borderId="0" xfId="0" applyFont="1" applyAlignment="1">
      <alignment horizontal="center" vertical="center" wrapText="1"/>
    </xf>
    <xf numFmtId="10" fontId="12" fillId="3" borderId="5" xfId="7" applyNumberFormat="1" applyFont="1" applyFill="1" applyBorder="1" applyAlignment="1">
      <alignment horizontal="center" vertical="center"/>
    </xf>
    <xf numFmtId="0" fontId="10" fillId="7" borderId="38" xfId="0" applyFont="1" applyFill="1" applyBorder="1" applyAlignment="1">
      <alignment horizontal="center" vertical="center"/>
    </xf>
    <xf numFmtId="0" fontId="10" fillId="7" borderId="39" xfId="0" applyFont="1" applyFill="1" applyBorder="1" applyAlignment="1">
      <alignment horizontal="center" vertical="center"/>
    </xf>
    <xf numFmtId="10" fontId="12" fillId="0" borderId="5" xfId="7" applyNumberFormat="1" applyFont="1" applyBorder="1" applyAlignment="1">
      <alignment horizontal="center" vertical="center" wrapText="1"/>
    </xf>
    <xf numFmtId="0" fontId="23" fillId="0" borderId="6" xfId="6" applyFont="1" applyBorder="1" applyAlignment="1">
      <alignment horizontal="center" vertical="center" wrapText="1"/>
    </xf>
    <xf numFmtId="0" fontId="23" fillId="0" borderId="7" xfId="6" applyFont="1" applyBorder="1" applyAlignment="1">
      <alignment horizontal="center" vertical="center"/>
    </xf>
    <xf numFmtId="0" fontId="23" fillId="0" borderId="52" xfId="6" applyFont="1" applyBorder="1" applyAlignment="1">
      <alignment horizontal="center" vertical="center"/>
    </xf>
  </cellXfs>
  <cellStyles count="33">
    <cellStyle name="Comma" xfId="12"/>
    <cellStyle name="Comma 2" xfId="20"/>
    <cellStyle name="Moeda" xfId="2" builtinId="4"/>
    <cellStyle name="Moeda 2" xfId="16"/>
    <cellStyle name="Moeda 2 2" xfId="21"/>
    <cellStyle name="Moeda 3" xfId="18"/>
    <cellStyle name="Moeda 3 4" xfId="23"/>
    <cellStyle name="Moeda 6" xfId="26"/>
    <cellStyle name="Normal" xfId="0" builtinId="0"/>
    <cellStyle name="Normal 11 4 2" xfId="30"/>
    <cellStyle name="Normal 12" xfId="24"/>
    <cellStyle name="Normal 17" xfId="6"/>
    <cellStyle name="Normal 17 2" xfId="15"/>
    <cellStyle name="Normal 182" xfId="32"/>
    <cellStyle name="Normal 2" xfId="3"/>
    <cellStyle name="Normal 2 2" xfId="14"/>
    <cellStyle name="Normal 2 2 2" xfId="13"/>
    <cellStyle name="Normal 2 2 2 2" xfId="28"/>
    <cellStyle name="Normal 2 22" xfId="11"/>
    <cellStyle name="Normal 3" xfId="5"/>
    <cellStyle name="Normal 3 2" xfId="19"/>
    <cellStyle name="Normal 5" xfId="10"/>
    <cellStyle name="Normal 5 2" xfId="25"/>
    <cellStyle name="Normal 5 3" xfId="29"/>
    <cellStyle name="Normal 7" xfId="4"/>
    <cellStyle name="Normal 8" xfId="9"/>
    <cellStyle name="Normal_Pesquisa no referencial 10 de maio de 2013" xfId="22"/>
    <cellStyle name="Porcentagem" xfId="7" builtinId="5"/>
    <cellStyle name="Porcentagem 2" xfId="8"/>
    <cellStyle name="Vírgula" xfId="1" builtinId="3"/>
    <cellStyle name="Vírgula 2" xfId="17"/>
    <cellStyle name="Vírgula 4" xfId="27"/>
    <cellStyle name="Vírgula 5" xfId="31"/>
  </cellStyles>
  <dxfs count="12">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114300</xdr:colOff>
      <xdr:row>22</xdr:row>
      <xdr:rowOff>47625</xdr:rowOff>
    </xdr:from>
    <xdr:to>
      <xdr:col>5</xdr:col>
      <xdr:colOff>171450</xdr:colOff>
      <xdr:row>22</xdr:row>
      <xdr:rowOff>504825</xdr:rowOff>
    </xdr:to>
    <xdr:pic>
      <xdr:nvPicPr>
        <xdr:cNvPr id="2" name="Picture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933950"/>
          <a:ext cx="3800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253717</xdr:colOff>
      <xdr:row>13</xdr:row>
      <xdr:rowOff>92984</xdr:rowOff>
    </xdr:from>
    <xdr:to>
      <xdr:col>19</xdr:col>
      <xdr:colOff>154382</xdr:colOff>
      <xdr:row>39</xdr:row>
      <xdr:rowOff>147849</xdr:rowOff>
    </xdr:to>
    <xdr:pic>
      <xdr:nvPicPr>
        <xdr:cNvPr id="5" name="Imagem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01824" y="4256770"/>
          <a:ext cx="6023879" cy="5824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815449</xdr:colOff>
      <xdr:row>0</xdr:row>
      <xdr:rowOff>0</xdr:rowOff>
    </xdr:from>
    <xdr:to>
      <xdr:col>8</xdr:col>
      <xdr:colOff>381137</xdr:colOff>
      <xdr:row>0</xdr:row>
      <xdr:rowOff>756253</xdr:rowOff>
    </xdr:to>
    <xdr:pic>
      <xdr:nvPicPr>
        <xdr:cNvPr id="7" name="Imagem 18" descr="G:\ourem 6.png">
          <a:extLst>
            <a:ext uri="{FF2B5EF4-FFF2-40B4-BE49-F238E27FC236}">
              <a16:creationId xmlns:a16="http://schemas.microsoft.com/office/drawing/2014/main" id="{0906659D-8B64-4FAC-9662-06EBD6BCAB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6110"/>
        <a:stretch>
          <a:fillRect/>
        </a:stretch>
      </xdr:blipFill>
      <xdr:spPr bwMode="auto">
        <a:xfrm>
          <a:off x="7399605" y="0"/>
          <a:ext cx="1649282" cy="756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321469</xdr:colOff>
      <xdr:row>0</xdr:row>
      <xdr:rowOff>65387</xdr:rowOff>
    </xdr:from>
    <xdr:to>
      <xdr:col>0</xdr:col>
      <xdr:colOff>917817</xdr:colOff>
      <xdr:row>0</xdr:row>
      <xdr:rowOff>693413</xdr:rowOff>
    </xdr:to>
    <xdr:pic>
      <xdr:nvPicPr>
        <xdr:cNvPr id="8" name="Imagem 7">
          <a:extLst>
            <a:ext uri="{FF2B5EF4-FFF2-40B4-BE49-F238E27FC236}">
              <a16:creationId xmlns:a16="http://schemas.microsoft.com/office/drawing/2014/main" id="{4FC52360-D56E-45B9-914A-02320B784B1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69" y="65387"/>
          <a:ext cx="596348" cy="62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513577</xdr:colOff>
      <xdr:row>0</xdr:row>
      <xdr:rowOff>0</xdr:rowOff>
    </xdr:from>
    <xdr:to>
      <xdr:col>6</xdr:col>
      <xdr:colOff>949213</xdr:colOff>
      <xdr:row>1</xdr:row>
      <xdr:rowOff>0</xdr:rowOff>
    </xdr:to>
    <xdr:pic>
      <xdr:nvPicPr>
        <xdr:cNvPr id="4" name="Imagem 18" descr="G:\ourem 6.png">
          <a:extLst>
            <a:ext uri="{FF2B5EF4-FFF2-40B4-BE49-F238E27FC236}">
              <a16:creationId xmlns:a16="http://schemas.microsoft.com/office/drawing/2014/main" id="{D21B2D0A-F325-4B0D-86C2-645B08A690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10430783" y="0"/>
          <a:ext cx="1735518" cy="78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268942</xdr:colOff>
      <xdr:row>0</xdr:row>
      <xdr:rowOff>65387</xdr:rowOff>
    </xdr:from>
    <xdr:to>
      <xdr:col>0</xdr:col>
      <xdr:colOff>896471</xdr:colOff>
      <xdr:row>0</xdr:row>
      <xdr:rowOff>726251</xdr:rowOff>
    </xdr:to>
    <xdr:pic>
      <xdr:nvPicPr>
        <xdr:cNvPr id="5" name="Imagem 4">
          <a:extLst>
            <a:ext uri="{FF2B5EF4-FFF2-40B4-BE49-F238E27FC236}">
              <a16:creationId xmlns:a16="http://schemas.microsoft.com/office/drawing/2014/main" id="{3C24A549-F3CC-4E42-A895-50A8CDB4DB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8942" y="65387"/>
          <a:ext cx="627529" cy="6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242</xdr:row>
      <xdr:rowOff>0</xdr:rowOff>
    </xdr:from>
    <xdr:ext cx="304800" cy="292099"/>
    <xdr:sp macro="" textlink="">
      <xdr:nvSpPr>
        <xdr:cNvPr id="13" name="AutoShape 9">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242</xdr:row>
      <xdr:rowOff>0</xdr:rowOff>
    </xdr:from>
    <xdr:ext cx="304800" cy="292099"/>
    <xdr:sp macro="" textlink="">
      <xdr:nvSpPr>
        <xdr:cNvPr id="14" name="AutoShape 10">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242</xdr:row>
      <xdr:rowOff>0</xdr:rowOff>
    </xdr:from>
    <xdr:ext cx="304800" cy="292099"/>
    <xdr:sp macro="" textlink="">
      <xdr:nvSpPr>
        <xdr:cNvPr id="15" name="AutoShape 9">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242</xdr:row>
      <xdr:rowOff>0</xdr:rowOff>
    </xdr:from>
    <xdr:ext cx="304800" cy="292099"/>
    <xdr:sp macro="" textlink="">
      <xdr:nvSpPr>
        <xdr:cNvPr id="16" name="AutoShape 10">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242</xdr:row>
      <xdr:rowOff>0</xdr:rowOff>
    </xdr:from>
    <xdr:ext cx="304800" cy="292099"/>
    <xdr:sp macro="" textlink="">
      <xdr:nvSpPr>
        <xdr:cNvPr id="17" name="AutoShape 9">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242</xdr:row>
      <xdr:rowOff>0</xdr:rowOff>
    </xdr:from>
    <xdr:ext cx="304800" cy="292099"/>
    <xdr:sp macro="" textlink="">
      <xdr:nvSpPr>
        <xdr:cNvPr id="18" name="AutoShape 9">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242</xdr:row>
      <xdr:rowOff>0</xdr:rowOff>
    </xdr:from>
    <xdr:ext cx="304800" cy="292099"/>
    <xdr:sp macro="" textlink="">
      <xdr:nvSpPr>
        <xdr:cNvPr id="19" name="AutoShape 9">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242</xdr:row>
      <xdr:rowOff>0</xdr:rowOff>
    </xdr:from>
    <xdr:ext cx="304800" cy="292099"/>
    <xdr:sp macro="" textlink="">
      <xdr:nvSpPr>
        <xdr:cNvPr id="20" name="AutoShape 10">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242</xdr:row>
      <xdr:rowOff>0</xdr:rowOff>
    </xdr:from>
    <xdr:ext cx="304800" cy="292099"/>
    <xdr:sp macro="" textlink="">
      <xdr:nvSpPr>
        <xdr:cNvPr id="21" name="AutoShape 9">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7360920" y="57523380"/>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4396153</xdr:colOff>
      <xdr:row>334</xdr:row>
      <xdr:rowOff>52335</xdr:rowOff>
    </xdr:from>
    <xdr:ext cx="304800" cy="292099"/>
    <xdr:sp macro="" textlink="">
      <xdr:nvSpPr>
        <xdr:cNvPr id="22" name="AutoShape 10">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6479093" y="52083956"/>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433663</xdr:colOff>
      <xdr:row>0</xdr:row>
      <xdr:rowOff>0</xdr:rowOff>
    </xdr:from>
    <xdr:to>
      <xdr:col>6</xdr:col>
      <xdr:colOff>764099</xdr:colOff>
      <xdr:row>0</xdr:row>
      <xdr:rowOff>756253</xdr:rowOff>
    </xdr:to>
    <xdr:pic>
      <xdr:nvPicPr>
        <xdr:cNvPr id="12" name="Imagem 18" descr="G:\ourem 6.png">
          <a:extLst>
            <a:ext uri="{FF2B5EF4-FFF2-40B4-BE49-F238E27FC236}">
              <a16:creationId xmlns:a16="http://schemas.microsoft.com/office/drawing/2014/main" id="{3589A937-EF52-41DB-AE69-A69241AB55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8545614" y="0"/>
          <a:ext cx="1649282" cy="756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324478</xdr:colOff>
      <xdr:row>0</xdr:row>
      <xdr:rowOff>65387</xdr:rowOff>
    </xdr:from>
    <xdr:to>
      <xdr:col>0</xdr:col>
      <xdr:colOff>920826</xdr:colOff>
      <xdr:row>0</xdr:row>
      <xdr:rowOff>693413</xdr:rowOff>
    </xdr:to>
    <xdr:pic>
      <xdr:nvPicPr>
        <xdr:cNvPr id="23" name="Imagem 22">
          <a:extLst>
            <a:ext uri="{FF2B5EF4-FFF2-40B4-BE49-F238E27FC236}">
              <a16:creationId xmlns:a16="http://schemas.microsoft.com/office/drawing/2014/main" id="{1C9121CF-4EA2-467C-B9CE-F12781B226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4478" y="65387"/>
          <a:ext cx="596348" cy="62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4396153</xdr:colOff>
      <xdr:row>246</xdr:row>
      <xdr:rowOff>52335</xdr:rowOff>
    </xdr:from>
    <xdr:ext cx="304800" cy="292099"/>
    <xdr:sp macro="" textlink="">
      <xdr:nvSpPr>
        <xdr:cNvPr id="24" name="AutoShape 10">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6479093" y="91680742"/>
          <a:ext cx="304800" cy="292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226954</xdr:colOff>
      <xdr:row>0</xdr:row>
      <xdr:rowOff>3057</xdr:rowOff>
    </xdr:from>
    <xdr:to>
      <xdr:col>10</xdr:col>
      <xdr:colOff>259487</xdr:colOff>
      <xdr:row>1</xdr:row>
      <xdr:rowOff>11758</xdr:rowOff>
    </xdr:to>
    <xdr:pic>
      <xdr:nvPicPr>
        <xdr:cNvPr id="3" name="Imagem 18" descr="G:\ourem 6.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11480565" y="3057"/>
          <a:ext cx="2372626" cy="1090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584793</xdr:colOff>
      <xdr:row>0</xdr:row>
      <xdr:rowOff>68443</xdr:rowOff>
    </xdr:from>
    <xdr:to>
      <xdr:col>1</xdr:col>
      <xdr:colOff>630654</xdr:colOff>
      <xdr:row>0</xdr:row>
      <xdr:rowOff>973318</xdr:rowOff>
    </xdr:to>
    <xdr:pic>
      <xdr:nvPicPr>
        <xdr:cNvPr id="4" name="Imagem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793" y="68443"/>
          <a:ext cx="859232"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77661</xdr:colOff>
      <xdr:row>0</xdr:row>
      <xdr:rowOff>0</xdr:rowOff>
    </xdr:from>
    <xdr:to>
      <xdr:col>12</xdr:col>
      <xdr:colOff>452186</xdr:colOff>
      <xdr:row>0</xdr:row>
      <xdr:rowOff>735585</xdr:rowOff>
    </xdr:to>
    <xdr:pic>
      <xdr:nvPicPr>
        <xdr:cNvPr id="3" name="Imagem 18" descr="G:\ourem 6.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6620922" y="0"/>
          <a:ext cx="1600351" cy="73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414132</xdr:colOff>
      <xdr:row>0</xdr:row>
      <xdr:rowOff>77112</xdr:rowOff>
    </xdr:from>
    <xdr:to>
      <xdr:col>1</xdr:col>
      <xdr:colOff>381183</xdr:colOff>
      <xdr:row>0</xdr:row>
      <xdr:rowOff>654325</xdr:rowOff>
    </xdr:to>
    <xdr:pic>
      <xdr:nvPicPr>
        <xdr:cNvPr id="4" name="Imagem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132" y="77112"/>
          <a:ext cx="546834" cy="57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47750</xdr:colOff>
      <xdr:row>0</xdr:row>
      <xdr:rowOff>10584</xdr:rowOff>
    </xdr:from>
    <xdr:to>
      <xdr:col>12</xdr:col>
      <xdr:colOff>592528</xdr:colOff>
      <xdr:row>0</xdr:row>
      <xdr:rowOff>746169</xdr:rowOff>
    </xdr:to>
    <xdr:pic>
      <xdr:nvPicPr>
        <xdr:cNvPr id="3" name="Imagem 18" descr="G:\ourem 6.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7233833" y="10584"/>
          <a:ext cx="1984112" cy="73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539750</xdr:colOff>
      <xdr:row>0</xdr:row>
      <xdr:rowOff>87698</xdr:rowOff>
    </xdr:from>
    <xdr:to>
      <xdr:col>1</xdr:col>
      <xdr:colOff>504501</xdr:colOff>
      <xdr:row>0</xdr:row>
      <xdr:rowOff>664911</xdr:rowOff>
    </xdr:to>
    <xdr:pic>
      <xdr:nvPicPr>
        <xdr:cNvPr id="5" name="Imagem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750" y="87698"/>
          <a:ext cx="546834" cy="57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47750</xdr:colOff>
      <xdr:row>0</xdr:row>
      <xdr:rowOff>10584</xdr:rowOff>
    </xdr:from>
    <xdr:to>
      <xdr:col>12</xdr:col>
      <xdr:colOff>592528</xdr:colOff>
      <xdr:row>0</xdr:row>
      <xdr:rowOff>746169</xdr:rowOff>
    </xdr:to>
    <xdr:pic>
      <xdr:nvPicPr>
        <xdr:cNvPr id="2" name="Imagem 18" descr="G:\ourem 6.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7724900" y="10584"/>
          <a:ext cx="1973528" cy="73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539750</xdr:colOff>
      <xdr:row>0</xdr:row>
      <xdr:rowOff>87698</xdr:rowOff>
    </xdr:from>
    <xdr:to>
      <xdr:col>1</xdr:col>
      <xdr:colOff>545379</xdr:colOff>
      <xdr:row>0</xdr:row>
      <xdr:rowOff>664911</xdr:rowOff>
    </xdr:to>
    <xdr:pic>
      <xdr:nvPicPr>
        <xdr:cNvPr id="3" name="Imagem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750" y="87698"/>
          <a:ext cx="545776" cy="57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97360</xdr:colOff>
      <xdr:row>0</xdr:row>
      <xdr:rowOff>10584</xdr:rowOff>
    </xdr:from>
    <xdr:to>
      <xdr:col>12</xdr:col>
      <xdr:colOff>642138</xdr:colOff>
      <xdr:row>0</xdr:row>
      <xdr:rowOff>746169</xdr:rowOff>
    </xdr:to>
    <xdr:pic>
      <xdr:nvPicPr>
        <xdr:cNvPr id="2" name="Imagem 18" descr="G:\ourem 6.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7598298" y="10584"/>
          <a:ext cx="2112434" cy="73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539750</xdr:colOff>
      <xdr:row>0</xdr:row>
      <xdr:rowOff>87698</xdr:rowOff>
    </xdr:from>
    <xdr:to>
      <xdr:col>1</xdr:col>
      <xdr:colOff>504501</xdr:colOff>
      <xdr:row>0</xdr:row>
      <xdr:rowOff>664911</xdr:rowOff>
    </xdr:to>
    <xdr:pic>
      <xdr:nvPicPr>
        <xdr:cNvPr id="3" name="Imagem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750" y="87698"/>
          <a:ext cx="545776" cy="57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124746</xdr:colOff>
      <xdr:row>9</xdr:row>
      <xdr:rowOff>0</xdr:rowOff>
    </xdr:from>
    <xdr:ext cx="93935" cy="172227"/>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00000000-0008-0000-0900-000002000000}"/>
                </a:ext>
              </a:extLst>
            </xdr:cNvPr>
            <xdr:cNvSpPr txBox="1"/>
          </xdr:nvSpPr>
          <xdr:spPr>
            <a:xfrm>
              <a:off x="896271" y="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2" name="CaixaDeTexto 1"/>
            <xdr:cNvSpPr txBox="1"/>
          </xdr:nvSpPr>
          <xdr:spPr>
            <a:xfrm>
              <a:off x="896271" y="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0</xdr:col>
      <xdr:colOff>384520</xdr:colOff>
      <xdr:row>104</xdr:row>
      <xdr:rowOff>0</xdr:rowOff>
    </xdr:from>
    <xdr:ext cx="65" cy="172227"/>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384520" y="869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9</xdr:row>
      <xdr:rowOff>0</xdr:rowOff>
    </xdr:from>
    <xdr:ext cx="93935" cy="172227"/>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a16="http://schemas.microsoft.com/office/drawing/2014/main" id="{00000000-0008-0000-0900-000004000000}"/>
                </a:ext>
              </a:extLst>
            </xdr:cNvPr>
            <xdr:cNvSpPr txBox="1"/>
          </xdr:nvSpPr>
          <xdr:spPr>
            <a:xfrm>
              <a:off x="896271" y="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4" name="CaixaDeTexto 3"/>
            <xdr:cNvSpPr txBox="1"/>
          </xdr:nvSpPr>
          <xdr:spPr>
            <a:xfrm>
              <a:off x="896271" y="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9</xdr:row>
      <xdr:rowOff>0</xdr:rowOff>
    </xdr:from>
    <xdr:ext cx="93935" cy="172227"/>
    <mc:AlternateContent xmlns:mc="http://schemas.openxmlformats.org/markup-compatibility/2006" xmlns:a14="http://schemas.microsoft.com/office/drawing/2010/main">
      <mc:Choice Requires="a14">
        <xdr:sp macro="" textlink="">
          <xdr:nvSpPr>
            <xdr:cNvPr id="5" name="CaixaDeTexto 4">
              <a:extLst>
                <a:ext uri="{FF2B5EF4-FFF2-40B4-BE49-F238E27FC236}">
                  <a16:creationId xmlns:a16="http://schemas.microsoft.com/office/drawing/2014/main" id="{00000000-0008-0000-0900-000005000000}"/>
                </a:ext>
              </a:extLst>
            </xdr:cNvPr>
            <xdr:cNvSpPr txBox="1"/>
          </xdr:nvSpPr>
          <xdr:spPr>
            <a:xfrm>
              <a:off x="896271" y="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5" name="CaixaDeTexto 4"/>
            <xdr:cNvSpPr txBox="1"/>
          </xdr:nvSpPr>
          <xdr:spPr>
            <a:xfrm>
              <a:off x="896271" y="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9</xdr:row>
      <xdr:rowOff>0</xdr:rowOff>
    </xdr:from>
    <xdr:ext cx="93935" cy="172227"/>
    <mc:AlternateContent xmlns:mc="http://schemas.openxmlformats.org/markup-compatibility/2006" xmlns:a14="http://schemas.microsoft.com/office/drawing/2010/main">
      <mc:Choice Requires="a14">
        <xdr:sp macro="" textlink="">
          <xdr:nvSpPr>
            <xdr:cNvPr id="6" name="CaixaDeTexto 5">
              <a:extLst>
                <a:ext uri="{FF2B5EF4-FFF2-40B4-BE49-F238E27FC236}">
                  <a16:creationId xmlns:a16="http://schemas.microsoft.com/office/drawing/2014/main" id="{00000000-0008-0000-0900-000006000000}"/>
                </a:ext>
              </a:extLst>
            </xdr:cNvPr>
            <xdr:cNvSpPr txBox="1"/>
          </xdr:nvSpPr>
          <xdr:spPr>
            <a:xfrm>
              <a:off x="896271" y="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6" name="CaixaDeTexto 5"/>
            <xdr:cNvSpPr txBox="1"/>
          </xdr:nvSpPr>
          <xdr:spPr>
            <a:xfrm>
              <a:off x="896271" y="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0</xdr:col>
      <xdr:colOff>384520</xdr:colOff>
      <xdr:row>140</xdr:row>
      <xdr:rowOff>0</xdr:rowOff>
    </xdr:from>
    <xdr:ext cx="65" cy="172227"/>
    <xdr:sp macro="" textlink="">
      <xdr:nvSpPr>
        <xdr:cNvPr id="11" name="CaixaDeTexto 10">
          <a:extLst>
            <a:ext uri="{FF2B5EF4-FFF2-40B4-BE49-F238E27FC236}">
              <a16:creationId xmlns:a16="http://schemas.microsoft.com/office/drawing/2014/main" id="{00000000-0008-0000-0900-00000B000000}"/>
            </a:ext>
          </a:extLst>
        </xdr:cNvPr>
        <xdr:cNvSpPr txBox="1"/>
      </xdr:nvSpPr>
      <xdr:spPr>
        <a:xfrm>
          <a:off x="384520" y="5879793"/>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12" name="CaixaDeTexto 11">
          <a:extLst>
            <a:ext uri="{FF2B5EF4-FFF2-40B4-BE49-F238E27FC236}">
              <a16:creationId xmlns:a16="http://schemas.microsoft.com/office/drawing/2014/main" id="{00000000-0008-0000-0900-00000C000000}"/>
            </a:ext>
          </a:extLst>
        </xdr:cNvPr>
        <xdr:cNvSpPr txBox="1"/>
      </xdr:nvSpPr>
      <xdr:spPr>
        <a:xfrm>
          <a:off x="384520" y="3356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13" name="CaixaDeTexto 12">
          <a:extLst>
            <a:ext uri="{FF2B5EF4-FFF2-40B4-BE49-F238E27FC236}">
              <a16:creationId xmlns:a16="http://schemas.microsoft.com/office/drawing/2014/main" id="{00000000-0008-0000-0900-00000D000000}"/>
            </a:ext>
          </a:extLst>
        </xdr:cNvPr>
        <xdr:cNvSpPr txBox="1"/>
      </xdr:nvSpPr>
      <xdr:spPr>
        <a:xfrm>
          <a:off x="384520" y="3356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104</xdr:row>
      <xdr:rowOff>0</xdr:rowOff>
    </xdr:from>
    <xdr:ext cx="65" cy="172227"/>
    <xdr:sp macro="" textlink="">
      <xdr:nvSpPr>
        <xdr:cNvPr id="14" name="CaixaDeTexto 13">
          <a:extLst>
            <a:ext uri="{FF2B5EF4-FFF2-40B4-BE49-F238E27FC236}">
              <a16:creationId xmlns:a16="http://schemas.microsoft.com/office/drawing/2014/main" id="{00000000-0008-0000-0900-00000E000000}"/>
            </a:ext>
          </a:extLst>
        </xdr:cNvPr>
        <xdr:cNvSpPr txBox="1"/>
      </xdr:nvSpPr>
      <xdr:spPr>
        <a:xfrm>
          <a:off x="384520" y="427006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9</xdr:row>
      <xdr:rowOff>0</xdr:rowOff>
    </xdr:from>
    <xdr:ext cx="65" cy="172227"/>
    <xdr:sp macro="" textlink="">
      <xdr:nvSpPr>
        <xdr:cNvPr id="16" name="CaixaDeTexto 15">
          <a:extLst>
            <a:ext uri="{FF2B5EF4-FFF2-40B4-BE49-F238E27FC236}">
              <a16:creationId xmlns:a16="http://schemas.microsoft.com/office/drawing/2014/main" id="{00000000-0008-0000-0900-000010000000}"/>
            </a:ext>
          </a:extLst>
        </xdr:cNvPr>
        <xdr:cNvSpPr txBox="1"/>
      </xdr:nvSpPr>
      <xdr:spPr>
        <a:xfrm>
          <a:off x="920364" y="290232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9</xdr:row>
      <xdr:rowOff>0</xdr:rowOff>
    </xdr:from>
    <xdr:ext cx="65" cy="172227"/>
    <xdr:sp macro="" textlink="">
      <xdr:nvSpPr>
        <xdr:cNvPr id="17" name="CaixaDeTexto 16">
          <a:extLst>
            <a:ext uri="{FF2B5EF4-FFF2-40B4-BE49-F238E27FC236}">
              <a16:creationId xmlns:a16="http://schemas.microsoft.com/office/drawing/2014/main" id="{00000000-0008-0000-0900-000011000000}"/>
            </a:ext>
          </a:extLst>
        </xdr:cNvPr>
        <xdr:cNvSpPr txBox="1"/>
      </xdr:nvSpPr>
      <xdr:spPr>
        <a:xfrm>
          <a:off x="920364" y="290232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23" name="CaixaDeTexto 22">
          <a:extLst>
            <a:ext uri="{FF2B5EF4-FFF2-40B4-BE49-F238E27FC236}">
              <a16:creationId xmlns:a16="http://schemas.microsoft.com/office/drawing/2014/main" id="{00000000-0008-0000-0900-000017000000}"/>
            </a:ext>
          </a:extLst>
        </xdr:cNvPr>
        <xdr:cNvSpPr txBox="1"/>
      </xdr:nvSpPr>
      <xdr:spPr>
        <a:xfrm>
          <a:off x="384520" y="97631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24" name="CaixaDeTexto 23">
          <a:extLst>
            <a:ext uri="{FF2B5EF4-FFF2-40B4-BE49-F238E27FC236}">
              <a16:creationId xmlns:a16="http://schemas.microsoft.com/office/drawing/2014/main" id="{00000000-0008-0000-0900-000018000000}"/>
            </a:ext>
          </a:extLst>
        </xdr:cNvPr>
        <xdr:cNvSpPr txBox="1"/>
      </xdr:nvSpPr>
      <xdr:spPr>
        <a:xfrm>
          <a:off x="384520" y="976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25" name="CaixaDeTexto 24">
          <a:extLst>
            <a:ext uri="{FF2B5EF4-FFF2-40B4-BE49-F238E27FC236}">
              <a16:creationId xmlns:a16="http://schemas.microsoft.com/office/drawing/2014/main" id="{00000000-0008-0000-0900-000019000000}"/>
            </a:ext>
          </a:extLst>
        </xdr:cNvPr>
        <xdr:cNvSpPr txBox="1"/>
      </xdr:nvSpPr>
      <xdr:spPr>
        <a:xfrm>
          <a:off x="384520" y="976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26" name="CaixaDeTexto 25">
          <a:extLst>
            <a:ext uri="{FF2B5EF4-FFF2-40B4-BE49-F238E27FC236}">
              <a16:creationId xmlns:a16="http://schemas.microsoft.com/office/drawing/2014/main" id="{00000000-0008-0000-0900-00001A000000}"/>
            </a:ext>
          </a:extLst>
        </xdr:cNvPr>
        <xdr:cNvSpPr txBox="1"/>
      </xdr:nvSpPr>
      <xdr:spPr>
        <a:xfrm>
          <a:off x="384520" y="976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27" name="CaixaDeTexto 26">
          <a:extLst>
            <a:ext uri="{FF2B5EF4-FFF2-40B4-BE49-F238E27FC236}">
              <a16:creationId xmlns:a16="http://schemas.microsoft.com/office/drawing/2014/main" id="{00000000-0008-0000-0900-00001B000000}"/>
            </a:ext>
          </a:extLst>
        </xdr:cNvPr>
        <xdr:cNvSpPr txBox="1"/>
      </xdr:nvSpPr>
      <xdr:spPr>
        <a:xfrm>
          <a:off x="384520" y="976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21" name="CaixaDeTexto 20">
          <a:extLst>
            <a:ext uri="{FF2B5EF4-FFF2-40B4-BE49-F238E27FC236}">
              <a16:creationId xmlns:a16="http://schemas.microsoft.com/office/drawing/2014/main" id="{00000000-0008-0000-0900-000015000000}"/>
            </a:ext>
          </a:extLst>
        </xdr:cNvPr>
        <xdr:cNvSpPr txBox="1"/>
      </xdr:nvSpPr>
      <xdr:spPr>
        <a:xfrm>
          <a:off x="384520" y="97631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28" name="CaixaDeTexto 27">
          <a:extLst>
            <a:ext uri="{FF2B5EF4-FFF2-40B4-BE49-F238E27FC236}">
              <a16:creationId xmlns:a16="http://schemas.microsoft.com/office/drawing/2014/main" id="{00000000-0008-0000-0900-00001C000000}"/>
            </a:ext>
          </a:extLst>
        </xdr:cNvPr>
        <xdr:cNvSpPr txBox="1"/>
      </xdr:nvSpPr>
      <xdr:spPr>
        <a:xfrm>
          <a:off x="384520" y="976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29" name="CaixaDeTexto 28">
          <a:extLst>
            <a:ext uri="{FF2B5EF4-FFF2-40B4-BE49-F238E27FC236}">
              <a16:creationId xmlns:a16="http://schemas.microsoft.com/office/drawing/2014/main" id="{00000000-0008-0000-0900-00001D000000}"/>
            </a:ext>
          </a:extLst>
        </xdr:cNvPr>
        <xdr:cNvSpPr txBox="1"/>
      </xdr:nvSpPr>
      <xdr:spPr>
        <a:xfrm>
          <a:off x="384520" y="976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30" name="CaixaDeTexto 29">
          <a:extLst>
            <a:ext uri="{FF2B5EF4-FFF2-40B4-BE49-F238E27FC236}">
              <a16:creationId xmlns:a16="http://schemas.microsoft.com/office/drawing/2014/main" id="{00000000-0008-0000-0900-00001E000000}"/>
            </a:ext>
          </a:extLst>
        </xdr:cNvPr>
        <xdr:cNvSpPr txBox="1"/>
      </xdr:nvSpPr>
      <xdr:spPr>
        <a:xfrm>
          <a:off x="384520" y="99536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31" name="CaixaDeTexto 30">
          <a:extLst>
            <a:ext uri="{FF2B5EF4-FFF2-40B4-BE49-F238E27FC236}">
              <a16:creationId xmlns:a16="http://schemas.microsoft.com/office/drawing/2014/main" id="{00000000-0008-0000-0900-00001F000000}"/>
            </a:ext>
          </a:extLst>
        </xdr:cNvPr>
        <xdr:cNvSpPr txBox="1"/>
      </xdr:nvSpPr>
      <xdr:spPr>
        <a:xfrm>
          <a:off x="384520" y="995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32" name="CaixaDeTexto 31">
          <a:extLst>
            <a:ext uri="{FF2B5EF4-FFF2-40B4-BE49-F238E27FC236}">
              <a16:creationId xmlns:a16="http://schemas.microsoft.com/office/drawing/2014/main" id="{00000000-0008-0000-0900-000020000000}"/>
            </a:ext>
          </a:extLst>
        </xdr:cNvPr>
        <xdr:cNvSpPr txBox="1"/>
      </xdr:nvSpPr>
      <xdr:spPr>
        <a:xfrm>
          <a:off x="384520" y="995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33" name="CaixaDeTexto 32">
          <a:extLst>
            <a:ext uri="{FF2B5EF4-FFF2-40B4-BE49-F238E27FC236}">
              <a16:creationId xmlns:a16="http://schemas.microsoft.com/office/drawing/2014/main" id="{00000000-0008-0000-0900-000021000000}"/>
            </a:ext>
          </a:extLst>
        </xdr:cNvPr>
        <xdr:cNvSpPr txBox="1"/>
      </xdr:nvSpPr>
      <xdr:spPr>
        <a:xfrm>
          <a:off x="384520" y="995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34" name="CaixaDeTexto 33">
          <a:extLst>
            <a:ext uri="{FF2B5EF4-FFF2-40B4-BE49-F238E27FC236}">
              <a16:creationId xmlns:a16="http://schemas.microsoft.com/office/drawing/2014/main" id="{00000000-0008-0000-0900-000022000000}"/>
            </a:ext>
          </a:extLst>
        </xdr:cNvPr>
        <xdr:cNvSpPr txBox="1"/>
      </xdr:nvSpPr>
      <xdr:spPr>
        <a:xfrm>
          <a:off x="384520" y="995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35" name="CaixaDeTexto 34">
          <a:extLst>
            <a:ext uri="{FF2B5EF4-FFF2-40B4-BE49-F238E27FC236}">
              <a16:creationId xmlns:a16="http://schemas.microsoft.com/office/drawing/2014/main" id="{00000000-0008-0000-0900-000023000000}"/>
            </a:ext>
          </a:extLst>
        </xdr:cNvPr>
        <xdr:cNvSpPr txBox="1"/>
      </xdr:nvSpPr>
      <xdr:spPr>
        <a:xfrm>
          <a:off x="384520" y="120491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36" name="CaixaDeTexto 35">
          <a:extLst>
            <a:ext uri="{FF2B5EF4-FFF2-40B4-BE49-F238E27FC236}">
              <a16:creationId xmlns:a16="http://schemas.microsoft.com/office/drawing/2014/main" id="{00000000-0008-0000-0900-000024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37" name="CaixaDeTexto 36">
          <a:extLst>
            <a:ext uri="{FF2B5EF4-FFF2-40B4-BE49-F238E27FC236}">
              <a16:creationId xmlns:a16="http://schemas.microsoft.com/office/drawing/2014/main" id="{00000000-0008-0000-0900-000025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38" name="CaixaDeTexto 37">
          <a:extLst>
            <a:ext uri="{FF2B5EF4-FFF2-40B4-BE49-F238E27FC236}">
              <a16:creationId xmlns:a16="http://schemas.microsoft.com/office/drawing/2014/main" id="{00000000-0008-0000-0900-000026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39" name="CaixaDeTexto 38">
          <a:extLst>
            <a:ext uri="{FF2B5EF4-FFF2-40B4-BE49-F238E27FC236}">
              <a16:creationId xmlns:a16="http://schemas.microsoft.com/office/drawing/2014/main" id="{00000000-0008-0000-0900-000027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40" name="CaixaDeTexto 39">
          <a:extLst>
            <a:ext uri="{FF2B5EF4-FFF2-40B4-BE49-F238E27FC236}">
              <a16:creationId xmlns:a16="http://schemas.microsoft.com/office/drawing/2014/main" id="{00000000-0008-0000-0900-000028000000}"/>
            </a:ext>
          </a:extLst>
        </xdr:cNvPr>
        <xdr:cNvSpPr txBox="1"/>
      </xdr:nvSpPr>
      <xdr:spPr>
        <a:xfrm>
          <a:off x="384520" y="120491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41" name="CaixaDeTexto 40">
          <a:extLst>
            <a:ext uri="{FF2B5EF4-FFF2-40B4-BE49-F238E27FC236}">
              <a16:creationId xmlns:a16="http://schemas.microsoft.com/office/drawing/2014/main" id="{00000000-0008-0000-0900-000029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42" name="CaixaDeTexto 41">
          <a:extLst>
            <a:ext uri="{FF2B5EF4-FFF2-40B4-BE49-F238E27FC236}">
              <a16:creationId xmlns:a16="http://schemas.microsoft.com/office/drawing/2014/main" id="{00000000-0008-0000-0900-00002A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43" name="CaixaDeTexto 42">
          <a:extLst>
            <a:ext uri="{FF2B5EF4-FFF2-40B4-BE49-F238E27FC236}">
              <a16:creationId xmlns:a16="http://schemas.microsoft.com/office/drawing/2014/main" id="{00000000-0008-0000-0900-00002B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45" name="CaixaDeTexto 44">
          <a:extLst>
            <a:ext uri="{FF2B5EF4-FFF2-40B4-BE49-F238E27FC236}">
              <a16:creationId xmlns:a16="http://schemas.microsoft.com/office/drawing/2014/main" id="{00000000-0008-0000-0900-00002D000000}"/>
            </a:ext>
          </a:extLst>
        </xdr:cNvPr>
        <xdr:cNvSpPr txBox="1"/>
      </xdr:nvSpPr>
      <xdr:spPr>
        <a:xfrm>
          <a:off x="384520" y="120491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46" name="CaixaDeTexto 45">
          <a:extLst>
            <a:ext uri="{FF2B5EF4-FFF2-40B4-BE49-F238E27FC236}">
              <a16:creationId xmlns:a16="http://schemas.microsoft.com/office/drawing/2014/main" id="{00000000-0008-0000-0900-00002E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47" name="CaixaDeTexto 46">
          <a:extLst>
            <a:ext uri="{FF2B5EF4-FFF2-40B4-BE49-F238E27FC236}">
              <a16:creationId xmlns:a16="http://schemas.microsoft.com/office/drawing/2014/main" id="{00000000-0008-0000-0900-00002F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48" name="CaixaDeTexto 47">
          <a:extLst>
            <a:ext uri="{FF2B5EF4-FFF2-40B4-BE49-F238E27FC236}">
              <a16:creationId xmlns:a16="http://schemas.microsoft.com/office/drawing/2014/main" id="{00000000-0008-0000-0900-000030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49" name="CaixaDeTexto 48">
          <a:extLst>
            <a:ext uri="{FF2B5EF4-FFF2-40B4-BE49-F238E27FC236}">
              <a16:creationId xmlns:a16="http://schemas.microsoft.com/office/drawing/2014/main" id="{00000000-0008-0000-0900-000031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50" name="CaixaDeTexto 49">
          <a:extLst>
            <a:ext uri="{FF2B5EF4-FFF2-40B4-BE49-F238E27FC236}">
              <a16:creationId xmlns:a16="http://schemas.microsoft.com/office/drawing/2014/main" id="{00000000-0008-0000-0900-000032000000}"/>
            </a:ext>
          </a:extLst>
        </xdr:cNvPr>
        <xdr:cNvSpPr txBox="1"/>
      </xdr:nvSpPr>
      <xdr:spPr>
        <a:xfrm>
          <a:off x="384520" y="120491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51" name="CaixaDeTexto 50">
          <a:extLst>
            <a:ext uri="{FF2B5EF4-FFF2-40B4-BE49-F238E27FC236}">
              <a16:creationId xmlns:a16="http://schemas.microsoft.com/office/drawing/2014/main" id="{00000000-0008-0000-0900-000033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52" name="CaixaDeTexto 51">
          <a:extLst>
            <a:ext uri="{FF2B5EF4-FFF2-40B4-BE49-F238E27FC236}">
              <a16:creationId xmlns:a16="http://schemas.microsoft.com/office/drawing/2014/main" id="{00000000-0008-0000-0900-000034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53" name="CaixaDeTexto 52">
          <a:extLst>
            <a:ext uri="{FF2B5EF4-FFF2-40B4-BE49-F238E27FC236}">
              <a16:creationId xmlns:a16="http://schemas.microsoft.com/office/drawing/2014/main" id="{00000000-0008-0000-0900-000035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54" name="CaixaDeTexto 53">
          <a:extLst>
            <a:ext uri="{FF2B5EF4-FFF2-40B4-BE49-F238E27FC236}">
              <a16:creationId xmlns:a16="http://schemas.microsoft.com/office/drawing/2014/main" id="{00000000-0008-0000-0900-000036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55" name="CaixaDeTexto 54">
          <a:extLst>
            <a:ext uri="{FF2B5EF4-FFF2-40B4-BE49-F238E27FC236}">
              <a16:creationId xmlns:a16="http://schemas.microsoft.com/office/drawing/2014/main" id="{00000000-0008-0000-0900-000037000000}"/>
            </a:ext>
          </a:extLst>
        </xdr:cNvPr>
        <xdr:cNvSpPr txBox="1"/>
      </xdr:nvSpPr>
      <xdr:spPr>
        <a:xfrm>
          <a:off x="384520" y="120491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56" name="CaixaDeTexto 55">
          <a:extLst>
            <a:ext uri="{FF2B5EF4-FFF2-40B4-BE49-F238E27FC236}">
              <a16:creationId xmlns:a16="http://schemas.microsoft.com/office/drawing/2014/main" id="{00000000-0008-0000-0900-000038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57" name="CaixaDeTexto 56">
          <a:extLst>
            <a:ext uri="{FF2B5EF4-FFF2-40B4-BE49-F238E27FC236}">
              <a16:creationId xmlns:a16="http://schemas.microsoft.com/office/drawing/2014/main" id="{00000000-0008-0000-0900-000039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58" name="CaixaDeTexto 57">
          <a:extLst>
            <a:ext uri="{FF2B5EF4-FFF2-40B4-BE49-F238E27FC236}">
              <a16:creationId xmlns:a16="http://schemas.microsoft.com/office/drawing/2014/main" id="{00000000-0008-0000-0900-00003A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59" name="CaixaDeTexto 58">
          <a:extLst>
            <a:ext uri="{FF2B5EF4-FFF2-40B4-BE49-F238E27FC236}">
              <a16:creationId xmlns:a16="http://schemas.microsoft.com/office/drawing/2014/main" id="{00000000-0008-0000-0900-00003B000000}"/>
            </a:ext>
          </a:extLst>
        </xdr:cNvPr>
        <xdr:cNvSpPr txBox="1"/>
      </xdr:nvSpPr>
      <xdr:spPr>
        <a:xfrm>
          <a:off x="384520" y="1204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60" name="CaixaDeTexto 59">
          <a:extLst>
            <a:ext uri="{FF2B5EF4-FFF2-40B4-BE49-F238E27FC236}">
              <a16:creationId xmlns:a16="http://schemas.microsoft.com/office/drawing/2014/main" id="{00000000-0008-0000-0900-00003C000000}"/>
            </a:ext>
          </a:extLst>
        </xdr:cNvPr>
        <xdr:cNvSpPr txBox="1"/>
      </xdr:nvSpPr>
      <xdr:spPr>
        <a:xfrm>
          <a:off x="384520" y="175736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61" name="CaixaDeTexto 60">
          <a:extLst>
            <a:ext uri="{FF2B5EF4-FFF2-40B4-BE49-F238E27FC236}">
              <a16:creationId xmlns:a16="http://schemas.microsoft.com/office/drawing/2014/main" id="{00000000-0008-0000-0900-00003D000000}"/>
            </a:ext>
          </a:extLst>
        </xdr:cNvPr>
        <xdr:cNvSpPr txBox="1"/>
      </xdr:nvSpPr>
      <xdr:spPr>
        <a:xfrm>
          <a:off x="384520" y="1757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62" name="CaixaDeTexto 61">
          <a:extLst>
            <a:ext uri="{FF2B5EF4-FFF2-40B4-BE49-F238E27FC236}">
              <a16:creationId xmlns:a16="http://schemas.microsoft.com/office/drawing/2014/main" id="{00000000-0008-0000-0900-00003E000000}"/>
            </a:ext>
          </a:extLst>
        </xdr:cNvPr>
        <xdr:cNvSpPr txBox="1"/>
      </xdr:nvSpPr>
      <xdr:spPr>
        <a:xfrm>
          <a:off x="384520" y="1757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63" name="CaixaDeTexto 62">
          <a:extLst>
            <a:ext uri="{FF2B5EF4-FFF2-40B4-BE49-F238E27FC236}">
              <a16:creationId xmlns:a16="http://schemas.microsoft.com/office/drawing/2014/main" id="{00000000-0008-0000-0900-00003F000000}"/>
            </a:ext>
          </a:extLst>
        </xdr:cNvPr>
        <xdr:cNvSpPr txBox="1"/>
      </xdr:nvSpPr>
      <xdr:spPr>
        <a:xfrm>
          <a:off x="384520" y="1757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65" name="CaixaDeTexto 64">
          <a:extLst>
            <a:ext uri="{FF2B5EF4-FFF2-40B4-BE49-F238E27FC236}">
              <a16:creationId xmlns:a16="http://schemas.microsoft.com/office/drawing/2014/main" id="{00000000-0008-0000-0900-000041000000}"/>
            </a:ext>
          </a:extLst>
        </xdr:cNvPr>
        <xdr:cNvSpPr txBox="1"/>
      </xdr:nvSpPr>
      <xdr:spPr>
        <a:xfrm>
          <a:off x="384520" y="17573625"/>
          <a:ext cx="65"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solidFill>
              <a:sysClr val="windowText" lastClr="000000"/>
            </a:solidFill>
          </a:endParaRPr>
        </a:p>
      </xdr:txBody>
    </xdr:sp>
    <xdr:clientData/>
  </xdr:oneCellAnchor>
  <xdr:oneCellAnchor>
    <xdr:from>
      <xdr:col>0</xdr:col>
      <xdr:colOff>384520</xdr:colOff>
      <xdr:row>140</xdr:row>
      <xdr:rowOff>0</xdr:rowOff>
    </xdr:from>
    <xdr:ext cx="65" cy="172227"/>
    <xdr:sp macro="" textlink="">
      <xdr:nvSpPr>
        <xdr:cNvPr id="66" name="CaixaDeTexto 65">
          <a:extLst>
            <a:ext uri="{FF2B5EF4-FFF2-40B4-BE49-F238E27FC236}">
              <a16:creationId xmlns:a16="http://schemas.microsoft.com/office/drawing/2014/main" id="{00000000-0008-0000-0900-000042000000}"/>
            </a:ext>
          </a:extLst>
        </xdr:cNvPr>
        <xdr:cNvSpPr txBox="1"/>
      </xdr:nvSpPr>
      <xdr:spPr>
        <a:xfrm>
          <a:off x="384520" y="1757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67" name="CaixaDeTexto 66">
          <a:extLst>
            <a:ext uri="{FF2B5EF4-FFF2-40B4-BE49-F238E27FC236}">
              <a16:creationId xmlns:a16="http://schemas.microsoft.com/office/drawing/2014/main" id="{00000000-0008-0000-0900-000043000000}"/>
            </a:ext>
          </a:extLst>
        </xdr:cNvPr>
        <xdr:cNvSpPr txBox="1"/>
      </xdr:nvSpPr>
      <xdr:spPr>
        <a:xfrm>
          <a:off x="384520" y="1757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68" name="CaixaDeTexto 67">
          <a:extLst>
            <a:ext uri="{FF2B5EF4-FFF2-40B4-BE49-F238E27FC236}">
              <a16:creationId xmlns:a16="http://schemas.microsoft.com/office/drawing/2014/main" id="{00000000-0008-0000-0900-000044000000}"/>
            </a:ext>
          </a:extLst>
        </xdr:cNvPr>
        <xdr:cNvSpPr txBox="1"/>
      </xdr:nvSpPr>
      <xdr:spPr>
        <a:xfrm>
          <a:off x="384520" y="1757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0</xdr:col>
      <xdr:colOff>384520</xdr:colOff>
      <xdr:row>140</xdr:row>
      <xdr:rowOff>0</xdr:rowOff>
    </xdr:from>
    <xdr:ext cx="65" cy="172227"/>
    <xdr:sp macro="" textlink="">
      <xdr:nvSpPr>
        <xdr:cNvPr id="69" name="CaixaDeTexto 68">
          <a:extLst>
            <a:ext uri="{FF2B5EF4-FFF2-40B4-BE49-F238E27FC236}">
              <a16:creationId xmlns:a16="http://schemas.microsoft.com/office/drawing/2014/main" id="{00000000-0008-0000-0900-000045000000}"/>
            </a:ext>
          </a:extLst>
        </xdr:cNvPr>
        <xdr:cNvSpPr txBox="1"/>
      </xdr:nvSpPr>
      <xdr:spPr>
        <a:xfrm>
          <a:off x="384520" y="1757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11</xdr:row>
      <xdr:rowOff>0</xdr:rowOff>
    </xdr:from>
    <xdr:ext cx="93935" cy="172227"/>
    <mc:AlternateContent xmlns:mc="http://schemas.openxmlformats.org/markup-compatibility/2006" xmlns:a14="http://schemas.microsoft.com/office/drawing/2010/main">
      <mc:Choice Requires="a14">
        <xdr:sp macro="" textlink="">
          <xdr:nvSpPr>
            <xdr:cNvPr id="70" name="CaixaDeTexto 69">
              <a:extLst>
                <a:ext uri="{FF2B5EF4-FFF2-40B4-BE49-F238E27FC236}">
                  <a16:creationId xmlns:a16="http://schemas.microsoft.com/office/drawing/2014/main" id="{00000000-0008-0000-0900-000046000000}"/>
                </a:ext>
              </a:extLst>
            </xdr:cNvPr>
            <xdr:cNvSpPr txBox="1"/>
          </xdr:nvSpPr>
          <xdr:spPr>
            <a:xfrm>
              <a:off x="924846" y="28956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70" name="CaixaDeTexto 69">
              <a:extLst>
                <a:ext uri="{FF2B5EF4-FFF2-40B4-BE49-F238E27FC236}">
                  <a16:creationId xmlns:a16="http://schemas.microsoft.com/office/drawing/2014/main" id="{00000000-0008-0000-0900-000002000000}"/>
                </a:ext>
              </a:extLst>
            </xdr:cNvPr>
            <xdr:cNvSpPr txBox="1"/>
          </xdr:nvSpPr>
          <xdr:spPr>
            <a:xfrm>
              <a:off x="924846" y="28956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11</xdr:row>
      <xdr:rowOff>0</xdr:rowOff>
    </xdr:from>
    <xdr:ext cx="93935" cy="172227"/>
    <mc:AlternateContent xmlns:mc="http://schemas.openxmlformats.org/markup-compatibility/2006" xmlns:a14="http://schemas.microsoft.com/office/drawing/2010/main">
      <mc:Choice Requires="a14">
        <xdr:sp macro="" textlink="">
          <xdr:nvSpPr>
            <xdr:cNvPr id="71" name="CaixaDeTexto 70">
              <a:extLst>
                <a:ext uri="{FF2B5EF4-FFF2-40B4-BE49-F238E27FC236}">
                  <a16:creationId xmlns:a16="http://schemas.microsoft.com/office/drawing/2014/main" id="{00000000-0008-0000-0900-000047000000}"/>
                </a:ext>
              </a:extLst>
            </xdr:cNvPr>
            <xdr:cNvSpPr txBox="1"/>
          </xdr:nvSpPr>
          <xdr:spPr>
            <a:xfrm>
              <a:off x="924846" y="28956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71" name="CaixaDeTexto 70">
              <a:extLst>
                <a:ext uri="{FF2B5EF4-FFF2-40B4-BE49-F238E27FC236}">
                  <a16:creationId xmlns:a16="http://schemas.microsoft.com/office/drawing/2014/main" id="{00000000-0008-0000-0900-000004000000}"/>
                </a:ext>
              </a:extLst>
            </xdr:cNvPr>
            <xdr:cNvSpPr txBox="1"/>
          </xdr:nvSpPr>
          <xdr:spPr>
            <a:xfrm>
              <a:off x="924846" y="28956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11</xdr:row>
      <xdr:rowOff>0</xdr:rowOff>
    </xdr:from>
    <xdr:ext cx="93935" cy="172227"/>
    <mc:AlternateContent xmlns:mc="http://schemas.openxmlformats.org/markup-compatibility/2006" xmlns:a14="http://schemas.microsoft.com/office/drawing/2010/main">
      <mc:Choice Requires="a14">
        <xdr:sp macro="" textlink="">
          <xdr:nvSpPr>
            <xdr:cNvPr id="72" name="CaixaDeTexto 71">
              <a:extLst>
                <a:ext uri="{FF2B5EF4-FFF2-40B4-BE49-F238E27FC236}">
                  <a16:creationId xmlns:a16="http://schemas.microsoft.com/office/drawing/2014/main" id="{00000000-0008-0000-0900-000048000000}"/>
                </a:ext>
              </a:extLst>
            </xdr:cNvPr>
            <xdr:cNvSpPr txBox="1"/>
          </xdr:nvSpPr>
          <xdr:spPr>
            <a:xfrm>
              <a:off x="924846" y="28956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72" name="CaixaDeTexto 71">
              <a:extLst>
                <a:ext uri="{FF2B5EF4-FFF2-40B4-BE49-F238E27FC236}">
                  <a16:creationId xmlns:a16="http://schemas.microsoft.com/office/drawing/2014/main" id="{00000000-0008-0000-0900-000005000000}"/>
                </a:ext>
              </a:extLst>
            </xdr:cNvPr>
            <xdr:cNvSpPr txBox="1"/>
          </xdr:nvSpPr>
          <xdr:spPr>
            <a:xfrm>
              <a:off x="924846" y="28956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11</xdr:row>
      <xdr:rowOff>0</xdr:rowOff>
    </xdr:from>
    <xdr:ext cx="93935" cy="172227"/>
    <mc:AlternateContent xmlns:mc="http://schemas.openxmlformats.org/markup-compatibility/2006" xmlns:a14="http://schemas.microsoft.com/office/drawing/2010/main">
      <mc:Choice Requires="a14">
        <xdr:sp macro="" textlink="">
          <xdr:nvSpPr>
            <xdr:cNvPr id="73" name="CaixaDeTexto 72">
              <a:extLst>
                <a:ext uri="{FF2B5EF4-FFF2-40B4-BE49-F238E27FC236}">
                  <a16:creationId xmlns:a16="http://schemas.microsoft.com/office/drawing/2014/main" id="{00000000-0008-0000-0900-000049000000}"/>
                </a:ext>
              </a:extLst>
            </xdr:cNvPr>
            <xdr:cNvSpPr txBox="1"/>
          </xdr:nvSpPr>
          <xdr:spPr>
            <a:xfrm>
              <a:off x="924846" y="28956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73" name="CaixaDeTexto 72">
              <a:extLst>
                <a:ext uri="{FF2B5EF4-FFF2-40B4-BE49-F238E27FC236}">
                  <a16:creationId xmlns:a16="http://schemas.microsoft.com/office/drawing/2014/main" id="{00000000-0008-0000-0900-000006000000}"/>
                </a:ext>
              </a:extLst>
            </xdr:cNvPr>
            <xdr:cNvSpPr txBox="1"/>
          </xdr:nvSpPr>
          <xdr:spPr>
            <a:xfrm>
              <a:off x="924846" y="28956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11</xdr:row>
      <xdr:rowOff>0</xdr:rowOff>
    </xdr:from>
    <xdr:ext cx="65" cy="172227"/>
    <xdr:sp macro="" textlink="">
      <xdr:nvSpPr>
        <xdr:cNvPr id="74" name="CaixaDeTexto 73">
          <a:extLst>
            <a:ext uri="{FF2B5EF4-FFF2-40B4-BE49-F238E27FC236}">
              <a16:creationId xmlns:a16="http://schemas.microsoft.com/office/drawing/2014/main" id="{00000000-0008-0000-0900-00004A000000}"/>
            </a:ext>
          </a:extLst>
        </xdr:cNvPr>
        <xdr:cNvSpPr txBox="1"/>
      </xdr:nvSpPr>
      <xdr:spPr>
        <a:xfrm>
          <a:off x="924846" y="2895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11</xdr:row>
      <xdr:rowOff>0</xdr:rowOff>
    </xdr:from>
    <xdr:ext cx="65" cy="172227"/>
    <xdr:sp macro="" textlink="">
      <xdr:nvSpPr>
        <xdr:cNvPr id="75" name="CaixaDeTexto 74">
          <a:extLst>
            <a:ext uri="{FF2B5EF4-FFF2-40B4-BE49-F238E27FC236}">
              <a16:creationId xmlns:a16="http://schemas.microsoft.com/office/drawing/2014/main" id="{00000000-0008-0000-0900-00004B000000}"/>
            </a:ext>
          </a:extLst>
        </xdr:cNvPr>
        <xdr:cNvSpPr txBox="1"/>
      </xdr:nvSpPr>
      <xdr:spPr>
        <a:xfrm>
          <a:off x="924846" y="2895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84</xdr:row>
      <xdr:rowOff>0</xdr:rowOff>
    </xdr:from>
    <xdr:ext cx="93935" cy="172227"/>
    <mc:AlternateContent xmlns:mc="http://schemas.openxmlformats.org/markup-compatibility/2006" xmlns:a14="http://schemas.microsoft.com/office/drawing/2010/main">
      <mc:Choice Requires="a14">
        <xdr:sp macro="" textlink="">
          <xdr:nvSpPr>
            <xdr:cNvPr id="76" name="CaixaDeTexto 75">
              <a:extLst>
                <a:ext uri="{FF2B5EF4-FFF2-40B4-BE49-F238E27FC236}">
                  <a16:creationId xmlns:a16="http://schemas.microsoft.com/office/drawing/2014/main" id="{00000000-0008-0000-0900-00004C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76" name="CaixaDeTexto 75">
              <a:extLst>
                <a:ext uri="{FF2B5EF4-FFF2-40B4-BE49-F238E27FC236}">
                  <a16:creationId xmlns:a16="http://schemas.microsoft.com/office/drawing/2014/main" id="{00000000-0008-0000-0900-000002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84</xdr:row>
      <xdr:rowOff>0</xdr:rowOff>
    </xdr:from>
    <xdr:ext cx="93935" cy="172227"/>
    <mc:AlternateContent xmlns:mc="http://schemas.openxmlformats.org/markup-compatibility/2006" xmlns:a14="http://schemas.microsoft.com/office/drawing/2010/main">
      <mc:Choice Requires="a14">
        <xdr:sp macro="" textlink="">
          <xdr:nvSpPr>
            <xdr:cNvPr id="77" name="CaixaDeTexto 76">
              <a:extLst>
                <a:ext uri="{FF2B5EF4-FFF2-40B4-BE49-F238E27FC236}">
                  <a16:creationId xmlns:a16="http://schemas.microsoft.com/office/drawing/2014/main" id="{00000000-0008-0000-0900-00004D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77" name="CaixaDeTexto 76">
              <a:extLst>
                <a:ext uri="{FF2B5EF4-FFF2-40B4-BE49-F238E27FC236}">
                  <a16:creationId xmlns:a16="http://schemas.microsoft.com/office/drawing/2014/main" id="{00000000-0008-0000-0900-000004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84</xdr:row>
      <xdr:rowOff>0</xdr:rowOff>
    </xdr:from>
    <xdr:ext cx="65" cy="172227"/>
    <xdr:sp macro="" textlink="">
      <xdr:nvSpPr>
        <xdr:cNvPr id="80" name="CaixaDeTexto 79">
          <a:extLst>
            <a:ext uri="{FF2B5EF4-FFF2-40B4-BE49-F238E27FC236}">
              <a16:creationId xmlns:a16="http://schemas.microsoft.com/office/drawing/2014/main" id="{00000000-0008-0000-0900-000050000000}"/>
            </a:ext>
          </a:extLst>
        </xdr:cNvPr>
        <xdr:cNvSpPr txBox="1"/>
      </xdr:nvSpPr>
      <xdr:spPr>
        <a:xfrm>
          <a:off x="924846" y="308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84</xdr:row>
      <xdr:rowOff>0</xdr:rowOff>
    </xdr:from>
    <xdr:ext cx="65" cy="172227"/>
    <xdr:sp macro="" textlink="">
      <xdr:nvSpPr>
        <xdr:cNvPr id="81" name="CaixaDeTexto 80">
          <a:extLst>
            <a:ext uri="{FF2B5EF4-FFF2-40B4-BE49-F238E27FC236}">
              <a16:creationId xmlns:a16="http://schemas.microsoft.com/office/drawing/2014/main" id="{00000000-0008-0000-0900-000051000000}"/>
            </a:ext>
          </a:extLst>
        </xdr:cNvPr>
        <xdr:cNvSpPr txBox="1"/>
      </xdr:nvSpPr>
      <xdr:spPr>
        <a:xfrm>
          <a:off x="924846" y="308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84</xdr:row>
      <xdr:rowOff>0</xdr:rowOff>
    </xdr:from>
    <xdr:ext cx="93935" cy="172227"/>
    <mc:AlternateContent xmlns:mc="http://schemas.openxmlformats.org/markup-compatibility/2006" xmlns:a14="http://schemas.microsoft.com/office/drawing/2010/main">
      <mc:Choice Requires="a14">
        <xdr:sp macro="" textlink="">
          <xdr:nvSpPr>
            <xdr:cNvPr id="78" name="CaixaDeTexto 77">
              <a:extLst>
                <a:ext uri="{FF2B5EF4-FFF2-40B4-BE49-F238E27FC236}">
                  <a16:creationId xmlns:a16="http://schemas.microsoft.com/office/drawing/2014/main" id="{00000000-0008-0000-0900-00004E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78" name="CaixaDeTexto 77">
              <a:extLst>
                <a:ext uri="{FF2B5EF4-FFF2-40B4-BE49-F238E27FC236}">
                  <a16:creationId xmlns:a16="http://schemas.microsoft.com/office/drawing/2014/main" id="{00000000-0008-0000-0900-000002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84</xdr:row>
      <xdr:rowOff>0</xdr:rowOff>
    </xdr:from>
    <xdr:ext cx="93935" cy="172227"/>
    <mc:AlternateContent xmlns:mc="http://schemas.openxmlformats.org/markup-compatibility/2006" xmlns:a14="http://schemas.microsoft.com/office/drawing/2010/main">
      <mc:Choice Requires="a14">
        <xdr:sp macro="" textlink="">
          <xdr:nvSpPr>
            <xdr:cNvPr id="79" name="CaixaDeTexto 78">
              <a:extLst>
                <a:ext uri="{FF2B5EF4-FFF2-40B4-BE49-F238E27FC236}">
                  <a16:creationId xmlns:a16="http://schemas.microsoft.com/office/drawing/2014/main" id="{00000000-0008-0000-0900-00004F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79" name="CaixaDeTexto 78">
              <a:extLst>
                <a:ext uri="{FF2B5EF4-FFF2-40B4-BE49-F238E27FC236}">
                  <a16:creationId xmlns:a16="http://schemas.microsoft.com/office/drawing/2014/main" id="{00000000-0008-0000-0900-000004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84</xdr:row>
      <xdr:rowOff>0</xdr:rowOff>
    </xdr:from>
    <xdr:ext cx="93935" cy="172227"/>
    <mc:AlternateContent xmlns:mc="http://schemas.openxmlformats.org/markup-compatibility/2006" xmlns:a14="http://schemas.microsoft.com/office/drawing/2010/main">
      <mc:Choice Requires="a14">
        <xdr:sp macro="" textlink="">
          <xdr:nvSpPr>
            <xdr:cNvPr id="82" name="CaixaDeTexto 81">
              <a:extLst>
                <a:ext uri="{FF2B5EF4-FFF2-40B4-BE49-F238E27FC236}">
                  <a16:creationId xmlns:a16="http://schemas.microsoft.com/office/drawing/2014/main" id="{00000000-0008-0000-0900-000052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82" name="CaixaDeTexto 81">
              <a:extLst>
                <a:ext uri="{FF2B5EF4-FFF2-40B4-BE49-F238E27FC236}">
                  <a16:creationId xmlns:a16="http://schemas.microsoft.com/office/drawing/2014/main" id="{00000000-0008-0000-0900-000005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84</xdr:row>
      <xdr:rowOff>0</xdr:rowOff>
    </xdr:from>
    <xdr:ext cx="93935" cy="172227"/>
    <mc:AlternateContent xmlns:mc="http://schemas.openxmlformats.org/markup-compatibility/2006" xmlns:a14="http://schemas.microsoft.com/office/drawing/2010/main">
      <mc:Choice Requires="a14">
        <xdr:sp macro="" textlink="">
          <xdr:nvSpPr>
            <xdr:cNvPr id="83" name="CaixaDeTexto 82">
              <a:extLst>
                <a:ext uri="{FF2B5EF4-FFF2-40B4-BE49-F238E27FC236}">
                  <a16:creationId xmlns:a16="http://schemas.microsoft.com/office/drawing/2014/main" id="{00000000-0008-0000-0900-000053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83" name="CaixaDeTexto 82">
              <a:extLst>
                <a:ext uri="{FF2B5EF4-FFF2-40B4-BE49-F238E27FC236}">
                  <a16:creationId xmlns:a16="http://schemas.microsoft.com/office/drawing/2014/main" id="{00000000-0008-0000-0900-000006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84</xdr:row>
      <xdr:rowOff>0</xdr:rowOff>
    </xdr:from>
    <xdr:ext cx="65" cy="172227"/>
    <xdr:sp macro="" textlink="">
      <xdr:nvSpPr>
        <xdr:cNvPr id="84" name="CaixaDeTexto 83">
          <a:extLst>
            <a:ext uri="{FF2B5EF4-FFF2-40B4-BE49-F238E27FC236}">
              <a16:creationId xmlns:a16="http://schemas.microsoft.com/office/drawing/2014/main" id="{00000000-0008-0000-0900-000054000000}"/>
            </a:ext>
          </a:extLst>
        </xdr:cNvPr>
        <xdr:cNvSpPr txBox="1"/>
      </xdr:nvSpPr>
      <xdr:spPr>
        <a:xfrm>
          <a:off x="924846" y="308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84</xdr:row>
      <xdr:rowOff>0</xdr:rowOff>
    </xdr:from>
    <xdr:ext cx="65" cy="172227"/>
    <xdr:sp macro="" textlink="">
      <xdr:nvSpPr>
        <xdr:cNvPr id="85" name="CaixaDeTexto 84">
          <a:extLst>
            <a:ext uri="{FF2B5EF4-FFF2-40B4-BE49-F238E27FC236}">
              <a16:creationId xmlns:a16="http://schemas.microsoft.com/office/drawing/2014/main" id="{00000000-0008-0000-0900-000055000000}"/>
            </a:ext>
          </a:extLst>
        </xdr:cNvPr>
        <xdr:cNvSpPr txBox="1"/>
      </xdr:nvSpPr>
      <xdr:spPr>
        <a:xfrm>
          <a:off x="924846" y="308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33</xdr:row>
      <xdr:rowOff>0</xdr:rowOff>
    </xdr:from>
    <xdr:ext cx="93935" cy="172227"/>
    <mc:AlternateContent xmlns:mc="http://schemas.openxmlformats.org/markup-compatibility/2006" xmlns:a14="http://schemas.microsoft.com/office/drawing/2010/main">
      <mc:Choice Requires="a14">
        <xdr:sp macro="" textlink="">
          <xdr:nvSpPr>
            <xdr:cNvPr id="86" name="CaixaDeTexto 85">
              <a:extLst>
                <a:ext uri="{FF2B5EF4-FFF2-40B4-BE49-F238E27FC236}">
                  <a16:creationId xmlns:a16="http://schemas.microsoft.com/office/drawing/2014/main" id="{00000000-0008-0000-0900-000056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86" name="CaixaDeTexto 85">
              <a:extLst>
                <a:ext uri="{FF2B5EF4-FFF2-40B4-BE49-F238E27FC236}">
                  <a16:creationId xmlns:a16="http://schemas.microsoft.com/office/drawing/2014/main" id="{00000000-0008-0000-0900-000002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33</xdr:row>
      <xdr:rowOff>0</xdr:rowOff>
    </xdr:from>
    <xdr:ext cx="93935" cy="172227"/>
    <mc:AlternateContent xmlns:mc="http://schemas.openxmlformats.org/markup-compatibility/2006" xmlns:a14="http://schemas.microsoft.com/office/drawing/2010/main">
      <mc:Choice Requires="a14">
        <xdr:sp macro="" textlink="">
          <xdr:nvSpPr>
            <xdr:cNvPr id="87" name="CaixaDeTexto 86">
              <a:extLst>
                <a:ext uri="{FF2B5EF4-FFF2-40B4-BE49-F238E27FC236}">
                  <a16:creationId xmlns:a16="http://schemas.microsoft.com/office/drawing/2014/main" id="{00000000-0008-0000-0900-000057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87" name="CaixaDeTexto 86">
              <a:extLst>
                <a:ext uri="{FF2B5EF4-FFF2-40B4-BE49-F238E27FC236}">
                  <a16:creationId xmlns:a16="http://schemas.microsoft.com/office/drawing/2014/main" id="{00000000-0008-0000-0900-000004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33</xdr:row>
      <xdr:rowOff>0</xdr:rowOff>
    </xdr:from>
    <xdr:ext cx="93935" cy="172227"/>
    <mc:AlternateContent xmlns:mc="http://schemas.openxmlformats.org/markup-compatibility/2006" xmlns:a14="http://schemas.microsoft.com/office/drawing/2010/main">
      <mc:Choice Requires="a14">
        <xdr:sp macro="" textlink="">
          <xdr:nvSpPr>
            <xdr:cNvPr id="88" name="CaixaDeTexto 87">
              <a:extLst>
                <a:ext uri="{FF2B5EF4-FFF2-40B4-BE49-F238E27FC236}">
                  <a16:creationId xmlns:a16="http://schemas.microsoft.com/office/drawing/2014/main" id="{00000000-0008-0000-0900-000058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88" name="CaixaDeTexto 87">
              <a:extLst>
                <a:ext uri="{FF2B5EF4-FFF2-40B4-BE49-F238E27FC236}">
                  <a16:creationId xmlns:a16="http://schemas.microsoft.com/office/drawing/2014/main" id="{00000000-0008-0000-0900-000005000000}"/>
                </a:ext>
              </a:extLst>
            </xdr:cNvPr>
            <xdr:cNvSpPr txBox="1"/>
          </xdr:nvSpPr>
          <xdr:spPr>
            <a:xfrm>
              <a:off x="924846" y="3086100"/>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33</xdr:row>
      <xdr:rowOff>0</xdr:rowOff>
    </xdr:from>
    <xdr:ext cx="65" cy="172227"/>
    <xdr:sp macro="" textlink="">
      <xdr:nvSpPr>
        <xdr:cNvPr id="90" name="CaixaDeTexto 89">
          <a:extLst>
            <a:ext uri="{FF2B5EF4-FFF2-40B4-BE49-F238E27FC236}">
              <a16:creationId xmlns:a16="http://schemas.microsoft.com/office/drawing/2014/main" id="{00000000-0008-0000-0900-00005A000000}"/>
            </a:ext>
          </a:extLst>
        </xdr:cNvPr>
        <xdr:cNvSpPr txBox="1"/>
      </xdr:nvSpPr>
      <xdr:spPr>
        <a:xfrm>
          <a:off x="924846" y="308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33</xdr:row>
      <xdr:rowOff>0</xdr:rowOff>
    </xdr:from>
    <xdr:ext cx="65" cy="172227"/>
    <xdr:sp macro="" textlink="">
      <xdr:nvSpPr>
        <xdr:cNvPr id="91" name="CaixaDeTexto 90">
          <a:extLst>
            <a:ext uri="{FF2B5EF4-FFF2-40B4-BE49-F238E27FC236}">
              <a16:creationId xmlns:a16="http://schemas.microsoft.com/office/drawing/2014/main" id="{00000000-0008-0000-0900-00005B000000}"/>
            </a:ext>
          </a:extLst>
        </xdr:cNvPr>
        <xdr:cNvSpPr txBox="1"/>
      </xdr:nvSpPr>
      <xdr:spPr>
        <a:xfrm>
          <a:off x="924846" y="308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10</xdr:col>
      <xdr:colOff>73549</xdr:colOff>
      <xdr:row>0</xdr:row>
      <xdr:rowOff>0</xdr:rowOff>
    </xdr:from>
    <xdr:to>
      <xdr:col>12</xdr:col>
      <xdr:colOff>697701</xdr:colOff>
      <xdr:row>0</xdr:row>
      <xdr:rowOff>735585</xdr:rowOff>
    </xdr:to>
    <xdr:pic>
      <xdr:nvPicPr>
        <xdr:cNvPr id="92" name="Imagem 18" descr="G:\ourem 6.png">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7911830" y="0"/>
          <a:ext cx="2191809" cy="73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9920</xdr:colOff>
      <xdr:row>0</xdr:row>
      <xdr:rowOff>77114</xdr:rowOff>
    </xdr:from>
    <xdr:to>
      <xdr:col>1</xdr:col>
      <xdr:colOff>560062</xdr:colOff>
      <xdr:row>0</xdr:row>
      <xdr:rowOff>654327</xdr:rowOff>
    </xdr:to>
    <xdr:pic>
      <xdr:nvPicPr>
        <xdr:cNvPr id="93" name="Imagem 92">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92" y="77114"/>
          <a:ext cx="550142" cy="57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124746</xdr:colOff>
      <xdr:row>29</xdr:row>
      <xdr:rowOff>0</xdr:rowOff>
    </xdr:from>
    <xdr:ext cx="93935" cy="172227"/>
    <mc:AlternateContent xmlns:mc="http://schemas.openxmlformats.org/markup-compatibility/2006" xmlns:a14="http://schemas.microsoft.com/office/drawing/2010/main">
      <mc:Choice Requires="a14">
        <xdr:sp macro="" textlink="">
          <xdr:nvSpPr>
            <xdr:cNvPr id="94" name="CaixaDeTexto 93">
              <a:extLst>
                <a:ext uri="{FF2B5EF4-FFF2-40B4-BE49-F238E27FC236}">
                  <a16:creationId xmlns:a16="http://schemas.microsoft.com/office/drawing/2014/main" id="{00000000-0008-0000-0900-00005E000000}"/>
                </a:ext>
              </a:extLst>
            </xdr:cNvPr>
            <xdr:cNvSpPr txBox="1"/>
          </xdr:nvSpPr>
          <xdr:spPr>
            <a:xfrm>
              <a:off x="710137" y="3452813"/>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94" name="CaixaDeTexto 93">
              <a:extLst>
                <a:ext uri="{FF2B5EF4-FFF2-40B4-BE49-F238E27FC236}">
                  <a16:creationId xmlns:a16="http://schemas.microsoft.com/office/drawing/2014/main" id="{00000000-0008-0000-0900-000046000000}"/>
                </a:ext>
              </a:extLst>
            </xdr:cNvPr>
            <xdr:cNvSpPr txBox="1"/>
          </xdr:nvSpPr>
          <xdr:spPr>
            <a:xfrm>
              <a:off x="710137" y="3452813"/>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29</xdr:row>
      <xdr:rowOff>0</xdr:rowOff>
    </xdr:from>
    <xdr:ext cx="93935" cy="172227"/>
    <mc:AlternateContent xmlns:mc="http://schemas.openxmlformats.org/markup-compatibility/2006" xmlns:a14="http://schemas.microsoft.com/office/drawing/2010/main">
      <mc:Choice Requires="a14">
        <xdr:sp macro="" textlink="">
          <xdr:nvSpPr>
            <xdr:cNvPr id="95" name="CaixaDeTexto 94">
              <a:extLst>
                <a:ext uri="{FF2B5EF4-FFF2-40B4-BE49-F238E27FC236}">
                  <a16:creationId xmlns:a16="http://schemas.microsoft.com/office/drawing/2014/main" id="{00000000-0008-0000-0900-00005F000000}"/>
                </a:ext>
              </a:extLst>
            </xdr:cNvPr>
            <xdr:cNvSpPr txBox="1"/>
          </xdr:nvSpPr>
          <xdr:spPr>
            <a:xfrm>
              <a:off x="710137" y="3452813"/>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95" name="CaixaDeTexto 94">
              <a:extLst>
                <a:ext uri="{FF2B5EF4-FFF2-40B4-BE49-F238E27FC236}">
                  <a16:creationId xmlns:a16="http://schemas.microsoft.com/office/drawing/2014/main" id="{00000000-0008-0000-0900-000047000000}"/>
                </a:ext>
              </a:extLst>
            </xdr:cNvPr>
            <xdr:cNvSpPr txBox="1"/>
          </xdr:nvSpPr>
          <xdr:spPr>
            <a:xfrm>
              <a:off x="710137" y="3452813"/>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29</xdr:row>
      <xdr:rowOff>0</xdr:rowOff>
    </xdr:from>
    <xdr:ext cx="93935" cy="172227"/>
    <mc:AlternateContent xmlns:mc="http://schemas.openxmlformats.org/markup-compatibility/2006" xmlns:a14="http://schemas.microsoft.com/office/drawing/2010/main">
      <mc:Choice Requires="a14">
        <xdr:sp macro="" textlink="">
          <xdr:nvSpPr>
            <xdr:cNvPr id="96" name="CaixaDeTexto 95">
              <a:extLst>
                <a:ext uri="{FF2B5EF4-FFF2-40B4-BE49-F238E27FC236}">
                  <a16:creationId xmlns:a16="http://schemas.microsoft.com/office/drawing/2014/main" id="{00000000-0008-0000-0900-000060000000}"/>
                </a:ext>
              </a:extLst>
            </xdr:cNvPr>
            <xdr:cNvSpPr txBox="1"/>
          </xdr:nvSpPr>
          <xdr:spPr>
            <a:xfrm>
              <a:off x="710137" y="3452813"/>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96" name="CaixaDeTexto 95">
              <a:extLst>
                <a:ext uri="{FF2B5EF4-FFF2-40B4-BE49-F238E27FC236}">
                  <a16:creationId xmlns:a16="http://schemas.microsoft.com/office/drawing/2014/main" id="{00000000-0008-0000-0900-000048000000}"/>
                </a:ext>
              </a:extLst>
            </xdr:cNvPr>
            <xdr:cNvSpPr txBox="1"/>
          </xdr:nvSpPr>
          <xdr:spPr>
            <a:xfrm>
              <a:off x="710137" y="3452813"/>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29</xdr:row>
      <xdr:rowOff>0</xdr:rowOff>
    </xdr:from>
    <xdr:ext cx="93935" cy="172227"/>
    <mc:AlternateContent xmlns:mc="http://schemas.openxmlformats.org/markup-compatibility/2006" xmlns:a14="http://schemas.microsoft.com/office/drawing/2010/main">
      <mc:Choice Requires="a14">
        <xdr:sp macro="" textlink="">
          <xdr:nvSpPr>
            <xdr:cNvPr id="97" name="CaixaDeTexto 96">
              <a:extLst>
                <a:ext uri="{FF2B5EF4-FFF2-40B4-BE49-F238E27FC236}">
                  <a16:creationId xmlns:a16="http://schemas.microsoft.com/office/drawing/2014/main" id="{00000000-0008-0000-0900-000061000000}"/>
                </a:ext>
              </a:extLst>
            </xdr:cNvPr>
            <xdr:cNvSpPr txBox="1"/>
          </xdr:nvSpPr>
          <xdr:spPr>
            <a:xfrm>
              <a:off x="710137" y="3452813"/>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  </m:t>
                    </m:r>
                  </m:oMath>
                </m:oMathPara>
              </a14:m>
              <a:endParaRPr lang="pt-BR" sz="1100"/>
            </a:p>
          </xdr:txBody>
        </xdr:sp>
      </mc:Choice>
      <mc:Fallback xmlns="">
        <xdr:sp macro="" textlink="">
          <xdr:nvSpPr>
            <xdr:cNvPr id="97" name="CaixaDeTexto 96">
              <a:extLst>
                <a:ext uri="{FF2B5EF4-FFF2-40B4-BE49-F238E27FC236}">
                  <a16:creationId xmlns:a16="http://schemas.microsoft.com/office/drawing/2014/main" id="{00000000-0008-0000-0900-000049000000}"/>
                </a:ext>
              </a:extLst>
            </xdr:cNvPr>
            <xdr:cNvSpPr txBox="1"/>
          </xdr:nvSpPr>
          <xdr:spPr>
            <a:xfrm>
              <a:off x="710137" y="3452813"/>
              <a:ext cx="939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0" i="0">
                  <a:latin typeface="Cambria Math" panose="02040503050406030204" pitchFamily="18" charset="0"/>
                </a:rPr>
                <a:t>  </a:t>
              </a:r>
              <a:endParaRPr lang="pt-BR" sz="1100"/>
            </a:p>
          </xdr:txBody>
        </xdr:sp>
      </mc:Fallback>
    </mc:AlternateContent>
    <xdr:clientData/>
  </xdr:oneCellAnchor>
  <xdr:oneCellAnchor>
    <xdr:from>
      <xdr:col>1</xdr:col>
      <xdr:colOff>124746</xdr:colOff>
      <xdr:row>29</xdr:row>
      <xdr:rowOff>0</xdr:rowOff>
    </xdr:from>
    <xdr:ext cx="65" cy="172227"/>
    <xdr:sp macro="" textlink="">
      <xdr:nvSpPr>
        <xdr:cNvPr id="98" name="CaixaDeTexto 97">
          <a:extLst>
            <a:ext uri="{FF2B5EF4-FFF2-40B4-BE49-F238E27FC236}">
              <a16:creationId xmlns:a16="http://schemas.microsoft.com/office/drawing/2014/main" id="{00000000-0008-0000-0900-000062000000}"/>
            </a:ext>
          </a:extLst>
        </xdr:cNvPr>
        <xdr:cNvSpPr txBox="1"/>
      </xdr:nvSpPr>
      <xdr:spPr>
        <a:xfrm>
          <a:off x="710137" y="34528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124746</xdr:colOff>
      <xdr:row>29</xdr:row>
      <xdr:rowOff>0</xdr:rowOff>
    </xdr:from>
    <xdr:ext cx="65" cy="172227"/>
    <xdr:sp macro="" textlink="">
      <xdr:nvSpPr>
        <xdr:cNvPr id="99" name="CaixaDeTexto 98">
          <a:extLst>
            <a:ext uri="{FF2B5EF4-FFF2-40B4-BE49-F238E27FC236}">
              <a16:creationId xmlns:a16="http://schemas.microsoft.com/office/drawing/2014/main" id="{00000000-0008-0000-0900-000063000000}"/>
            </a:ext>
          </a:extLst>
        </xdr:cNvPr>
        <xdr:cNvSpPr txBox="1"/>
      </xdr:nvSpPr>
      <xdr:spPr>
        <a:xfrm>
          <a:off x="710137" y="34528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10</xdr:col>
      <xdr:colOff>263604</xdr:colOff>
      <xdr:row>0</xdr:row>
      <xdr:rowOff>9525</xdr:rowOff>
    </xdr:from>
    <xdr:to>
      <xdr:col>12</xdr:col>
      <xdr:colOff>501466</xdr:colOff>
      <xdr:row>0</xdr:row>
      <xdr:rowOff>745110</xdr:rowOff>
    </xdr:to>
    <xdr:pic>
      <xdr:nvPicPr>
        <xdr:cNvPr id="4" name="Imagem 18" descr="G:\ourem 6.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7674054" y="9525"/>
          <a:ext cx="1666612" cy="73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77112</xdr:rowOff>
    </xdr:from>
    <xdr:to>
      <xdr:col>1</xdr:col>
      <xdr:colOff>584934</xdr:colOff>
      <xdr:row>0</xdr:row>
      <xdr:rowOff>654325</xdr:rowOff>
    </xdr:to>
    <xdr:pic>
      <xdr:nvPicPr>
        <xdr:cNvPr id="5" name="Imagem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77112"/>
          <a:ext cx="546834" cy="57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47750</xdr:colOff>
      <xdr:row>0</xdr:row>
      <xdr:rowOff>10584</xdr:rowOff>
    </xdr:from>
    <xdr:to>
      <xdr:col>12</xdr:col>
      <xdr:colOff>592528</xdr:colOff>
      <xdr:row>0</xdr:row>
      <xdr:rowOff>746169</xdr:rowOff>
    </xdr:to>
    <xdr:pic>
      <xdr:nvPicPr>
        <xdr:cNvPr id="2" name="Imagem 18" descr="G:\ourem 6.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10"/>
        <a:stretch>
          <a:fillRect/>
        </a:stretch>
      </xdr:blipFill>
      <xdr:spPr bwMode="auto">
        <a:xfrm>
          <a:off x="7724900" y="10584"/>
          <a:ext cx="1973528" cy="73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539750</xdr:colOff>
      <xdr:row>0</xdr:row>
      <xdr:rowOff>87698</xdr:rowOff>
    </xdr:from>
    <xdr:to>
      <xdr:col>1</xdr:col>
      <xdr:colOff>504501</xdr:colOff>
      <xdr:row>0</xdr:row>
      <xdr:rowOff>664911</xdr:rowOff>
    </xdr:to>
    <xdr:pic>
      <xdr:nvPicPr>
        <xdr:cNvPr id="3" name="Imagem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750" y="87698"/>
          <a:ext cx="545776" cy="57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view="pageBreakPreview" zoomScale="80" zoomScaleNormal="100" zoomScaleSheetLayoutView="80" workbookViewId="0">
      <selection activeCell="B3" sqref="B3:D3"/>
    </sheetView>
  </sheetViews>
  <sheetFormatPr defaultRowHeight="15" x14ac:dyDescent="0.25"/>
  <cols>
    <col min="1" max="1" width="15.42578125" style="58" customWidth="1"/>
    <col min="2" max="2" width="12.85546875" style="58" customWidth="1"/>
    <col min="3" max="3" width="14.85546875" style="58" customWidth="1"/>
    <col min="4" max="4" width="35.28515625" style="58" customWidth="1"/>
    <col min="5" max="5" width="14.7109375" style="58" customWidth="1"/>
    <col min="6" max="6" width="13" style="58" customWidth="1"/>
    <col min="7" max="9" width="15.7109375" style="58" customWidth="1"/>
  </cols>
  <sheetData>
    <row r="1" spans="1:22" ht="60" customHeight="1" thickBot="1" x14ac:dyDescent="0.3">
      <c r="A1" s="405" t="str">
        <f>ORÇAMENTO!A1</f>
        <v>GOVERNO DO ESTADO DO PARÁ
PREFEITURA MUNICIPAL DE OURÉM
CNPJ 05.149.133/0001-48</v>
      </c>
      <c r="B1" s="406"/>
      <c r="C1" s="406"/>
      <c r="D1" s="406"/>
      <c r="E1" s="406"/>
      <c r="F1" s="406"/>
      <c r="G1" s="406"/>
      <c r="H1" s="406"/>
      <c r="I1" s="407"/>
      <c r="N1" s="20" t="s">
        <v>57</v>
      </c>
      <c r="O1" s="21"/>
      <c r="P1" s="21"/>
      <c r="Q1" s="21"/>
      <c r="R1" s="22"/>
      <c r="S1" s="23">
        <v>0.28820000000000001</v>
      </c>
      <c r="T1" s="23">
        <v>0.32779999999999998</v>
      </c>
      <c r="U1" s="23">
        <v>0.37090000000000001</v>
      </c>
    </row>
    <row r="2" spans="1:22" ht="20.25" customHeight="1" thickBot="1" x14ac:dyDescent="0.3">
      <c r="A2" s="323" t="s">
        <v>25</v>
      </c>
      <c r="B2" s="464" t="s">
        <v>189</v>
      </c>
      <c r="C2" s="464"/>
      <c r="D2" s="464"/>
      <c r="E2" s="467" t="s">
        <v>73</v>
      </c>
      <c r="F2" s="467"/>
      <c r="G2" s="395" t="s">
        <v>190</v>
      </c>
      <c r="H2" s="395"/>
      <c r="I2" s="396"/>
      <c r="N2" s="314"/>
      <c r="O2" s="314"/>
      <c r="P2" s="314"/>
      <c r="Q2" s="314"/>
      <c r="R2" s="315"/>
      <c r="S2" s="316"/>
      <c r="T2" s="316"/>
      <c r="U2" s="316"/>
    </row>
    <row r="3" spans="1:22" ht="34.5" customHeight="1" thickBot="1" x14ac:dyDescent="0.3">
      <c r="A3" s="308" t="s">
        <v>26</v>
      </c>
      <c r="B3" s="465" t="str">
        <f>ORÇAMENTO!C3</f>
        <v>RECONSTRUÇÃO DA PRAÇA PURAQUEQUARINHA NO MUNICÍPIO DE OURÉM/PA</v>
      </c>
      <c r="C3" s="465"/>
      <c r="D3" s="465"/>
      <c r="E3" s="403" t="s">
        <v>28</v>
      </c>
      <c r="F3" s="403"/>
      <c r="G3" s="397" t="s">
        <v>191</v>
      </c>
      <c r="H3" s="397"/>
      <c r="I3" s="398"/>
      <c r="N3" s="314"/>
      <c r="O3" s="314"/>
      <c r="P3" s="314"/>
      <c r="Q3" s="314"/>
      <c r="R3" s="315"/>
      <c r="S3" s="316"/>
      <c r="T3" s="316"/>
      <c r="U3" s="316"/>
    </row>
    <row r="4" spans="1:22" ht="30.75" thickBot="1" x14ac:dyDescent="0.3">
      <c r="A4" s="311" t="s">
        <v>27</v>
      </c>
      <c r="B4" s="466" t="str">
        <f>ORÇAMENTO!C4</f>
        <v>AV. PRINCIPAL, S/N, VILA PURAQUEQUARINHA, OURÉM, PA</v>
      </c>
      <c r="C4" s="466"/>
      <c r="D4" s="466"/>
      <c r="E4" s="403"/>
      <c r="F4" s="403"/>
      <c r="G4" s="397" t="s">
        <v>192</v>
      </c>
      <c r="H4" s="397"/>
      <c r="I4" s="398"/>
      <c r="N4" s="314"/>
      <c r="O4" s="314"/>
      <c r="P4" s="314"/>
      <c r="Q4" s="314"/>
      <c r="R4" s="315"/>
      <c r="S4" s="316"/>
      <c r="T4" s="316"/>
      <c r="U4" s="316"/>
    </row>
    <row r="5" spans="1:22" ht="15.75" thickBot="1" x14ac:dyDescent="0.3">
      <c r="A5" s="308" t="s">
        <v>187</v>
      </c>
      <c r="B5" s="463">
        <f>ORÇAMENTO!C5</f>
        <v>341934.37</v>
      </c>
      <c r="C5" s="463"/>
      <c r="D5" s="463"/>
      <c r="E5" s="404" t="s">
        <v>188</v>
      </c>
      <c r="F5" s="404"/>
      <c r="G5" s="399">
        <f>ORÇAMENTO!G5</f>
        <v>0.29769428939090381</v>
      </c>
      <c r="H5" s="399"/>
      <c r="I5" s="400"/>
      <c r="N5" s="314"/>
      <c r="O5" s="314"/>
      <c r="P5" s="314"/>
      <c r="Q5" s="314"/>
      <c r="R5" s="315"/>
      <c r="S5" s="316"/>
      <c r="T5" s="316"/>
      <c r="U5" s="316"/>
    </row>
    <row r="6" spans="1:22" ht="30.75" customHeight="1" thickBot="1" x14ac:dyDescent="0.3">
      <c r="A6" s="310" t="s">
        <v>29</v>
      </c>
      <c r="B6" s="436" t="s">
        <v>50</v>
      </c>
      <c r="C6" s="436"/>
      <c r="D6" s="436"/>
      <c r="E6" s="394" t="s">
        <v>30</v>
      </c>
      <c r="F6" s="394"/>
      <c r="G6" s="401" t="s">
        <v>193</v>
      </c>
      <c r="H6" s="401"/>
      <c r="I6" s="402"/>
      <c r="N6" s="314"/>
      <c r="O6" s="314"/>
      <c r="P6" s="314"/>
      <c r="Q6" s="314"/>
      <c r="R6" s="315"/>
      <c r="S6" s="316"/>
      <c r="T6" s="316"/>
      <c r="U6" s="316"/>
    </row>
    <row r="7" spans="1:22" ht="15.75" thickBot="1" x14ac:dyDescent="0.3">
      <c r="A7" s="313"/>
      <c r="N7" s="314"/>
      <c r="O7" s="314"/>
      <c r="P7" s="314"/>
      <c r="Q7" s="314"/>
      <c r="R7" s="315"/>
      <c r="S7" s="316"/>
      <c r="T7" s="316"/>
      <c r="U7" s="316"/>
    </row>
    <row r="8" spans="1:22" ht="15.75" thickBot="1" x14ac:dyDescent="0.3">
      <c r="A8" s="433"/>
      <c r="B8" s="434"/>
      <c r="C8" s="434"/>
      <c r="D8" s="434"/>
      <c r="E8" s="434"/>
      <c r="F8" s="434"/>
      <c r="G8" s="434"/>
      <c r="H8" s="434"/>
      <c r="I8" s="435"/>
      <c r="M8" s="24"/>
      <c r="N8" s="460" t="s">
        <v>33</v>
      </c>
      <c r="O8" s="461"/>
      <c r="P8" s="461"/>
      <c r="Q8" s="461"/>
      <c r="R8" s="462"/>
      <c r="S8" s="25">
        <v>3</v>
      </c>
      <c r="T8" s="26">
        <v>4</v>
      </c>
      <c r="U8" s="27">
        <v>5.5</v>
      </c>
    </row>
    <row r="9" spans="1:22" ht="15.75" thickBot="1" x14ac:dyDescent="0.3">
      <c r="A9" s="62" t="s">
        <v>31</v>
      </c>
      <c r="B9" s="409" t="s">
        <v>32</v>
      </c>
      <c r="C9" s="410"/>
      <c r="D9" s="410"/>
      <c r="E9" s="410"/>
      <c r="F9" s="410"/>
      <c r="G9" s="410"/>
      <c r="H9" s="411"/>
      <c r="I9" s="67"/>
      <c r="N9" s="457" t="s">
        <v>34</v>
      </c>
      <c r="O9" s="458"/>
      <c r="P9" s="458"/>
      <c r="Q9" s="458"/>
      <c r="R9" s="459"/>
      <c r="S9" s="28">
        <v>0.8</v>
      </c>
      <c r="T9" s="29">
        <v>0.8</v>
      </c>
      <c r="U9" s="30">
        <v>1</v>
      </c>
    </row>
    <row r="10" spans="1:22" x14ac:dyDescent="0.25">
      <c r="A10" s="61">
        <v>1</v>
      </c>
      <c r="B10" s="412" t="s">
        <v>33</v>
      </c>
      <c r="C10" s="413"/>
      <c r="D10" s="413"/>
      <c r="E10" s="413"/>
      <c r="F10" s="413"/>
      <c r="G10" s="413"/>
      <c r="H10" s="414"/>
      <c r="I10" s="66">
        <v>3.7999999999999999E-2</v>
      </c>
      <c r="N10" s="457" t="s">
        <v>35</v>
      </c>
      <c r="O10" s="458"/>
      <c r="P10" s="458"/>
      <c r="Q10" s="458"/>
      <c r="R10" s="459"/>
      <c r="S10" s="28">
        <v>0.97</v>
      </c>
      <c r="T10" s="29">
        <v>1.27</v>
      </c>
      <c r="U10" s="31">
        <v>1.27</v>
      </c>
    </row>
    <row r="11" spans="1:22" x14ac:dyDescent="0.25">
      <c r="A11" s="51">
        <v>2</v>
      </c>
      <c r="B11" s="415" t="s">
        <v>34</v>
      </c>
      <c r="C11" s="416"/>
      <c r="D11" s="416"/>
      <c r="E11" s="416"/>
      <c r="F11" s="416"/>
      <c r="G11" s="416"/>
      <c r="H11" s="417"/>
      <c r="I11" s="52">
        <v>3.2000000000000002E-3</v>
      </c>
      <c r="N11" s="457" t="s">
        <v>36</v>
      </c>
      <c r="O11" s="458"/>
      <c r="P11" s="458"/>
      <c r="Q11" s="458"/>
      <c r="R11" s="459"/>
      <c r="S11" s="28">
        <v>0.59</v>
      </c>
      <c r="T11" s="29">
        <v>1.23</v>
      </c>
      <c r="U11" s="30">
        <v>1.39</v>
      </c>
    </row>
    <row r="12" spans="1:22" x14ac:dyDescent="0.25">
      <c r="A12" s="51">
        <v>3</v>
      </c>
      <c r="B12" s="415" t="s">
        <v>35</v>
      </c>
      <c r="C12" s="416"/>
      <c r="D12" s="416"/>
      <c r="E12" s="416"/>
      <c r="F12" s="416"/>
      <c r="G12" s="416"/>
      <c r="H12" s="417"/>
      <c r="I12" s="53">
        <v>5.0000000000000001E-3</v>
      </c>
      <c r="N12" s="457" t="s">
        <v>38</v>
      </c>
      <c r="O12" s="458"/>
      <c r="P12" s="458"/>
      <c r="Q12" s="458"/>
      <c r="R12" s="459"/>
      <c r="S12" s="28">
        <v>6.16</v>
      </c>
      <c r="T12" s="29">
        <v>7.4</v>
      </c>
      <c r="U12" s="30">
        <v>8.9600000000000009</v>
      </c>
    </row>
    <row r="13" spans="1:22" x14ac:dyDescent="0.25">
      <c r="A13" s="51">
        <v>4</v>
      </c>
      <c r="B13" s="415" t="s">
        <v>36</v>
      </c>
      <c r="C13" s="416"/>
      <c r="D13" s="416"/>
      <c r="E13" s="416"/>
      <c r="F13" s="416"/>
      <c r="G13" s="416"/>
      <c r="H13" s="417"/>
      <c r="I13" s="52">
        <v>1.0200000000000001E-2</v>
      </c>
      <c r="N13" s="457" t="s">
        <v>37</v>
      </c>
      <c r="O13" s="458"/>
      <c r="P13" s="458"/>
      <c r="Q13" s="458"/>
      <c r="R13" s="459"/>
      <c r="S13" s="32">
        <v>13.15</v>
      </c>
      <c r="T13" s="33">
        <v>13.15</v>
      </c>
      <c r="U13" s="32">
        <v>13.15</v>
      </c>
      <c r="V13" s="34"/>
    </row>
    <row r="14" spans="1:22" x14ac:dyDescent="0.25">
      <c r="A14" s="51">
        <v>5</v>
      </c>
      <c r="B14" s="415" t="s">
        <v>37</v>
      </c>
      <c r="C14" s="416"/>
      <c r="D14" s="416"/>
      <c r="E14" s="416"/>
      <c r="F14" s="416"/>
      <c r="G14" s="416"/>
      <c r="H14" s="417"/>
      <c r="I14" s="52">
        <f>I21</f>
        <v>0.13150000000000001</v>
      </c>
    </row>
    <row r="15" spans="1:22" x14ac:dyDescent="0.25">
      <c r="A15" s="54">
        <v>6</v>
      </c>
      <c r="B15" s="418" t="s">
        <v>38</v>
      </c>
      <c r="C15" s="419"/>
      <c r="D15" s="419"/>
      <c r="E15" s="419"/>
      <c r="F15" s="419"/>
      <c r="G15" s="419"/>
      <c r="H15" s="420"/>
      <c r="I15" s="55">
        <v>6.6400000000000001E-2</v>
      </c>
    </row>
    <row r="16" spans="1:22" x14ac:dyDescent="0.25">
      <c r="A16" s="50" t="s">
        <v>31</v>
      </c>
      <c r="B16" s="421" t="s">
        <v>39</v>
      </c>
      <c r="C16" s="422"/>
      <c r="D16" s="422"/>
      <c r="E16" s="422"/>
      <c r="F16" s="422"/>
      <c r="G16" s="422"/>
      <c r="H16" s="423"/>
      <c r="I16" s="56"/>
    </row>
    <row r="17" spans="1:9" x14ac:dyDescent="0.25">
      <c r="A17" s="61" t="s">
        <v>20</v>
      </c>
      <c r="B17" s="424" t="s">
        <v>24</v>
      </c>
      <c r="C17" s="425"/>
      <c r="D17" s="425"/>
      <c r="E17" s="425"/>
      <c r="F17" s="425"/>
      <c r="G17" s="425"/>
      <c r="H17" s="426"/>
      <c r="I17" s="128">
        <v>0.05</v>
      </c>
    </row>
    <row r="18" spans="1:9" x14ac:dyDescent="0.25">
      <c r="A18" s="51" t="s">
        <v>13</v>
      </c>
      <c r="B18" s="427" t="s">
        <v>22</v>
      </c>
      <c r="C18" s="428"/>
      <c r="D18" s="428"/>
      <c r="E18" s="428"/>
      <c r="F18" s="428"/>
      <c r="G18" s="428"/>
      <c r="H18" s="429"/>
      <c r="I18" s="52">
        <v>6.4999999999999997E-3</v>
      </c>
    </row>
    <row r="19" spans="1:9" x14ac:dyDescent="0.25">
      <c r="A19" s="51" t="s">
        <v>21</v>
      </c>
      <c r="B19" s="427" t="s">
        <v>23</v>
      </c>
      <c r="C19" s="428"/>
      <c r="D19" s="428"/>
      <c r="E19" s="428"/>
      <c r="F19" s="428"/>
      <c r="G19" s="428"/>
      <c r="H19" s="429"/>
      <c r="I19" s="52">
        <v>0.03</v>
      </c>
    </row>
    <row r="20" spans="1:9" ht="15.75" thickBot="1" x14ac:dyDescent="0.3">
      <c r="A20" s="59" t="s">
        <v>40</v>
      </c>
      <c r="B20" s="430" t="s">
        <v>41</v>
      </c>
      <c r="C20" s="431"/>
      <c r="D20" s="431"/>
      <c r="E20" s="431"/>
      <c r="F20" s="431"/>
      <c r="G20" s="431"/>
      <c r="H20" s="432"/>
      <c r="I20" s="60">
        <v>4.4999999999999998E-2</v>
      </c>
    </row>
    <row r="21" spans="1:9" ht="15.75" thickBot="1" x14ac:dyDescent="0.3">
      <c r="A21" s="57"/>
      <c r="G21" s="408" t="s">
        <v>42</v>
      </c>
      <c r="H21" s="408"/>
      <c r="I21" s="35">
        <f>SUM(I17:I20)</f>
        <v>0.13150000000000001</v>
      </c>
    </row>
    <row r="22" spans="1:9" ht="15.75" thickBot="1" x14ac:dyDescent="0.3">
      <c r="A22" s="437" t="s">
        <v>43</v>
      </c>
      <c r="B22" s="437"/>
      <c r="C22" s="437"/>
      <c r="D22" s="437"/>
      <c r="E22" s="437"/>
      <c r="F22" s="437"/>
      <c r="G22" s="437"/>
      <c r="H22" s="437"/>
      <c r="I22" s="437"/>
    </row>
    <row r="23" spans="1:9" ht="54" customHeight="1" thickBot="1" x14ac:dyDescent="0.3">
      <c r="A23" s="438"/>
      <c r="B23" s="439"/>
      <c r="C23" s="439"/>
      <c r="D23" s="439"/>
      <c r="E23" s="439"/>
      <c r="F23" s="439"/>
      <c r="G23" s="439"/>
      <c r="H23" s="440"/>
      <c r="I23" s="36">
        <f>(((1+I10+I11+I12)*(1+I13)*(1+I15))/(1-I14))-1</f>
        <v>0.29769428939090381</v>
      </c>
    </row>
    <row r="24" spans="1:9" x14ac:dyDescent="0.25">
      <c r="A24" s="57"/>
      <c r="I24" s="10"/>
    </row>
    <row r="25" spans="1:9" x14ac:dyDescent="0.25">
      <c r="A25" s="11" t="s">
        <v>44</v>
      </c>
      <c r="B25" s="12"/>
      <c r="C25" s="12"/>
      <c r="D25" s="12"/>
      <c r="E25" s="12"/>
      <c r="F25" s="12"/>
      <c r="G25" s="12"/>
      <c r="H25" s="12"/>
      <c r="I25" s="13"/>
    </row>
    <row r="26" spans="1:9" ht="16.5" customHeight="1" x14ac:dyDescent="0.25">
      <c r="A26" s="441" t="s">
        <v>79</v>
      </c>
      <c r="B26" s="442"/>
      <c r="C26" s="442"/>
      <c r="D26" s="442"/>
      <c r="E26" s="442"/>
      <c r="F26" s="442"/>
      <c r="G26" s="442"/>
      <c r="H26" s="442"/>
      <c r="I26" s="443"/>
    </row>
    <row r="27" spans="1:9" x14ac:dyDescent="0.25">
      <c r="A27" s="441" t="s">
        <v>45</v>
      </c>
      <c r="B27" s="442"/>
      <c r="C27" s="442"/>
      <c r="D27" s="442"/>
      <c r="E27" s="442"/>
      <c r="F27" s="442"/>
      <c r="G27" s="442"/>
      <c r="H27" s="442"/>
      <c r="I27" s="443"/>
    </row>
    <row r="28" spans="1:9" x14ac:dyDescent="0.25">
      <c r="A28" s="444" t="s">
        <v>46</v>
      </c>
      <c r="B28" s="444"/>
      <c r="C28" s="444"/>
      <c r="D28" s="444"/>
      <c r="E28" s="444"/>
      <c r="F28" s="444"/>
      <c r="G28" s="444"/>
      <c r="H28" s="444"/>
      <c r="I28" s="444"/>
    </row>
    <row r="29" spans="1:9" ht="22.5" customHeight="1" x14ac:dyDescent="0.25">
      <c r="A29" s="448" t="s">
        <v>47</v>
      </c>
      <c r="B29" s="449"/>
      <c r="C29" s="449"/>
      <c r="D29" s="449"/>
      <c r="E29" s="449"/>
      <c r="F29" s="449"/>
      <c r="G29" s="449"/>
      <c r="H29" s="449"/>
      <c r="I29" s="450"/>
    </row>
    <row r="30" spans="1:9" ht="27.75" customHeight="1" x14ac:dyDescent="0.25">
      <c r="A30" s="441" t="s">
        <v>48</v>
      </c>
      <c r="B30" s="442"/>
      <c r="C30" s="442"/>
      <c r="D30" s="442"/>
      <c r="E30" s="442"/>
      <c r="F30" s="442"/>
      <c r="G30" s="442"/>
      <c r="H30" s="442"/>
      <c r="I30" s="443"/>
    </row>
    <row r="31" spans="1:9" ht="15.75" thickBot="1" x14ac:dyDescent="0.3">
      <c r="A31" s="63"/>
      <c r="B31" s="64"/>
      <c r="C31" s="64"/>
      <c r="D31" s="64"/>
      <c r="E31" s="64"/>
      <c r="F31" s="64"/>
      <c r="G31" s="64"/>
      <c r="H31" s="64"/>
      <c r="I31" s="65"/>
    </row>
    <row r="33" spans="1:9" x14ac:dyDescent="0.25">
      <c r="A33" s="451"/>
      <c r="B33" s="452"/>
      <c r="C33" s="452"/>
      <c r="D33" s="452"/>
      <c r="E33" s="452"/>
      <c r="F33" s="452"/>
      <c r="G33" s="452"/>
      <c r="H33" s="452"/>
      <c r="I33" s="453"/>
    </row>
    <row r="34" spans="1:9" x14ac:dyDescent="0.25">
      <c r="A34" s="117"/>
      <c r="B34" s="118"/>
      <c r="C34" s="118"/>
      <c r="D34" s="118"/>
      <c r="E34" s="118"/>
      <c r="F34" s="118"/>
      <c r="G34" s="118"/>
      <c r="H34" s="118"/>
      <c r="I34" s="119"/>
    </row>
    <row r="35" spans="1:9" x14ac:dyDescent="0.25">
      <c r="A35" s="117"/>
      <c r="B35" s="118"/>
      <c r="C35" s="118"/>
      <c r="D35" s="118"/>
      <c r="E35" s="118"/>
      <c r="F35" s="118"/>
      <c r="G35" s="118"/>
      <c r="H35" s="118"/>
      <c r="I35" s="119"/>
    </row>
    <row r="36" spans="1:9" x14ac:dyDescent="0.25">
      <c r="A36" s="454" t="s">
        <v>49</v>
      </c>
      <c r="B36" s="455"/>
      <c r="C36" s="455"/>
      <c r="D36" s="455"/>
      <c r="E36" s="455"/>
      <c r="F36" s="455"/>
      <c r="G36" s="455"/>
      <c r="H36" s="455"/>
      <c r="I36" s="456"/>
    </row>
    <row r="37" spans="1:9" x14ac:dyDescent="0.25">
      <c r="A37" s="454" t="s">
        <v>50</v>
      </c>
      <c r="B37" s="455"/>
      <c r="C37" s="455"/>
      <c r="D37" s="455"/>
      <c r="E37" s="455"/>
      <c r="F37" s="455"/>
      <c r="G37" s="455"/>
      <c r="H37" s="455"/>
      <c r="I37" s="456"/>
    </row>
    <row r="38" spans="1:9" x14ac:dyDescent="0.25">
      <c r="A38" s="445" t="s">
        <v>145</v>
      </c>
      <c r="B38" s="446"/>
      <c r="C38" s="446"/>
      <c r="D38" s="446"/>
      <c r="E38" s="446"/>
      <c r="F38" s="446"/>
      <c r="G38" s="446"/>
      <c r="H38" s="446"/>
      <c r="I38" s="447"/>
    </row>
  </sheetData>
  <mergeCells count="46">
    <mergeCell ref="B5:D5"/>
    <mergeCell ref="B2:D2"/>
    <mergeCell ref="B3:D3"/>
    <mergeCell ref="B4:D4"/>
    <mergeCell ref="E2:F2"/>
    <mergeCell ref="N13:R13"/>
    <mergeCell ref="N8:R8"/>
    <mergeCell ref="N9:R9"/>
    <mergeCell ref="N10:R10"/>
    <mergeCell ref="N11:R11"/>
    <mergeCell ref="N12:R12"/>
    <mergeCell ref="A38:I38"/>
    <mergeCell ref="A29:I29"/>
    <mergeCell ref="A30:I30"/>
    <mergeCell ref="A33:I33"/>
    <mergeCell ref="A36:I36"/>
    <mergeCell ref="A37:I37"/>
    <mergeCell ref="A22:I22"/>
    <mergeCell ref="A23:H23"/>
    <mergeCell ref="A26:I26"/>
    <mergeCell ref="A27:I27"/>
    <mergeCell ref="A28:I28"/>
    <mergeCell ref="A1:I1"/>
    <mergeCell ref="G21:H21"/>
    <mergeCell ref="B9:H9"/>
    <mergeCell ref="B10:H10"/>
    <mergeCell ref="B11:H11"/>
    <mergeCell ref="B12:H12"/>
    <mergeCell ref="B13:H13"/>
    <mergeCell ref="B14:H14"/>
    <mergeCell ref="B15:H15"/>
    <mergeCell ref="B16:H16"/>
    <mergeCell ref="B17:H17"/>
    <mergeCell ref="B18:H18"/>
    <mergeCell ref="B19:H19"/>
    <mergeCell ref="B20:H20"/>
    <mergeCell ref="A8:I8"/>
    <mergeCell ref="B6:D6"/>
    <mergeCell ref="E6:F6"/>
    <mergeCell ref="G2:I2"/>
    <mergeCell ref="G3:I3"/>
    <mergeCell ref="G4:I4"/>
    <mergeCell ref="G5:I5"/>
    <mergeCell ref="G6:I6"/>
    <mergeCell ref="E3:F4"/>
    <mergeCell ref="E5:F5"/>
  </mergeCells>
  <pageMargins left="0.25" right="0.25" top="0.75" bottom="0.75" header="0.3" footer="0.3"/>
  <pageSetup paperSize="9" scale="65"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40"/>
  <sheetViews>
    <sheetView view="pageBreakPreview" zoomScale="85" zoomScaleNormal="100" zoomScaleSheetLayoutView="85" workbookViewId="0">
      <selection activeCell="G33" sqref="G33"/>
    </sheetView>
  </sheetViews>
  <sheetFormatPr defaultRowHeight="12.75" x14ac:dyDescent="0.2"/>
  <cols>
    <col min="1" max="1" width="15.7109375" style="7" customWidth="1"/>
    <col min="2" max="2" width="37.42578125" style="6" customWidth="1"/>
    <col min="3" max="3" width="23.7109375" style="6" customWidth="1"/>
    <col min="4" max="4" width="18.140625" style="6" customWidth="1"/>
    <col min="5" max="5" width="17.5703125" style="6" customWidth="1"/>
    <col min="6" max="6" width="19.5703125" style="6" customWidth="1"/>
    <col min="7" max="7" width="24.5703125" style="6" customWidth="1"/>
    <col min="8" max="253" width="9.140625" style="6"/>
    <col min="254" max="254" width="52.28515625" style="6" bestFit="1" customWidth="1"/>
    <col min="255" max="255" width="17.7109375" style="6" customWidth="1"/>
    <col min="256" max="261" width="12.85546875" style="6" customWidth="1"/>
    <col min="262" max="509" width="9.140625" style="6"/>
    <col min="510" max="510" width="52.28515625" style="6" bestFit="1" customWidth="1"/>
    <col min="511" max="511" width="17.7109375" style="6" customWidth="1"/>
    <col min="512" max="517" width="12.85546875" style="6" customWidth="1"/>
    <col min="518" max="765" width="9.140625" style="6"/>
    <col min="766" max="766" width="52.28515625" style="6" bestFit="1" customWidth="1"/>
    <col min="767" max="767" width="17.7109375" style="6" customWidth="1"/>
    <col min="768" max="773" width="12.85546875" style="6" customWidth="1"/>
    <col min="774" max="1021" width="9.140625" style="6"/>
    <col min="1022" max="1022" width="52.28515625" style="6" bestFit="1" customWidth="1"/>
    <col min="1023" max="1023" width="17.7109375" style="6" customWidth="1"/>
    <col min="1024" max="1029" width="12.85546875" style="6" customWidth="1"/>
    <col min="1030" max="1277" width="9.140625" style="6"/>
    <col min="1278" max="1278" width="52.28515625" style="6" bestFit="1" customWidth="1"/>
    <col min="1279" max="1279" width="17.7109375" style="6" customWidth="1"/>
    <col min="1280" max="1285" width="12.85546875" style="6" customWidth="1"/>
    <col min="1286" max="1533" width="9.140625" style="6"/>
    <col min="1534" max="1534" width="52.28515625" style="6" bestFit="1" customWidth="1"/>
    <col min="1535" max="1535" width="17.7109375" style="6" customWidth="1"/>
    <col min="1536" max="1541" width="12.85546875" style="6" customWidth="1"/>
    <col min="1542" max="1789" width="9.140625" style="6"/>
    <col min="1790" max="1790" width="52.28515625" style="6" bestFit="1" customWidth="1"/>
    <col min="1791" max="1791" width="17.7109375" style="6" customWidth="1"/>
    <col min="1792" max="1797" width="12.85546875" style="6" customWidth="1"/>
    <col min="1798" max="2045" width="9.140625" style="6"/>
    <col min="2046" max="2046" width="52.28515625" style="6" bestFit="1" customWidth="1"/>
    <col min="2047" max="2047" width="17.7109375" style="6" customWidth="1"/>
    <col min="2048" max="2053" width="12.85546875" style="6" customWidth="1"/>
    <col min="2054" max="2301" width="9.140625" style="6"/>
    <col min="2302" max="2302" width="52.28515625" style="6" bestFit="1" customWidth="1"/>
    <col min="2303" max="2303" width="17.7109375" style="6" customWidth="1"/>
    <col min="2304" max="2309" width="12.85546875" style="6" customWidth="1"/>
    <col min="2310" max="2557" width="9.140625" style="6"/>
    <col min="2558" max="2558" width="52.28515625" style="6" bestFit="1" customWidth="1"/>
    <col min="2559" max="2559" width="17.7109375" style="6" customWidth="1"/>
    <col min="2560" max="2565" width="12.85546875" style="6" customWidth="1"/>
    <col min="2566" max="2813" width="9.140625" style="6"/>
    <col min="2814" max="2814" width="52.28515625" style="6" bestFit="1" customWidth="1"/>
    <col min="2815" max="2815" width="17.7109375" style="6" customWidth="1"/>
    <col min="2816" max="2821" width="12.85546875" style="6" customWidth="1"/>
    <col min="2822" max="3069" width="9.140625" style="6"/>
    <col min="3070" max="3070" width="52.28515625" style="6" bestFit="1" customWidth="1"/>
    <col min="3071" max="3071" width="17.7109375" style="6" customWidth="1"/>
    <col min="3072" max="3077" width="12.85546875" style="6" customWidth="1"/>
    <col min="3078" max="3325" width="9.140625" style="6"/>
    <col min="3326" max="3326" width="52.28515625" style="6" bestFit="1" customWidth="1"/>
    <col min="3327" max="3327" width="17.7109375" style="6" customWidth="1"/>
    <col min="3328" max="3333" width="12.85546875" style="6" customWidth="1"/>
    <col min="3334" max="3581" width="9.140625" style="6"/>
    <col min="3582" max="3582" width="52.28515625" style="6" bestFit="1" customWidth="1"/>
    <col min="3583" max="3583" width="17.7109375" style="6" customWidth="1"/>
    <col min="3584" max="3589" width="12.85546875" style="6" customWidth="1"/>
    <col min="3590" max="3837" width="9.140625" style="6"/>
    <col min="3838" max="3838" width="52.28515625" style="6" bestFit="1" customWidth="1"/>
    <col min="3839" max="3839" width="17.7109375" style="6" customWidth="1"/>
    <col min="3840" max="3845" width="12.85546875" style="6" customWidth="1"/>
    <col min="3846" max="4093" width="9.140625" style="6"/>
    <col min="4094" max="4094" width="52.28515625" style="6" bestFit="1" customWidth="1"/>
    <col min="4095" max="4095" width="17.7109375" style="6" customWidth="1"/>
    <col min="4096" max="4101" width="12.85546875" style="6" customWidth="1"/>
    <col min="4102" max="4349" width="9.140625" style="6"/>
    <col min="4350" max="4350" width="52.28515625" style="6" bestFit="1" customWidth="1"/>
    <col min="4351" max="4351" width="17.7109375" style="6" customWidth="1"/>
    <col min="4352" max="4357" width="12.85546875" style="6" customWidth="1"/>
    <col min="4358" max="4605" width="9.140625" style="6"/>
    <col min="4606" max="4606" width="52.28515625" style="6" bestFit="1" customWidth="1"/>
    <col min="4607" max="4607" width="17.7109375" style="6" customWidth="1"/>
    <col min="4608" max="4613" width="12.85546875" style="6" customWidth="1"/>
    <col min="4614" max="4861" width="9.140625" style="6"/>
    <col min="4862" max="4862" width="52.28515625" style="6" bestFit="1" customWidth="1"/>
    <col min="4863" max="4863" width="17.7109375" style="6" customWidth="1"/>
    <col min="4864" max="4869" width="12.85546875" style="6" customWidth="1"/>
    <col min="4870" max="5117" width="9.140625" style="6"/>
    <col min="5118" max="5118" width="52.28515625" style="6" bestFit="1" customWidth="1"/>
    <col min="5119" max="5119" width="17.7109375" style="6" customWidth="1"/>
    <col min="5120" max="5125" width="12.85546875" style="6" customWidth="1"/>
    <col min="5126" max="5373" width="9.140625" style="6"/>
    <col min="5374" max="5374" width="52.28515625" style="6" bestFit="1" customWidth="1"/>
    <col min="5375" max="5375" width="17.7109375" style="6" customWidth="1"/>
    <col min="5376" max="5381" width="12.85546875" style="6" customWidth="1"/>
    <col min="5382" max="5629" width="9.140625" style="6"/>
    <col min="5630" max="5630" width="52.28515625" style="6" bestFit="1" customWidth="1"/>
    <col min="5631" max="5631" width="17.7109375" style="6" customWidth="1"/>
    <col min="5632" max="5637" width="12.85546875" style="6" customWidth="1"/>
    <col min="5638" max="5885" width="9.140625" style="6"/>
    <col min="5886" max="5886" width="52.28515625" style="6" bestFit="1" customWidth="1"/>
    <col min="5887" max="5887" width="17.7109375" style="6" customWidth="1"/>
    <col min="5888" max="5893" width="12.85546875" style="6" customWidth="1"/>
    <col min="5894" max="6141" width="9.140625" style="6"/>
    <col min="6142" max="6142" width="52.28515625" style="6" bestFit="1" customWidth="1"/>
    <col min="6143" max="6143" width="17.7109375" style="6" customWidth="1"/>
    <col min="6144" max="6149" width="12.85546875" style="6" customWidth="1"/>
    <col min="6150" max="6397" width="9.140625" style="6"/>
    <col min="6398" max="6398" width="52.28515625" style="6" bestFit="1" customWidth="1"/>
    <col min="6399" max="6399" width="17.7109375" style="6" customWidth="1"/>
    <col min="6400" max="6405" width="12.85546875" style="6" customWidth="1"/>
    <col min="6406" max="6653" width="9.140625" style="6"/>
    <col min="6654" max="6654" width="52.28515625" style="6" bestFit="1" customWidth="1"/>
    <col min="6655" max="6655" width="17.7109375" style="6" customWidth="1"/>
    <col min="6656" max="6661" width="12.85546875" style="6" customWidth="1"/>
    <col min="6662" max="6909" width="9.140625" style="6"/>
    <col min="6910" max="6910" width="52.28515625" style="6" bestFit="1" customWidth="1"/>
    <col min="6911" max="6911" width="17.7109375" style="6" customWidth="1"/>
    <col min="6912" max="6917" width="12.85546875" style="6" customWidth="1"/>
    <col min="6918" max="7165" width="9.140625" style="6"/>
    <col min="7166" max="7166" width="52.28515625" style="6" bestFit="1" customWidth="1"/>
    <col min="7167" max="7167" width="17.7109375" style="6" customWidth="1"/>
    <col min="7168" max="7173" width="12.85546875" style="6" customWidth="1"/>
    <col min="7174" max="7421" width="9.140625" style="6"/>
    <col min="7422" max="7422" width="52.28515625" style="6" bestFit="1" customWidth="1"/>
    <col min="7423" max="7423" width="17.7109375" style="6" customWidth="1"/>
    <col min="7424" max="7429" width="12.85546875" style="6" customWidth="1"/>
    <col min="7430" max="7677" width="9.140625" style="6"/>
    <col min="7678" max="7678" width="52.28515625" style="6" bestFit="1" customWidth="1"/>
    <col min="7679" max="7679" width="17.7109375" style="6" customWidth="1"/>
    <col min="7680" max="7685" width="12.85546875" style="6" customWidth="1"/>
    <col min="7686" max="7933" width="9.140625" style="6"/>
    <col min="7934" max="7934" width="52.28515625" style="6" bestFit="1" customWidth="1"/>
    <col min="7935" max="7935" width="17.7109375" style="6" customWidth="1"/>
    <col min="7936" max="7941" width="12.85546875" style="6" customWidth="1"/>
    <col min="7942" max="8189" width="9.140625" style="6"/>
    <col min="8190" max="8190" width="52.28515625" style="6" bestFit="1" customWidth="1"/>
    <col min="8191" max="8191" width="17.7109375" style="6" customWidth="1"/>
    <col min="8192" max="8197" width="12.85546875" style="6" customWidth="1"/>
    <col min="8198" max="8445" width="9.140625" style="6"/>
    <col min="8446" max="8446" width="52.28515625" style="6" bestFit="1" customWidth="1"/>
    <col min="8447" max="8447" width="17.7109375" style="6" customWidth="1"/>
    <col min="8448" max="8453" width="12.85546875" style="6" customWidth="1"/>
    <col min="8454" max="8701" width="9.140625" style="6"/>
    <col min="8702" max="8702" width="52.28515625" style="6" bestFit="1" customWidth="1"/>
    <col min="8703" max="8703" width="17.7109375" style="6" customWidth="1"/>
    <col min="8704" max="8709" width="12.85546875" style="6" customWidth="1"/>
    <col min="8710" max="8957" width="9.140625" style="6"/>
    <col min="8958" max="8958" width="52.28515625" style="6" bestFit="1" customWidth="1"/>
    <col min="8959" max="8959" width="17.7109375" style="6" customWidth="1"/>
    <col min="8960" max="8965" width="12.85546875" style="6" customWidth="1"/>
    <col min="8966" max="9213" width="9.140625" style="6"/>
    <col min="9214" max="9214" width="52.28515625" style="6" bestFit="1" customWidth="1"/>
    <col min="9215" max="9215" width="17.7109375" style="6" customWidth="1"/>
    <col min="9216" max="9221" width="12.85546875" style="6" customWidth="1"/>
    <col min="9222" max="9469" width="9.140625" style="6"/>
    <col min="9470" max="9470" width="52.28515625" style="6" bestFit="1" customWidth="1"/>
    <col min="9471" max="9471" width="17.7109375" style="6" customWidth="1"/>
    <col min="9472" max="9477" width="12.85546875" style="6" customWidth="1"/>
    <col min="9478" max="9725" width="9.140625" style="6"/>
    <col min="9726" max="9726" width="52.28515625" style="6" bestFit="1" customWidth="1"/>
    <col min="9727" max="9727" width="17.7109375" style="6" customWidth="1"/>
    <col min="9728" max="9733" width="12.85546875" style="6" customWidth="1"/>
    <col min="9734" max="9981" width="9.140625" style="6"/>
    <col min="9982" max="9982" width="52.28515625" style="6" bestFit="1" customWidth="1"/>
    <col min="9983" max="9983" width="17.7109375" style="6" customWidth="1"/>
    <col min="9984" max="9989" width="12.85546875" style="6" customWidth="1"/>
    <col min="9990" max="10237" width="9.140625" style="6"/>
    <col min="10238" max="10238" width="52.28515625" style="6" bestFit="1" customWidth="1"/>
    <col min="10239" max="10239" width="17.7109375" style="6" customWidth="1"/>
    <col min="10240" max="10245" width="12.85546875" style="6" customWidth="1"/>
    <col min="10246" max="10493" width="9.140625" style="6"/>
    <col min="10494" max="10494" width="52.28515625" style="6" bestFit="1" customWidth="1"/>
    <col min="10495" max="10495" width="17.7109375" style="6" customWidth="1"/>
    <col min="10496" max="10501" width="12.85546875" style="6" customWidth="1"/>
    <col min="10502" max="10749" width="9.140625" style="6"/>
    <col min="10750" max="10750" width="52.28515625" style="6" bestFit="1" customWidth="1"/>
    <col min="10751" max="10751" width="17.7109375" style="6" customWidth="1"/>
    <col min="10752" max="10757" width="12.85546875" style="6" customWidth="1"/>
    <col min="10758" max="11005" width="9.140625" style="6"/>
    <col min="11006" max="11006" width="52.28515625" style="6" bestFit="1" customWidth="1"/>
    <col min="11007" max="11007" width="17.7109375" style="6" customWidth="1"/>
    <col min="11008" max="11013" width="12.85546875" style="6" customWidth="1"/>
    <col min="11014" max="11261" width="9.140625" style="6"/>
    <col min="11262" max="11262" width="52.28515625" style="6" bestFit="1" customWidth="1"/>
    <col min="11263" max="11263" width="17.7109375" style="6" customWidth="1"/>
    <col min="11264" max="11269" width="12.85546875" style="6" customWidth="1"/>
    <col min="11270" max="11517" width="9.140625" style="6"/>
    <col min="11518" max="11518" width="52.28515625" style="6" bestFit="1" customWidth="1"/>
    <col min="11519" max="11519" width="17.7109375" style="6" customWidth="1"/>
    <col min="11520" max="11525" width="12.85546875" style="6" customWidth="1"/>
    <col min="11526" max="11773" width="9.140625" style="6"/>
    <col min="11774" max="11774" width="52.28515625" style="6" bestFit="1" customWidth="1"/>
    <col min="11775" max="11775" width="17.7109375" style="6" customWidth="1"/>
    <col min="11776" max="11781" width="12.85546875" style="6" customWidth="1"/>
    <col min="11782" max="12029" width="9.140625" style="6"/>
    <col min="12030" max="12030" width="52.28515625" style="6" bestFit="1" customWidth="1"/>
    <col min="12031" max="12031" width="17.7109375" style="6" customWidth="1"/>
    <col min="12032" max="12037" width="12.85546875" style="6" customWidth="1"/>
    <col min="12038" max="12285" width="9.140625" style="6"/>
    <col min="12286" max="12286" width="52.28515625" style="6" bestFit="1" customWidth="1"/>
    <col min="12287" max="12287" width="17.7109375" style="6" customWidth="1"/>
    <col min="12288" max="12293" width="12.85546875" style="6" customWidth="1"/>
    <col min="12294" max="12541" width="9.140625" style="6"/>
    <col min="12542" max="12542" width="52.28515625" style="6" bestFit="1" customWidth="1"/>
    <col min="12543" max="12543" width="17.7109375" style="6" customWidth="1"/>
    <col min="12544" max="12549" width="12.85546875" style="6" customWidth="1"/>
    <col min="12550" max="12797" width="9.140625" style="6"/>
    <col min="12798" max="12798" width="52.28515625" style="6" bestFit="1" customWidth="1"/>
    <col min="12799" max="12799" width="17.7109375" style="6" customWidth="1"/>
    <col min="12800" max="12805" width="12.85546875" style="6" customWidth="1"/>
    <col min="12806" max="13053" width="9.140625" style="6"/>
    <col min="13054" max="13054" width="52.28515625" style="6" bestFit="1" customWidth="1"/>
    <col min="13055" max="13055" width="17.7109375" style="6" customWidth="1"/>
    <col min="13056" max="13061" width="12.85546875" style="6" customWidth="1"/>
    <col min="13062" max="13309" width="9.140625" style="6"/>
    <col min="13310" max="13310" width="52.28515625" style="6" bestFit="1" customWidth="1"/>
    <col min="13311" max="13311" width="17.7109375" style="6" customWidth="1"/>
    <col min="13312" max="13317" width="12.85546875" style="6" customWidth="1"/>
    <col min="13318" max="13565" width="9.140625" style="6"/>
    <col min="13566" max="13566" width="52.28515625" style="6" bestFit="1" customWidth="1"/>
    <col min="13567" max="13567" width="17.7109375" style="6" customWidth="1"/>
    <col min="13568" max="13573" width="12.85546875" style="6" customWidth="1"/>
    <col min="13574" max="13821" width="9.140625" style="6"/>
    <col min="13822" max="13822" width="52.28515625" style="6" bestFit="1" customWidth="1"/>
    <col min="13823" max="13823" width="17.7109375" style="6" customWidth="1"/>
    <col min="13824" max="13829" width="12.85546875" style="6" customWidth="1"/>
    <col min="13830" max="14077" width="9.140625" style="6"/>
    <col min="14078" max="14078" width="52.28515625" style="6" bestFit="1" customWidth="1"/>
    <col min="14079" max="14079" width="17.7109375" style="6" customWidth="1"/>
    <col min="14080" max="14085" width="12.85546875" style="6" customWidth="1"/>
    <col min="14086" max="14333" width="9.140625" style="6"/>
    <col min="14334" max="14334" width="52.28515625" style="6" bestFit="1" customWidth="1"/>
    <col min="14335" max="14335" width="17.7109375" style="6" customWidth="1"/>
    <col min="14336" max="14341" width="12.85546875" style="6" customWidth="1"/>
    <col min="14342" max="14589" width="9.140625" style="6"/>
    <col min="14590" max="14590" width="52.28515625" style="6" bestFit="1" customWidth="1"/>
    <col min="14591" max="14591" width="17.7109375" style="6" customWidth="1"/>
    <col min="14592" max="14597" width="12.85546875" style="6" customWidth="1"/>
    <col min="14598" max="14845" width="9.140625" style="6"/>
    <col min="14846" max="14846" width="52.28515625" style="6" bestFit="1" customWidth="1"/>
    <col min="14847" max="14847" width="17.7109375" style="6" customWidth="1"/>
    <col min="14848" max="14853" width="12.85546875" style="6" customWidth="1"/>
    <col min="14854" max="15101" width="9.140625" style="6"/>
    <col min="15102" max="15102" width="52.28515625" style="6" bestFit="1" customWidth="1"/>
    <col min="15103" max="15103" width="17.7109375" style="6" customWidth="1"/>
    <col min="15104" max="15109" width="12.85546875" style="6" customWidth="1"/>
    <col min="15110" max="15357" width="9.140625" style="6"/>
    <col min="15358" max="15358" width="52.28515625" style="6" bestFit="1" customWidth="1"/>
    <col min="15359" max="15359" width="17.7109375" style="6" customWidth="1"/>
    <col min="15360" max="15365" width="12.85546875" style="6" customWidth="1"/>
    <col min="15366" max="15613" width="9.140625" style="6"/>
    <col min="15614" max="15614" width="52.28515625" style="6" bestFit="1" customWidth="1"/>
    <col min="15615" max="15615" width="17.7109375" style="6" customWidth="1"/>
    <col min="15616" max="15621" width="12.85546875" style="6" customWidth="1"/>
    <col min="15622" max="15869" width="9.140625" style="6"/>
    <col min="15870" max="15870" width="52.28515625" style="6" bestFit="1" customWidth="1"/>
    <col min="15871" max="15871" width="17.7109375" style="6" customWidth="1"/>
    <col min="15872" max="15877" width="12.85546875" style="6" customWidth="1"/>
    <col min="15878" max="16125" width="9.140625" style="6"/>
    <col min="16126" max="16126" width="52.28515625" style="6" bestFit="1" customWidth="1"/>
    <col min="16127" max="16127" width="17.7109375" style="6" customWidth="1"/>
    <col min="16128" max="16133" width="12.85546875" style="6" customWidth="1"/>
    <col min="16134" max="16384" width="9.140625" style="6"/>
  </cols>
  <sheetData>
    <row r="1" spans="1:7" ht="61.5" customHeight="1" thickBot="1" x14ac:dyDescent="0.25">
      <c r="A1" s="485" t="str">
        <f>ORÇAMENTO!A1</f>
        <v>GOVERNO DO ESTADO DO PARÁ
PREFEITURA MUNICIPAL DE OURÉM
CNPJ 05.149.133/0001-48</v>
      </c>
      <c r="B1" s="486"/>
      <c r="C1" s="486"/>
      <c r="D1" s="486"/>
      <c r="E1" s="486"/>
      <c r="F1" s="486"/>
      <c r="G1" s="486"/>
    </row>
    <row r="2" spans="1:7" ht="30" customHeight="1" x14ac:dyDescent="0.2">
      <c r="A2" s="312" t="s">
        <v>25</v>
      </c>
      <c r="B2" s="317" t="s">
        <v>189</v>
      </c>
      <c r="C2" s="318"/>
      <c r="D2" s="326"/>
      <c r="E2" s="332" t="s">
        <v>73</v>
      </c>
      <c r="F2" s="490" t="s">
        <v>190</v>
      </c>
      <c r="G2" s="491"/>
    </row>
    <row r="3" spans="1:7" ht="30" customHeight="1" x14ac:dyDescent="0.2">
      <c r="A3" s="308" t="s">
        <v>26</v>
      </c>
      <c r="B3" s="487" t="str">
        <f>ORÇAMENTO!C3</f>
        <v>RECONSTRUÇÃO DA PRAÇA PURAQUEQUARINHA NO MUNICÍPIO DE OURÉM/PA</v>
      </c>
      <c r="C3" s="488"/>
      <c r="D3" s="489"/>
      <c r="E3" s="329" t="s">
        <v>28</v>
      </c>
      <c r="F3" s="492" t="s">
        <v>191</v>
      </c>
      <c r="G3" s="493"/>
    </row>
    <row r="4" spans="1:7" ht="30" customHeight="1" x14ac:dyDescent="0.2">
      <c r="A4" s="311" t="s">
        <v>27</v>
      </c>
      <c r="B4" s="319" t="str">
        <f>ORÇAMENTO!C4</f>
        <v>AV. PRINCIPAL, S/N, VILA PURAQUEQUARINHA, OURÉM, PA</v>
      </c>
      <c r="C4" s="320"/>
      <c r="D4" s="327"/>
      <c r="E4" s="330"/>
      <c r="F4" s="492" t="s">
        <v>192</v>
      </c>
      <c r="G4" s="493"/>
    </row>
    <row r="5" spans="1:7" ht="30" customHeight="1" x14ac:dyDescent="0.2">
      <c r="A5" s="308" t="s">
        <v>187</v>
      </c>
      <c r="B5" s="482">
        <f>ORÇAMENTO!C5</f>
        <v>341934.37</v>
      </c>
      <c r="C5" s="483"/>
      <c r="D5" s="484"/>
      <c r="E5" s="309" t="s">
        <v>188</v>
      </c>
      <c r="F5" s="494">
        <f>ORÇAMENTO!G5</f>
        <v>0.29769428939090381</v>
      </c>
      <c r="G5" s="495"/>
    </row>
    <row r="6" spans="1:7" ht="30" customHeight="1" thickBot="1" x14ac:dyDescent="0.25">
      <c r="A6" s="310" t="s">
        <v>29</v>
      </c>
      <c r="B6" s="321" t="s">
        <v>50</v>
      </c>
      <c r="C6" s="322"/>
      <c r="D6" s="328"/>
      <c r="E6" s="331" t="s">
        <v>30</v>
      </c>
      <c r="F6" s="474" t="s">
        <v>193</v>
      </c>
      <c r="G6" s="475"/>
    </row>
    <row r="7" spans="1:7" x14ac:dyDescent="0.2">
      <c r="A7" s="42"/>
    </row>
    <row r="8" spans="1:7" ht="20.100000000000001" customHeight="1" x14ac:dyDescent="0.2">
      <c r="A8" s="123" t="s">
        <v>0</v>
      </c>
      <c r="B8" s="124" t="s">
        <v>14</v>
      </c>
      <c r="C8" s="124" t="s">
        <v>15</v>
      </c>
      <c r="D8" s="480" t="s">
        <v>16</v>
      </c>
      <c r="E8" s="481"/>
      <c r="F8" s="480" t="s">
        <v>17</v>
      </c>
      <c r="G8" s="481"/>
    </row>
    <row r="9" spans="1:7" ht="20.100000000000001" customHeight="1" x14ac:dyDescent="0.2">
      <c r="A9" s="471">
        <f>ORÇAMENTO!A11</f>
        <v>1</v>
      </c>
      <c r="B9" s="479" t="str">
        <f>ORÇAMENTO!D11</f>
        <v>ADMINISTRAÇÃO LOCAL</v>
      </c>
      <c r="C9" s="476">
        <f>ORÇAMENTO!I11</f>
        <v>13815.44</v>
      </c>
      <c r="D9" s="19">
        <f>1/4</f>
        <v>0.25</v>
      </c>
      <c r="E9" s="334">
        <f>1/4</f>
        <v>0.25</v>
      </c>
      <c r="F9" s="334">
        <f>1/4</f>
        <v>0.25</v>
      </c>
      <c r="G9" s="334">
        <f>1/4</f>
        <v>0.25</v>
      </c>
    </row>
    <row r="10" spans="1:7" ht="20.100000000000001" customHeight="1" x14ac:dyDescent="0.2">
      <c r="A10" s="472"/>
      <c r="B10" s="469"/>
      <c r="C10" s="477"/>
      <c r="D10" s="126"/>
      <c r="E10" s="335"/>
      <c r="F10" s="335"/>
      <c r="G10" s="335"/>
    </row>
    <row r="11" spans="1:7" ht="20.100000000000001" customHeight="1" x14ac:dyDescent="0.2">
      <c r="A11" s="473"/>
      <c r="B11" s="470"/>
      <c r="C11" s="478"/>
      <c r="D11" s="17">
        <f>ROUND((C9*D9),2)</f>
        <v>3453.86</v>
      </c>
      <c r="E11" s="336">
        <f>ROUND((C9*E9),2)</f>
        <v>3453.86</v>
      </c>
      <c r="F11" s="336">
        <f>ROUND((C9*F9),2)</f>
        <v>3453.86</v>
      </c>
      <c r="G11" s="336">
        <f>ROUND((C9*G9),2)</f>
        <v>3453.86</v>
      </c>
    </row>
    <row r="12" spans="1:7" ht="20.100000000000001" customHeight="1" x14ac:dyDescent="0.2">
      <c r="A12" s="471">
        <f>ORÇAMENTO!A13</f>
        <v>2</v>
      </c>
      <c r="B12" s="479" t="str">
        <f>ORÇAMENTO!D13</f>
        <v>SERVIÇOS PRELIMINARES</v>
      </c>
      <c r="C12" s="476">
        <f>ORÇAMENTO!I13</f>
        <v>17827.93</v>
      </c>
      <c r="D12" s="15">
        <v>1</v>
      </c>
      <c r="E12" s="337"/>
      <c r="F12" s="337"/>
      <c r="G12" s="337"/>
    </row>
    <row r="13" spans="1:7" ht="20.100000000000001" customHeight="1" x14ac:dyDescent="0.2">
      <c r="A13" s="472">
        <v>1</v>
      </c>
      <c r="B13" s="469"/>
      <c r="C13" s="477"/>
      <c r="D13" s="126"/>
      <c r="E13" s="335"/>
      <c r="F13" s="335"/>
      <c r="G13" s="335"/>
    </row>
    <row r="14" spans="1:7" ht="20.100000000000001" customHeight="1" x14ac:dyDescent="0.2">
      <c r="A14" s="473"/>
      <c r="B14" s="470"/>
      <c r="C14" s="478"/>
      <c r="D14" s="17">
        <f>ROUND((C12*D12),2)</f>
        <v>17827.93</v>
      </c>
      <c r="E14" s="336"/>
      <c r="F14" s="336"/>
      <c r="G14" s="336"/>
    </row>
    <row r="15" spans="1:7" ht="20.100000000000001" customHeight="1" x14ac:dyDescent="0.2">
      <c r="A15" s="471">
        <f>ORÇAMENTO!A17</f>
        <v>3</v>
      </c>
      <c r="B15" s="468" t="str">
        <f>ORÇAMENTO!D17</f>
        <v>DEMOLIÇÕES E RETIRADAS</v>
      </c>
      <c r="C15" s="476">
        <f>ORÇAMENTO!I17</f>
        <v>5790.49</v>
      </c>
      <c r="D15" s="15">
        <v>1</v>
      </c>
      <c r="E15" s="337"/>
      <c r="F15" s="337"/>
      <c r="G15" s="337"/>
    </row>
    <row r="16" spans="1:7" ht="20.100000000000001" customHeight="1" x14ac:dyDescent="0.2">
      <c r="A16" s="472">
        <v>2</v>
      </c>
      <c r="B16" s="469" t="str">
        <f>ORÇAMENTO!D22</f>
        <v xml:space="preserve">PAVIMENTAÇÃO </v>
      </c>
      <c r="C16" s="477"/>
      <c r="D16" s="126"/>
      <c r="E16" s="335"/>
      <c r="F16" s="335"/>
      <c r="G16" s="335"/>
    </row>
    <row r="17" spans="1:7" ht="20.100000000000001" customHeight="1" x14ac:dyDescent="0.2">
      <c r="A17" s="473"/>
      <c r="B17" s="470"/>
      <c r="C17" s="478"/>
      <c r="D17" s="17">
        <f>ROUND($C$15*D15,2)</f>
        <v>5790.49</v>
      </c>
      <c r="E17" s="336"/>
      <c r="F17" s="336"/>
      <c r="G17" s="336"/>
    </row>
    <row r="18" spans="1:7" ht="20.100000000000001" customHeight="1" x14ac:dyDescent="0.2">
      <c r="A18" s="471">
        <f>ORÇAMENTO!A22</f>
        <v>4</v>
      </c>
      <c r="B18" s="468" t="str">
        <f>ORÇAMENTO!D22</f>
        <v xml:space="preserve">PAVIMENTAÇÃO </v>
      </c>
      <c r="C18" s="476">
        <f>ORÇAMENTO!I22</f>
        <v>109208.26</v>
      </c>
      <c r="D18" s="15"/>
      <c r="E18" s="337">
        <v>0.5</v>
      </c>
      <c r="F18" s="337">
        <v>0.5</v>
      </c>
      <c r="G18" s="337"/>
    </row>
    <row r="19" spans="1:7" ht="20.100000000000001" customHeight="1" x14ac:dyDescent="0.2">
      <c r="A19" s="472">
        <v>3</v>
      </c>
      <c r="B19" s="469"/>
      <c r="C19" s="477"/>
      <c r="D19" s="16"/>
      <c r="E19" s="126"/>
      <c r="F19" s="126"/>
      <c r="G19" s="335"/>
    </row>
    <row r="20" spans="1:7" ht="20.100000000000001" customHeight="1" x14ac:dyDescent="0.2">
      <c r="A20" s="473"/>
      <c r="B20" s="470"/>
      <c r="C20" s="478"/>
      <c r="D20" s="17"/>
      <c r="E20" s="336">
        <f>ROUND($C$18*E18,2)</f>
        <v>54604.13</v>
      </c>
      <c r="F20" s="336">
        <f>ROUND($C$18*F18,2)</f>
        <v>54604.13</v>
      </c>
      <c r="G20" s="336"/>
    </row>
    <row r="21" spans="1:7" ht="20.100000000000001" customHeight="1" x14ac:dyDescent="0.2">
      <c r="A21" s="471">
        <f>ORÇAMENTO!A28</f>
        <v>5</v>
      </c>
      <c r="B21" s="479" t="str">
        <f>ORÇAMENTO!D28</f>
        <v>URBANIZAÇÃO</v>
      </c>
      <c r="C21" s="476">
        <f>ORÇAMENTO!I28</f>
        <v>105492.62</v>
      </c>
      <c r="E21" s="337">
        <v>0.5</v>
      </c>
      <c r="F21" s="337">
        <v>0.25</v>
      </c>
      <c r="G21" s="337">
        <v>0.25</v>
      </c>
    </row>
    <row r="22" spans="1:7" ht="20.100000000000001" customHeight="1" x14ac:dyDescent="0.2">
      <c r="A22" s="472">
        <v>4</v>
      </c>
      <c r="B22" s="469"/>
      <c r="C22" s="477"/>
      <c r="D22" s="18"/>
      <c r="E22" s="126"/>
      <c r="F22" s="126"/>
      <c r="G22" s="126"/>
    </row>
    <row r="23" spans="1:7" ht="20.100000000000001" customHeight="1" x14ac:dyDescent="0.2">
      <c r="A23" s="473"/>
      <c r="B23" s="470"/>
      <c r="C23" s="478"/>
      <c r="E23" s="336">
        <f>ROUND($C$21*E21,2)</f>
        <v>52746.31</v>
      </c>
      <c r="F23" s="336">
        <f>ROUND($C$21*F21,2)</f>
        <v>26373.16</v>
      </c>
      <c r="G23" s="336">
        <f>ROUND($C$21*G21,2)</f>
        <v>26373.16</v>
      </c>
    </row>
    <row r="24" spans="1:7" ht="20.100000000000001" customHeight="1" x14ac:dyDescent="0.2">
      <c r="A24" s="471">
        <f>ORÇAMENTO!A53</f>
        <v>6</v>
      </c>
      <c r="B24" s="479" t="str">
        <f>ORÇAMENTO!D53</f>
        <v>INSTALAÇÕES ELÉTRICAS</v>
      </c>
      <c r="C24" s="476">
        <f>ORÇAMENTO!I53</f>
        <v>77313.239999999991</v>
      </c>
      <c r="D24" s="18"/>
      <c r="E24" s="337"/>
      <c r="F24" s="337">
        <v>0.5</v>
      </c>
      <c r="G24" s="337">
        <v>0.5</v>
      </c>
    </row>
    <row r="25" spans="1:7" ht="20.100000000000001" customHeight="1" x14ac:dyDescent="0.2">
      <c r="A25" s="472">
        <v>7</v>
      </c>
      <c r="B25" s="469" t="e">
        <f>ORÇAMENTO!#REF!</f>
        <v>#REF!</v>
      </c>
      <c r="C25" s="477" t="e">
        <f>ORÇAMENTO!#REF!</f>
        <v>#REF!</v>
      </c>
      <c r="D25" s="18"/>
      <c r="E25" s="335"/>
      <c r="F25" s="126"/>
      <c r="G25" s="126"/>
    </row>
    <row r="26" spans="1:7" ht="20.100000000000001" customHeight="1" x14ac:dyDescent="0.2">
      <c r="A26" s="473"/>
      <c r="B26" s="470"/>
      <c r="C26" s="478"/>
      <c r="D26" s="18"/>
      <c r="E26" s="336"/>
      <c r="F26" s="336">
        <f>ROUND($C$24*F24,2)</f>
        <v>38656.620000000003</v>
      </c>
      <c r="G26" s="336">
        <f>ROUND($C$24*G24,2)</f>
        <v>38656.620000000003</v>
      </c>
    </row>
    <row r="27" spans="1:7" ht="20.100000000000001" customHeight="1" x14ac:dyDescent="0.2">
      <c r="A27" s="471">
        <f>ORÇAMENTO!A84</f>
        <v>7</v>
      </c>
      <c r="B27" s="479" t="str">
        <f>ORÇAMENTO!D84</f>
        <v>SERVIÇOS FINAIS</v>
      </c>
      <c r="C27" s="476">
        <f>ORÇAMENTO!I84</f>
        <v>12486.39</v>
      </c>
      <c r="D27" s="18"/>
      <c r="E27" s="337"/>
      <c r="F27" s="337"/>
      <c r="G27" s="337">
        <v>1</v>
      </c>
    </row>
    <row r="28" spans="1:7" ht="20.100000000000001" customHeight="1" x14ac:dyDescent="0.2">
      <c r="A28" s="472">
        <v>9</v>
      </c>
      <c r="B28" s="469" t="s">
        <v>78</v>
      </c>
      <c r="C28" s="477" t="e">
        <f>ORÇAMENTO!#REF!</f>
        <v>#REF!</v>
      </c>
      <c r="D28" s="18"/>
      <c r="E28" s="335"/>
      <c r="F28" s="335"/>
      <c r="G28" s="126"/>
    </row>
    <row r="29" spans="1:7" ht="20.100000000000001" customHeight="1" x14ac:dyDescent="0.2">
      <c r="A29" s="473"/>
      <c r="B29" s="470"/>
      <c r="C29" s="478"/>
      <c r="D29" s="18"/>
      <c r="E29" s="336"/>
      <c r="F29" s="336"/>
      <c r="G29" s="336">
        <f>ROUND($C$27*G27,2)</f>
        <v>12486.39</v>
      </c>
    </row>
    <row r="30" spans="1:7" ht="20.100000000000001" customHeight="1" x14ac:dyDescent="0.2">
      <c r="A30" s="496"/>
      <c r="B30" s="41" t="s">
        <v>15</v>
      </c>
      <c r="C30" s="333">
        <f>ROUND(C9+C12+C15+C18+C21+C24+C27,2)</f>
        <v>341934.37</v>
      </c>
      <c r="E30" s="338"/>
      <c r="F30" s="338"/>
      <c r="G30" s="338"/>
    </row>
    <row r="31" spans="1:7" ht="20.100000000000001" customHeight="1" x14ac:dyDescent="0.2">
      <c r="A31" s="497"/>
      <c r="B31" s="499" t="s">
        <v>72</v>
      </c>
      <c r="C31" s="500"/>
      <c r="D31" s="125">
        <f>ROUND(D14+D17+D20+D23+D26+D29+D11,2)</f>
        <v>27072.28</v>
      </c>
      <c r="E31" s="125">
        <f t="shared" ref="E31:G31" si="0">ROUND(E14+E17+E20+E23+E26+E29+E11,2)</f>
        <v>110804.3</v>
      </c>
      <c r="F31" s="125">
        <f t="shared" si="0"/>
        <v>123087.77</v>
      </c>
      <c r="G31" s="125">
        <f t="shared" si="0"/>
        <v>80970.03</v>
      </c>
    </row>
    <row r="32" spans="1:7" ht="20.100000000000001" customHeight="1" x14ac:dyDescent="0.2">
      <c r="A32" s="497"/>
      <c r="B32" s="501" t="s">
        <v>69</v>
      </c>
      <c r="C32" s="502"/>
      <c r="D32" s="115">
        <f>D31/$C$30</f>
        <v>7.9173906969340346E-2</v>
      </c>
      <c r="E32" s="340">
        <f>E31/$C$30</f>
        <v>0.32405136693336795</v>
      </c>
      <c r="F32" s="340">
        <f>F31/$C$30</f>
        <v>0.35997483961615206</v>
      </c>
      <c r="G32" s="340">
        <f>G31/$C$30</f>
        <v>0.23679991572651793</v>
      </c>
    </row>
    <row r="33" spans="1:7" ht="20.100000000000001" customHeight="1" x14ac:dyDescent="0.2">
      <c r="A33" s="497"/>
      <c r="B33" s="499" t="s">
        <v>70</v>
      </c>
      <c r="C33" s="500"/>
      <c r="D33" s="125">
        <f>D31</f>
        <v>27072.28</v>
      </c>
      <c r="E33" s="339">
        <f t="shared" ref="E33:F33" si="1">E31+D33</f>
        <v>137876.58000000002</v>
      </c>
      <c r="F33" s="339">
        <f t="shared" si="1"/>
        <v>260964.35000000003</v>
      </c>
      <c r="G33" s="339">
        <f>G31+F33-0.01</f>
        <v>341934.37</v>
      </c>
    </row>
    <row r="34" spans="1:7" ht="20.100000000000001" customHeight="1" x14ac:dyDescent="0.2">
      <c r="A34" s="498"/>
      <c r="B34" s="501" t="s">
        <v>71</v>
      </c>
      <c r="C34" s="502"/>
      <c r="D34" s="116">
        <f>D32</f>
        <v>7.9173906969340346E-2</v>
      </c>
      <c r="E34" s="341">
        <f t="shared" ref="E34:G34" si="2">D34+E32</f>
        <v>0.40322527390270829</v>
      </c>
      <c r="F34" s="341">
        <f t="shared" si="2"/>
        <v>0.76320011351886041</v>
      </c>
      <c r="G34" s="341">
        <f t="shared" si="2"/>
        <v>1.0000000292453783</v>
      </c>
    </row>
    <row r="38" spans="1:7" x14ac:dyDescent="0.2">
      <c r="A38" s="455" t="s">
        <v>146</v>
      </c>
      <c r="B38" s="455" t="s">
        <v>49</v>
      </c>
      <c r="C38" s="455"/>
      <c r="D38" s="455"/>
      <c r="E38" s="455"/>
      <c r="F38" s="455"/>
      <c r="G38" s="455"/>
    </row>
    <row r="39" spans="1:7" x14ac:dyDescent="0.2">
      <c r="A39" s="455" t="s">
        <v>50</v>
      </c>
      <c r="B39" s="455"/>
      <c r="C39" s="455"/>
      <c r="D39" s="455"/>
      <c r="E39" s="455"/>
      <c r="F39" s="455"/>
      <c r="G39" s="455"/>
    </row>
    <row r="40" spans="1:7" x14ac:dyDescent="0.2">
      <c r="A40" s="455" t="s">
        <v>145</v>
      </c>
      <c r="B40" s="455"/>
      <c r="C40" s="455"/>
      <c r="D40" s="455"/>
      <c r="E40" s="455"/>
      <c r="F40" s="455"/>
      <c r="G40" s="455"/>
    </row>
  </sheetData>
  <mergeCells count="39">
    <mergeCell ref="A30:A34"/>
    <mergeCell ref="B31:C31"/>
    <mergeCell ref="B32:C32"/>
    <mergeCell ref="B33:C33"/>
    <mergeCell ref="B34:C34"/>
    <mergeCell ref="B21:B23"/>
    <mergeCell ref="B3:D3"/>
    <mergeCell ref="C18:C20"/>
    <mergeCell ref="C21:C23"/>
    <mergeCell ref="B9:B11"/>
    <mergeCell ref="C15:C17"/>
    <mergeCell ref="A18:A20"/>
    <mergeCell ref="B5:D5"/>
    <mergeCell ref="A1:G1"/>
    <mergeCell ref="B12:B14"/>
    <mergeCell ref="B18:B20"/>
    <mergeCell ref="A9:A11"/>
    <mergeCell ref="A12:A14"/>
    <mergeCell ref="A15:A17"/>
    <mergeCell ref="F2:G2"/>
    <mergeCell ref="F3:G3"/>
    <mergeCell ref="F4:G4"/>
    <mergeCell ref="F5:G5"/>
    <mergeCell ref="B15:B17"/>
    <mergeCell ref="A21:A23"/>
    <mergeCell ref="F6:G6"/>
    <mergeCell ref="A40:G40"/>
    <mergeCell ref="C24:C26"/>
    <mergeCell ref="C27:C29"/>
    <mergeCell ref="A27:A29"/>
    <mergeCell ref="B27:B29"/>
    <mergeCell ref="A24:A26"/>
    <mergeCell ref="B24:B26"/>
    <mergeCell ref="A39:G39"/>
    <mergeCell ref="A38:G38"/>
    <mergeCell ref="D8:E8"/>
    <mergeCell ref="F8:G8"/>
    <mergeCell ref="C9:C11"/>
    <mergeCell ref="C12:C14"/>
  </mergeCells>
  <pageMargins left="0.25" right="0.25" top="0.75" bottom="0.75" header="0.3" footer="0.3"/>
  <pageSetup paperSize="9" scale="9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337"/>
  <sheetViews>
    <sheetView topLeftCell="A99" zoomScale="91" zoomScaleNormal="91" zoomScaleSheetLayoutView="80" workbookViewId="0">
      <selection activeCell="I112" sqref="I112"/>
    </sheetView>
  </sheetViews>
  <sheetFormatPr defaultRowHeight="15" x14ac:dyDescent="0.25"/>
  <cols>
    <col min="1" max="1" width="18" style="89" customWidth="1"/>
    <col min="2" max="2" width="13.140625" style="89" customWidth="1"/>
    <col min="3" max="3" width="66.28515625" style="89" customWidth="1"/>
    <col min="4" max="4" width="9.140625" style="89"/>
    <col min="5" max="5" width="15.140625" style="89" customWidth="1"/>
    <col min="6" max="6" width="19.7109375" style="89" customWidth="1"/>
    <col min="7" max="7" width="18.7109375" style="90" customWidth="1"/>
    <col min="9" max="9" width="28.28515625" customWidth="1"/>
  </cols>
  <sheetData>
    <row r="1" spans="1:7" ht="60" customHeight="1" thickBot="1" x14ac:dyDescent="0.3">
      <c r="A1" s="524" t="str">
        <f>ORÇAMENTO!A1</f>
        <v>GOVERNO DO ESTADO DO PARÁ
PREFEITURA MUNICIPAL DE OURÉM
CNPJ 05.149.133/0001-48</v>
      </c>
      <c r="B1" s="524"/>
      <c r="C1" s="524"/>
      <c r="D1" s="524"/>
      <c r="E1" s="524"/>
      <c r="F1" s="524"/>
      <c r="G1" s="524"/>
    </row>
    <row r="2" spans="1:7" ht="30" customHeight="1" x14ac:dyDescent="0.25">
      <c r="A2" s="323" t="s">
        <v>25</v>
      </c>
      <c r="B2" s="464" t="s">
        <v>189</v>
      </c>
      <c r="C2" s="464"/>
      <c r="D2" s="467" t="s">
        <v>73</v>
      </c>
      <c r="E2" s="467"/>
      <c r="F2" s="395" t="s">
        <v>190</v>
      </c>
      <c r="G2" s="396"/>
    </row>
    <row r="3" spans="1:7" ht="30" customHeight="1" x14ac:dyDescent="0.25">
      <c r="A3" s="308" t="s">
        <v>26</v>
      </c>
      <c r="B3" s="465" t="str">
        <f>ORÇAMENTO!C3</f>
        <v>RECONSTRUÇÃO DA PRAÇA PURAQUEQUARINHA NO MUNICÍPIO DE OURÉM/PA</v>
      </c>
      <c r="C3" s="465"/>
      <c r="D3" s="403" t="s">
        <v>28</v>
      </c>
      <c r="E3" s="403"/>
      <c r="F3" s="397" t="s">
        <v>191</v>
      </c>
      <c r="G3" s="398"/>
    </row>
    <row r="4" spans="1:7" ht="30" customHeight="1" x14ac:dyDescent="0.25">
      <c r="A4" s="311" t="s">
        <v>27</v>
      </c>
      <c r="B4" s="466" t="str">
        <f>ORÇAMENTO!C4</f>
        <v>AV. PRINCIPAL, S/N, VILA PURAQUEQUARINHA, OURÉM, PA</v>
      </c>
      <c r="C4" s="466"/>
      <c r="D4" s="403"/>
      <c r="E4" s="403"/>
      <c r="F4" s="397" t="s">
        <v>192</v>
      </c>
      <c r="G4" s="398"/>
    </row>
    <row r="5" spans="1:7" ht="30" customHeight="1" x14ac:dyDescent="0.25">
      <c r="A5" s="308" t="s">
        <v>187</v>
      </c>
      <c r="B5" s="463">
        <f>ORÇAMENTO!C5</f>
        <v>341934.37</v>
      </c>
      <c r="C5" s="463"/>
      <c r="D5" s="404" t="s">
        <v>188</v>
      </c>
      <c r="E5" s="404"/>
      <c r="F5" s="399">
        <f>ORÇAMENTO!G5</f>
        <v>0.29769428939090381</v>
      </c>
      <c r="G5" s="400"/>
    </row>
    <row r="6" spans="1:7" ht="30" customHeight="1" thickBot="1" x14ac:dyDescent="0.3">
      <c r="A6" s="310" t="s">
        <v>29</v>
      </c>
      <c r="B6" s="436" t="s">
        <v>50</v>
      </c>
      <c r="C6" s="436"/>
      <c r="D6" s="394" t="s">
        <v>30</v>
      </c>
      <c r="E6" s="394"/>
      <c r="F6" s="401" t="s">
        <v>193</v>
      </c>
      <c r="G6" s="402"/>
    </row>
    <row r="7" spans="1:7" ht="15.75" thickBot="1" x14ac:dyDescent="0.3">
      <c r="A7" s="37"/>
      <c r="B7" s="37"/>
      <c r="C7" s="37"/>
      <c r="D7" s="37"/>
      <c r="E7" s="37"/>
      <c r="F7" s="37"/>
      <c r="G7" s="83"/>
    </row>
    <row r="8" spans="1:7" ht="20.100000000000001" customHeight="1" x14ac:dyDescent="0.25">
      <c r="A8" s="514" t="str">
        <f>ORÇAMENTO!B12</f>
        <v>CPU 01</v>
      </c>
      <c r="B8" s="515"/>
      <c r="C8" s="515"/>
      <c r="D8" s="515"/>
      <c r="E8" s="515"/>
      <c r="F8" s="515"/>
      <c r="G8" s="516"/>
    </row>
    <row r="9" spans="1:7" ht="20.100000000000001" customHeight="1" x14ac:dyDescent="0.25">
      <c r="A9" s="245" t="s">
        <v>0</v>
      </c>
      <c r="B9" s="503" t="s">
        <v>14</v>
      </c>
      <c r="C9" s="504"/>
      <c r="D9" s="504"/>
      <c r="E9" s="504"/>
      <c r="F9" s="505"/>
      <c r="G9" s="246" t="s">
        <v>90</v>
      </c>
    </row>
    <row r="10" spans="1:7" ht="25.5" customHeight="1" x14ac:dyDescent="0.25">
      <c r="A10" s="244" t="str">
        <f>ORÇAMENTO!A12</f>
        <v>1.1</v>
      </c>
      <c r="B10" s="506" t="s">
        <v>93</v>
      </c>
      <c r="C10" s="507"/>
      <c r="D10" s="507"/>
      <c r="E10" s="507"/>
      <c r="F10" s="508"/>
      <c r="G10" s="238" t="s">
        <v>10</v>
      </c>
    </row>
    <row r="11" spans="1:7" ht="20.100000000000001" customHeight="1" x14ac:dyDescent="0.25">
      <c r="A11" s="286" t="s">
        <v>84</v>
      </c>
      <c r="B11" s="287" t="s">
        <v>9</v>
      </c>
      <c r="C11" s="287" t="s">
        <v>14</v>
      </c>
      <c r="D11" s="287" t="s">
        <v>2</v>
      </c>
      <c r="E11" s="288" t="s">
        <v>3</v>
      </c>
      <c r="F11" s="289" t="s">
        <v>52</v>
      </c>
      <c r="G11" s="290" t="s">
        <v>53</v>
      </c>
    </row>
    <row r="12" spans="1:7" ht="28.5" x14ac:dyDescent="0.25">
      <c r="A12" s="70" t="s">
        <v>11</v>
      </c>
      <c r="B12" s="94">
        <v>90777</v>
      </c>
      <c r="C12" s="95" t="s">
        <v>91</v>
      </c>
      <c r="D12" s="96" t="s">
        <v>65</v>
      </c>
      <c r="E12" s="82">
        <f>'1. ADM. LOC.'!I17</f>
        <v>30</v>
      </c>
      <c r="F12" s="144">
        <v>104.13</v>
      </c>
      <c r="G12" s="154">
        <f>ROUND((F12*E12),2)</f>
        <v>3123.9</v>
      </c>
    </row>
    <row r="13" spans="1:7" ht="20.100000000000001" customHeight="1" thickBot="1" x14ac:dyDescent="0.3">
      <c r="A13" s="73" t="s">
        <v>11</v>
      </c>
      <c r="B13" s="148">
        <v>90776</v>
      </c>
      <c r="C13" s="149" t="s">
        <v>92</v>
      </c>
      <c r="D13" s="150" t="s">
        <v>65</v>
      </c>
      <c r="E13" s="151">
        <f>'1. ADM. LOC.'!I21</f>
        <v>352</v>
      </c>
      <c r="F13" s="153">
        <v>21.37</v>
      </c>
      <c r="G13" s="155">
        <f>ROUND((F13*E13),2)</f>
        <v>7522.24</v>
      </c>
    </row>
    <row r="14" spans="1:7" ht="20.100000000000001" customHeight="1" thickBot="1" x14ac:dyDescent="0.3">
      <c r="A14" s="511" t="s">
        <v>15</v>
      </c>
      <c r="B14" s="512"/>
      <c r="C14" s="512"/>
      <c r="D14" s="512"/>
      <c r="E14" s="512"/>
      <c r="F14" s="517"/>
      <c r="G14" s="152">
        <f>ROUND(SUM(G12:G13),2)</f>
        <v>10646.14</v>
      </c>
    </row>
    <row r="15" spans="1:7" ht="15.75" thickBot="1" x14ac:dyDescent="0.3">
      <c r="A15" s="37"/>
      <c r="B15" s="37"/>
      <c r="C15" s="37"/>
      <c r="D15" s="37"/>
      <c r="E15" s="37"/>
      <c r="F15" s="37"/>
      <c r="G15" s="83"/>
    </row>
    <row r="16" spans="1:7" ht="20.100000000000001" customHeight="1" x14ac:dyDescent="0.25">
      <c r="A16" s="514" t="str">
        <f>ORÇAMENTO!B19</f>
        <v>CPU 02</v>
      </c>
      <c r="B16" s="515"/>
      <c r="C16" s="515"/>
      <c r="D16" s="515"/>
      <c r="E16" s="515"/>
      <c r="F16" s="515"/>
      <c r="G16" s="516"/>
    </row>
    <row r="17" spans="1:7" ht="20.100000000000001" customHeight="1" x14ac:dyDescent="0.25">
      <c r="A17" s="245" t="s">
        <v>0</v>
      </c>
      <c r="B17" s="503" t="s">
        <v>14</v>
      </c>
      <c r="C17" s="504"/>
      <c r="D17" s="504"/>
      <c r="E17" s="504"/>
      <c r="F17" s="505"/>
      <c r="G17" s="246" t="s">
        <v>90</v>
      </c>
    </row>
    <row r="18" spans="1:7" ht="33" customHeight="1" x14ac:dyDescent="0.25">
      <c r="A18" s="244" t="str">
        <f>ORÇAMENTO!A19</f>
        <v>3.2</v>
      </c>
      <c r="B18" s="506" t="s">
        <v>269</v>
      </c>
      <c r="C18" s="507"/>
      <c r="D18" s="507"/>
      <c r="E18" s="507"/>
      <c r="F18" s="508"/>
      <c r="G18" s="238" t="s">
        <v>108</v>
      </c>
    </row>
    <row r="19" spans="1:7" ht="20.100000000000001" customHeight="1" x14ac:dyDescent="0.25">
      <c r="A19" s="286" t="s">
        <v>84</v>
      </c>
      <c r="B19" s="287" t="s">
        <v>9</v>
      </c>
      <c r="C19" s="287" t="s">
        <v>14</v>
      </c>
      <c r="D19" s="287" t="s">
        <v>2</v>
      </c>
      <c r="E19" s="288" t="s">
        <v>3</v>
      </c>
      <c r="F19" s="289" t="s">
        <v>52</v>
      </c>
      <c r="G19" s="290" t="s">
        <v>53</v>
      </c>
    </row>
    <row r="20" spans="1:7" ht="20.100000000000001" customHeight="1" x14ac:dyDescent="0.25">
      <c r="A20" s="166" t="s">
        <v>11</v>
      </c>
      <c r="B20" s="172">
        <v>88260</v>
      </c>
      <c r="C20" s="173" t="s">
        <v>281</v>
      </c>
      <c r="D20" s="168" t="s">
        <v>65</v>
      </c>
      <c r="E20" s="76">
        <v>0.22</v>
      </c>
      <c r="F20" s="81">
        <v>22.95</v>
      </c>
      <c r="G20" s="154">
        <f t="shared" ref="G20:G21" si="0">ROUND((F20*E20),2)</f>
        <v>5.05</v>
      </c>
    </row>
    <row r="21" spans="1:7" ht="20.100000000000001" customHeight="1" thickBot="1" x14ac:dyDescent="0.3">
      <c r="A21" s="166" t="s">
        <v>11</v>
      </c>
      <c r="B21" s="172">
        <v>88316</v>
      </c>
      <c r="C21" s="173" t="s">
        <v>59</v>
      </c>
      <c r="D21" s="168" t="s">
        <v>65</v>
      </c>
      <c r="E21" s="296">
        <v>0.22</v>
      </c>
      <c r="F21" s="297">
        <v>19.940000000000001</v>
      </c>
      <c r="G21" s="154">
        <f t="shared" si="0"/>
        <v>4.3899999999999997</v>
      </c>
    </row>
    <row r="22" spans="1:7" ht="20.100000000000001" customHeight="1" thickBot="1" x14ac:dyDescent="0.3">
      <c r="A22" s="511" t="s">
        <v>15</v>
      </c>
      <c r="B22" s="512"/>
      <c r="C22" s="512"/>
      <c r="D22" s="512"/>
      <c r="E22" s="512"/>
      <c r="F22" s="517"/>
      <c r="G22" s="160">
        <f>SUM(G20:G21)</f>
        <v>9.44</v>
      </c>
    </row>
    <row r="23" spans="1:7" ht="15.75" thickBot="1" x14ac:dyDescent="0.3">
      <c r="A23" s="37"/>
      <c r="B23" s="37"/>
      <c r="C23" s="37"/>
      <c r="D23" s="37"/>
      <c r="E23" s="37"/>
      <c r="F23" s="37"/>
      <c r="G23" s="83"/>
    </row>
    <row r="24" spans="1:7" ht="20.100000000000001" customHeight="1" x14ac:dyDescent="0.25">
      <c r="A24" s="514" t="str">
        <f>ORÇAMENTO!B20</f>
        <v>CPU 03</v>
      </c>
      <c r="B24" s="515"/>
      <c r="C24" s="515"/>
      <c r="D24" s="515"/>
      <c r="E24" s="515"/>
      <c r="F24" s="515"/>
      <c r="G24" s="516"/>
    </row>
    <row r="25" spans="1:7" ht="20.100000000000001" customHeight="1" x14ac:dyDescent="0.25">
      <c r="A25" s="245" t="s">
        <v>0</v>
      </c>
      <c r="B25" s="503" t="s">
        <v>14</v>
      </c>
      <c r="C25" s="504"/>
      <c r="D25" s="504"/>
      <c r="E25" s="504"/>
      <c r="F25" s="505"/>
      <c r="G25" s="246" t="s">
        <v>90</v>
      </c>
    </row>
    <row r="26" spans="1:7" ht="20.100000000000001" customHeight="1" x14ac:dyDescent="0.25">
      <c r="A26" s="244" t="str">
        <f>ORÇAMENTO!A25</f>
        <v>4.3</v>
      </c>
      <c r="B26" s="506" t="s">
        <v>282</v>
      </c>
      <c r="C26" s="507"/>
      <c r="D26" s="507"/>
      <c r="E26" s="507"/>
      <c r="F26" s="508"/>
      <c r="G26" s="238" t="s">
        <v>113</v>
      </c>
    </row>
    <row r="27" spans="1:7" ht="20.100000000000001" customHeight="1" x14ac:dyDescent="0.25">
      <c r="A27" s="286" t="s">
        <v>84</v>
      </c>
      <c r="B27" s="287" t="s">
        <v>9</v>
      </c>
      <c r="C27" s="287" t="s">
        <v>14</v>
      </c>
      <c r="D27" s="287" t="s">
        <v>2</v>
      </c>
      <c r="E27" s="288" t="s">
        <v>3</v>
      </c>
      <c r="F27" s="289" t="s">
        <v>52</v>
      </c>
      <c r="G27" s="290" t="s">
        <v>53</v>
      </c>
    </row>
    <row r="28" spans="1:7" ht="20.100000000000001" customHeight="1" x14ac:dyDescent="0.25">
      <c r="A28" s="166" t="s">
        <v>11</v>
      </c>
      <c r="B28" s="172" t="s">
        <v>176</v>
      </c>
      <c r="C28" s="173" t="s">
        <v>76</v>
      </c>
      <c r="D28" s="168" t="s">
        <v>65</v>
      </c>
      <c r="E28" s="76">
        <v>0.26</v>
      </c>
      <c r="F28" s="81">
        <v>24.72</v>
      </c>
      <c r="G28" s="154">
        <f t="shared" ref="G28:G29" si="1">ROUND((F28*E28),2)</f>
        <v>6.43</v>
      </c>
    </row>
    <row r="29" spans="1:7" ht="20.100000000000001" customHeight="1" thickBot="1" x14ac:dyDescent="0.3">
      <c r="A29" s="166" t="s">
        <v>11</v>
      </c>
      <c r="B29" s="172">
        <v>88316</v>
      </c>
      <c r="C29" s="173" t="s">
        <v>59</v>
      </c>
      <c r="D29" s="168" t="s">
        <v>65</v>
      </c>
      <c r="E29" s="296">
        <v>0.32</v>
      </c>
      <c r="F29" s="297">
        <v>19.940000000000001</v>
      </c>
      <c r="G29" s="154">
        <f t="shared" si="1"/>
        <v>6.38</v>
      </c>
    </row>
    <row r="30" spans="1:7" ht="20.100000000000001" customHeight="1" thickBot="1" x14ac:dyDescent="0.3">
      <c r="A30" s="511" t="s">
        <v>15</v>
      </c>
      <c r="B30" s="512"/>
      <c r="C30" s="512"/>
      <c r="D30" s="512"/>
      <c r="E30" s="512"/>
      <c r="F30" s="517"/>
      <c r="G30" s="160">
        <f>SUM(G28:G29)</f>
        <v>12.809999999999999</v>
      </c>
    </row>
    <row r="31" spans="1:7" ht="15.75" thickBot="1" x14ac:dyDescent="0.3">
      <c r="A31" s="37"/>
      <c r="B31" s="37"/>
      <c r="C31" s="37"/>
      <c r="D31" s="37"/>
      <c r="E31" s="37"/>
      <c r="F31" s="37"/>
      <c r="G31" s="83"/>
    </row>
    <row r="32" spans="1:7" ht="20.100000000000001" customHeight="1" x14ac:dyDescent="0.25">
      <c r="A32" s="514" t="str">
        <f>ORÇAMENTO!B27</f>
        <v>CPU 04</v>
      </c>
      <c r="B32" s="515"/>
      <c r="C32" s="515"/>
      <c r="D32" s="515"/>
      <c r="E32" s="515"/>
      <c r="F32" s="515"/>
      <c r="G32" s="516"/>
    </row>
    <row r="33" spans="1:7" ht="20.100000000000001" customHeight="1" x14ac:dyDescent="0.25">
      <c r="A33" s="245" t="s">
        <v>0</v>
      </c>
      <c r="B33" s="503" t="s">
        <v>14</v>
      </c>
      <c r="C33" s="504"/>
      <c r="D33" s="504"/>
      <c r="E33" s="504"/>
      <c r="F33" s="505"/>
      <c r="G33" s="246" t="s">
        <v>90</v>
      </c>
    </row>
    <row r="34" spans="1:7" ht="39.75" customHeight="1" x14ac:dyDescent="0.25">
      <c r="A34" s="244" t="str">
        <f>ORÇAMENTO!A27</f>
        <v>4.5</v>
      </c>
      <c r="B34" s="506" t="s">
        <v>368</v>
      </c>
      <c r="C34" s="507"/>
      <c r="D34" s="507"/>
      <c r="E34" s="507"/>
      <c r="F34" s="508"/>
      <c r="G34" s="238" t="s">
        <v>108</v>
      </c>
    </row>
    <row r="35" spans="1:7" ht="20.100000000000001" customHeight="1" x14ac:dyDescent="0.25">
      <c r="A35" s="286" t="s">
        <v>84</v>
      </c>
      <c r="B35" s="287" t="s">
        <v>9</v>
      </c>
      <c r="C35" s="287" t="s">
        <v>14</v>
      </c>
      <c r="D35" s="287" t="s">
        <v>2</v>
      </c>
      <c r="E35" s="288" t="s">
        <v>3</v>
      </c>
      <c r="F35" s="289" t="s">
        <v>52</v>
      </c>
      <c r="G35" s="290" t="s">
        <v>53</v>
      </c>
    </row>
    <row r="36" spans="1:7" ht="20.100000000000001" customHeight="1" x14ac:dyDescent="0.25">
      <c r="A36" s="361" t="s">
        <v>352</v>
      </c>
      <c r="B36" s="361" t="s">
        <v>369</v>
      </c>
      <c r="C36" s="69" t="s">
        <v>370</v>
      </c>
      <c r="D36" s="366" t="s">
        <v>371</v>
      </c>
      <c r="E36" s="367">
        <v>0.15</v>
      </c>
      <c r="F36" s="368">
        <v>60</v>
      </c>
      <c r="G36" s="369">
        <f>ROUND((F36*E36),2)</f>
        <v>9</v>
      </c>
    </row>
    <row r="37" spans="1:7" ht="20.100000000000001" customHeight="1" x14ac:dyDescent="0.25">
      <c r="A37" s="361" t="s">
        <v>352</v>
      </c>
      <c r="B37" s="361" t="s">
        <v>372</v>
      </c>
      <c r="C37" s="69" t="s">
        <v>373</v>
      </c>
      <c r="D37" s="366" t="s">
        <v>6</v>
      </c>
      <c r="E37" s="367">
        <v>0.01</v>
      </c>
      <c r="F37" s="368">
        <v>105</v>
      </c>
      <c r="G37" s="369">
        <f t="shared" ref="G37:G40" si="2">ROUND((F37*E37),2)</f>
        <v>1.05</v>
      </c>
    </row>
    <row r="38" spans="1:7" ht="20.100000000000001" customHeight="1" x14ac:dyDescent="0.25">
      <c r="A38" s="361" t="s">
        <v>352</v>
      </c>
      <c r="B38" s="361" t="s">
        <v>374</v>
      </c>
      <c r="C38" s="69" t="s">
        <v>375</v>
      </c>
      <c r="D38" s="366" t="s">
        <v>5</v>
      </c>
      <c r="E38" s="367">
        <v>1.02</v>
      </c>
      <c r="F38" s="368">
        <v>200</v>
      </c>
      <c r="G38" s="369">
        <f t="shared" si="2"/>
        <v>204</v>
      </c>
    </row>
    <row r="39" spans="1:7" ht="20.100000000000001" customHeight="1" x14ac:dyDescent="0.25">
      <c r="A39" s="361" t="s">
        <v>11</v>
      </c>
      <c r="B39" s="361" t="s">
        <v>176</v>
      </c>
      <c r="C39" s="69" t="s">
        <v>76</v>
      </c>
      <c r="D39" s="366" t="s">
        <v>65</v>
      </c>
      <c r="E39" s="367">
        <v>0.6</v>
      </c>
      <c r="F39" s="368">
        <v>24.72</v>
      </c>
      <c r="G39" s="369">
        <f t="shared" si="2"/>
        <v>14.83</v>
      </c>
    </row>
    <row r="40" spans="1:7" ht="20.100000000000001" customHeight="1" thickBot="1" x14ac:dyDescent="0.3">
      <c r="A40" s="361" t="s">
        <v>11</v>
      </c>
      <c r="B40" s="361" t="s">
        <v>204</v>
      </c>
      <c r="C40" s="69" t="s">
        <v>59</v>
      </c>
      <c r="D40" s="366" t="s">
        <v>65</v>
      </c>
      <c r="E40" s="367">
        <v>0.6</v>
      </c>
      <c r="F40" s="368">
        <v>19.940000000000001</v>
      </c>
      <c r="G40" s="369">
        <f t="shared" si="2"/>
        <v>11.96</v>
      </c>
    </row>
    <row r="41" spans="1:7" ht="20.100000000000001" customHeight="1" thickBot="1" x14ac:dyDescent="0.3">
      <c r="A41" s="511" t="s">
        <v>15</v>
      </c>
      <c r="B41" s="512"/>
      <c r="C41" s="512"/>
      <c r="D41" s="512"/>
      <c r="E41" s="512"/>
      <c r="F41" s="517"/>
      <c r="G41" s="160">
        <f>SUM(G36:G40)</f>
        <v>240.84000000000003</v>
      </c>
    </row>
    <row r="42" spans="1:7" ht="15.75" thickBot="1" x14ac:dyDescent="0.3">
      <c r="A42" s="37"/>
      <c r="B42" s="37"/>
      <c r="C42" s="37"/>
      <c r="D42" s="37"/>
      <c r="E42" s="37"/>
      <c r="F42" s="37"/>
      <c r="G42" s="83"/>
    </row>
    <row r="43" spans="1:7" ht="20.100000000000001" customHeight="1" x14ac:dyDescent="0.25">
      <c r="A43" s="514" t="str">
        <f>ORÇAMENTO!B30</f>
        <v>CPU 05</v>
      </c>
      <c r="B43" s="515"/>
      <c r="C43" s="515"/>
      <c r="D43" s="515"/>
      <c r="E43" s="515"/>
      <c r="F43" s="515"/>
      <c r="G43" s="516"/>
    </row>
    <row r="44" spans="1:7" ht="20.100000000000001" customHeight="1" x14ac:dyDescent="0.25">
      <c r="A44" s="245" t="s">
        <v>0</v>
      </c>
      <c r="B44" s="503" t="s">
        <v>14</v>
      </c>
      <c r="C44" s="504"/>
      <c r="D44" s="504"/>
      <c r="E44" s="504"/>
      <c r="F44" s="505"/>
      <c r="G44" s="246" t="s">
        <v>90</v>
      </c>
    </row>
    <row r="45" spans="1:7" ht="38.25" customHeight="1" x14ac:dyDescent="0.25">
      <c r="A45" s="244" t="str">
        <f>ORÇAMENTO!A30</f>
        <v>5.1.1</v>
      </c>
      <c r="B45" s="518" t="s">
        <v>205</v>
      </c>
      <c r="C45" s="507"/>
      <c r="D45" s="507"/>
      <c r="E45" s="507"/>
      <c r="F45" s="508"/>
      <c r="G45" s="238" t="s">
        <v>108</v>
      </c>
    </row>
    <row r="46" spans="1:7" ht="20.100000000000001" customHeight="1" x14ac:dyDescent="0.25">
      <c r="A46" s="286" t="s">
        <v>84</v>
      </c>
      <c r="B46" s="287" t="s">
        <v>9</v>
      </c>
      <c r="C46" s="287" t="s">
        <v>14</v>
      </c>
      <c r="D46" s="287" t="s">
        <v>2</v>
      </c>
      <c r="E46" s="288" t="s">
        <v>3</v>
      </c>
      <c r="F46" s="289" t="s">
        <v>52</v>
      </c>
      <c r="G46" s="290" t="s">
        <v>53</v>
      </c>
    </row>
    <row r="47" spans="1:7" ht="31.5" customHeight="1" x14ac:dyDescent="0.25">
      <c r="A47" s="88" t="s">
        <v>11</v>
      </c>
      <c r="B47" s="70" t="s">
        <v>169</v>
      </c>
      <c r="C47" s="87" t="s">
        <v>170</v>
      </c>
      <c r="D47" s="43" t="s">
        <v>108</v>
      </c>
      <c r="E47" s="76">
        <v>1</v>
      </c>
      <c r="F47" s="81">
        <v>17.920000000000002</v>
      </c>
      <c r="G47" s="154">
        <f t="shared" ref="G47:G50" si="3">ROUND((F47*E47),2)</f>
        <v>17.920000000000002</v>
      </c>
    </row>
    <row r="48" spans="1:7" ht="20.100000000000001" customHeight="1" x14ac:dyDescent="0.25">
      <c r="A48" s="88" t="s">
        <v>83</v>
      </c>
      <c r="B48" s="70" t="s">
        <v>171</v>
      </c>
      <c r="C48" s="87" t="s">
        <v>202</v>
      </c>
      <c r="D48" s="43" t="s">
        <v>203</v>
      </c>
      <c r="E48" s="76">
        <f>0.04</f>
        <v>0.04</v>
      </c>
      <c r="F48" s="81">
        <v>184.28</v>
      </c>
      <c r="G48" s="154">
        <f t="shared" si="3"/>
        <v>7.37</v>
      </c>
    </row>
    <row r="49" spans="1:7" ht="20.100000000000001" customHeight="1" x14ac:dyDescent="0.25">
      <c r="A49" s="88" t="s">
        <v>11</v>
      </c>
      <c r="B49" s="70" t="s">
        <v>172</v>
      </c>
      <c r="C49" s="87" t="s">
        <v>126</v>
      </c>
      <c r="D49" s="43" t="s">
        <v>65</v>
      </c>
      <c r="E49" s="76">
        <v>0.04</v>
      </c>
      <c r="F49" s="81">
        <v>20.88</v>
      </c>
      <c r="G49" s="154">
        <f t="shared" si="3"/>
        <v>0.84</v>
      </c>
    </row>
    <row r="50" spans="1:7" ht="20.100000000000001" customHeight="1" thickBot="1" x14ac:dyDescent="0.3">
      <c r="A50" s="88" t="s">
        <v>11</v>
      </c>
      <c r="B50" s="70" t="s">
        <v>204</v>
      </c>
      <c r="C50" s="87" t="s">
        <v>59</v>
      </c>
      <c r="D50" s="43" t="s">
        <v>65</v>
      </c>
      <c r="E50" s="76">
        <v>0.16</v>
      </c>
      <c r="F50" s="81">
        <v>19.940000000000001</v>
      </c>
      <c r="G50" s="154">
        <f t="shared" si="3"/>
        <v>3.19</v>
      </c>
    </row>
    <row r="51" spans="1:7" ht="20.100000000000001" customHeight="1" thickBot="1" x14ac:dyDescent="0.3">
      <c r="A51" s="511" t="s">
        <v>15</v>
      </c>
      <c r="B51" s="512"/>
      <c r="C51" s="512"/>
      <c r="D51" s="512"/>
      <c r="E51" s="512"/>
      <c r="F51" s="513"/>
      <c r="G51" s="160">
        <f>SUM(G47:G50)</f>
        <v>29.320000000000004</v>
      </c>
    </row>
    <row r="52" spans="1:7" ht="15.75" thickBot="1" x14ac:dyDescent="0.3">
      <c r="A52" s="37"/>
      <c r="B52" s="37"/>
      <c r="C52" s="37"/>
      <c r="D52" s="37"/>
      <c r="E52" s="37"/>
      <c r="F52" s="37"/>
      <c r="G52" s="83"/>
    </row>
    <row r="53" spans="1:7" ht="20.100000000000001" customHeight="1" x14ac:dyDescent="0.25">
      <c r="A53" s="514" t="str">
        <f>ORÇAMENTO!B32</f>
        <v>CPU 06</v>
      </c>
      <c r="B53" s="515"/>
      <c r="C53" s="515"/>
      <c r="D53" s="515"/>
      <c r="E53" s="515"/>
      <c r="F53" s="515"/>
      <c r="G53" s="516"/>
    </row>
    <row r="54" spans="1:7" ht="20.100000000000001" customHeight="1" x14ac:dyDescent="0.25">
      <c r="A54" s="245" t="s">
        <v>0</v>
      </c>
      <c r="B54" s="503" t="s">
        <v>14</v>
      </c>
      <c r="C54" s="504"/>
      <c r="D54" s="504"/>
      <c r="E54" s="504"/>
      <c r="F54" s="505"/>
      <c r="G54" s="246" t="s">
        <v>90</v>
      </c>
    </row>
    <row r="55" spans="1:7" ht="20.100000000000001" customHeight="1" x14ac:dyDescent="0.25">
      <c r="A55" s="244" t="str">
        <f>ORÇAMENTO!A32</f>
        <v>5.1.3</v>
      </c>
      <c r="B55" s="503" t="s">
        <v>125</v>
      </c>
      <c r="C55" s="504"/>
      <c r="D55" s="504"/>
      <c r="E55" s="504"/>
      <c r="F55" s="505"/>
      <c r="G55" s="238" t="s">
        <v>10</v>
      </c>
    </row>
    <row r="56" spans="1:7" ht="20.100000000000001" customHeight="1" x14ac:dyDescent="0.25">
      <c r="A56" s="286" t="s">
        <v>84</v>
      </c>
      <c r="B56" s="287" t="s">
        <v>9</v>
      </c>
      <c r="C56" s="287" t="s">
        <v>14</v>
      </c>
      <c r="D56" s="287" t="s">
        <v>2</v>
      </c>
      <c r="E56" s="288" t="s">
        <v>3</v>
      </c>
      <c r="F56" s="289" t="s">
        <v>52</v>
      </c>
      <c r="G56" s="290" t="s">
        <v>53</v>
      </c>
    </row>
    <row r="57" spans="1:7" ht="20.100000000000001" customHeight="1" x14ac:dyDescent="0.25">
      <c r="A57" s="509" t="s">
        <v>168</v>
      </c>
      <c r="B57" s="510"/>
      <c r="C57" s="177" t="s">
        <v>147</v>
      </c>
      <c r="D57" s="74" t="s">
        <v>113</v>
      </c>
      <c r="E57" s="40">
        <v>1</v>
      </c>
      <c r="F57" s="132">
        <v>6</v>
      </c>
      <c r="G57" s="154">
        <f t="shared" ref="G57:G60" si="4">ROUND((F57*E57),2)</f>
        <v>6</v>
      </c>
    </row>
    <row r="58" spans="1:7" ht="29.25" customHeight="1" x14ac:dyDescent="0.25">
      <c r="A58" s="88" t="s">
        <v>11</v>
      </c>
      <c r="B58" s="74">
        <v>93358</v>
      </c>
      <c r="C58" s="87" t="s">
        <v>127</v>
      </c>
      <c r="D58" s="74" t="s">
        <v>128</v>
      </c>
      <c r="E58" s="40">
        <v>0.01</v>
      </c>
      <c r="F58" s="132">
        <v>78.88</v>
      </c>
      <c r="G58" s="154">
        <f t="shared" si="4"/>
        <v>0.79</v>
      </c>
    </row>
    <row r="59" spans="1:7" ht="20.100000000000001" customHeight="1" x14ac:dyDescent="0.25">
      <c r="A59" s="88" t="s">
        <v>11</v>
      </c>
      <c r="B59" s="74">
        <v>88441</v>
      </c>
      <c r="C59" s="87" t="s">
        <v>126</v>
      </c>
      <c r="D59" s="74" t="s">
        <v>65</v>
      </c>
      <c r="E59" s="40">
        <v>0.08</v>
      </c>
      <c r="F59" s="132">
        <v>20.88</v>
      </c>
      <c r="G59" s="154">
        <f t="shared" si="4"/>
        <v>1.67</v>
      </c>
    </row>
    <row r="60" spans="1:7" ht="20.100000000000001" customHeight="1" thickBot="1" x14ac:dyDescent="0.3">
      <c r="A60" s="178" t="s">
        <v>11</v>
      </c>
      <c r="B60" s="74">
        <v>88316</v>
      </c>
      <c r="C60" s="87" t="s">
        <v>59</v>
      </c>
      <c r="D60" s="75" t="s">
        <v>54</v>
      </c>
      <c r="E60" s="76">
        <v>0.08</v>
      </c>
      <c r="F60" s="169">
        <v>19.940000000000001</v>
      </c>
      <c r="G60" s="154">
        <f t="shared" si="4"/>
        <v>1.6</v>
      </c>
    </row>
    <row r="61" spans="1:7" ht="15.75" thickBot="1" x14ac:dyDescent="0.3">
      <c r="A61" s="511" t="s">
        <v>15</v>
      </c>
      <c r="B61" s="512"/>
      <c r="C61" s="512"/>
      <c r="D61" s="512"/>
      <c r="E61" s="512"/>
      <c r="F61" s="517"/>
      <c r="G61" s="152">
        <f>SUM(G57:G60)</f>
        <v>10.06</v>
      </c>
    </row>
    <row r="62" spans="1:7" ht="15.75" thickBot="1" x14ac:dyDescent="0.3">
      <c r="A62" s="37"/>
      <c r="B62" s="37"/>
      <c r="C62" s="37"/>
      <c r="D62" s="37"/>
      <c r="E62" s="37"/>
      <c r="F62" s="37"/>
      <c r="G62" s="83"/>
    </row>
    <row r="63" spans="1:7" ht="20.100000000000001" customHeight="1" x14ac:dyDescent="0.25">
      <c r="A63" s="514" t="str">
        <f>ORÇAMENTO!B33</f>
        <v>CPU 07</v>
      </c>
      <c r="B63" s="515"/>
      <c r="C63" s="515"/>
      <c r="D63" s="515"/>
      <c r="E63" s="515"/>
      <c r="F63" s="515"/>
      <c r="G63" s="516"/>
    </row>
    <row r="64" spans="1:7" ht="20.100000000000001" customHeight="1" x14ac:dyDescent="0.25">
      <c r="A64" s="245" t="s">
        <v>0</v>
      </c>
      <c r="B64" s="503" t="s">
        <v>14</v>
      </c>
      <c r="C64" s="504"/>
      <c r="D64" s="504"/>
      <c r="E64" s="504"/>
      <c r="F64" s="505"/>
      <c r="G64" s="246" t="s">
        <v>90</v>
      </c>
    </row>
    <row r="65" spans="1:7" ht="20.100000000000001" customHeight="1" x14ac:dyDescent="0.25">
      <c r="A65" s="286" t="str">
        <f>ORÇAMENTO!A33</f>
        <v>5.1.4</v>
      </c>
      <c r="B65" s="503" t="s">
        <v>129</v>
      </c>
      <c r="C65" s="504"/>
      <c r="D65" s="504"/>
      <c r="E65" s="504"/>
      <c r="F65" s="505"/>
      <c r="G65" s="290" t="s">
        <v>10</v>
      </c>
    </row>
    <row r="66" spans="1:7" ht="20.100000000000001" customHeight="1" x14ac:dyDescent="0.25">
      <c r="A66" s="286" t="s">
        <v>84</v>
      </c>
      <c r="B66" s="287" t="s">
        <v>9</v>
      </c>
      <c r="C66" s="287" t="s">
        <v>14</v>
      </c>
      <c r="D66" s="287" t="s">
        <v>2</v>
      </c>
      <c r="E66" s="288" t="s">
        <v>3</v>
      </c>
      <c r="F66" s="289" t="s">
        <v>52</v>
      </c>
      <c r="G66" s="290" t="s">
        <v>53</v>
      </c>
    </row>
    <row r="67" spans="1:7" ht="20.100000000000001" customHeight="1" x14ac:dyDescent="0.25">
      <c r="A67" s="509" t="s">
        <v>168</v>
      </c>
      <c r="B67" s="510"/>
      <c r="C67" s="177" t="s">
        <v>130</v>
      </c>
      <c r="D67" s="74" t="s">
        <v>113</v>
      </c>
      <c r="E67" s="40">
        <v>1</v>
      </c>
      <c r="F67" s="132">
        <v>6</v>
      </c>
      <c r="G67" s="154">
        <f t="shared" ref="G67:G70" si="5">ROUND((F67*E67),2)</f>
        <v>6</v>
      </c>
    </row>
    <row r="68" spans="1:7" ht="35.25" customHeight="1" x14ac:dyDescent="0.25">
      <c r="A68" s="88" t="s">
        <v>11</v>
      </c>
      <c r="B68" s="74">
        <v>93358</v>
      </c>
      <c r="C68" s="87" t="s">
        <v>127</v>
      </c>
      <c r="D68" s="74" t="s">
        <v>128</v>
      </c>
      <c r="E68" s="40">
        <v>0.01</v>
      </c>
      <c r="F68" s="132">
        <v>78.88</v>
      </c>
      <c r="G68" s="154">
        <f t="shared" si="5"/>
        <v>0.79</v>
      </c>
    </row>
    <row r="69" spans="1:7" ht="20.100000000000001" customHeight="1" x14ac:dyDescent="0.25">
      <c r="A69" s="88" t="s">
        <v>11</v>
      </c>
      <c r="B69" s="74">
        <v>88441</v>
      </c>
      <c r="C69" s="87" t="s">
        <v>126</v>
      </c>
      <c r="D69" s="74" t="s">
        <v>65</v>
      </c>
      <c r="E69" s="40">
        <v>0.08</v>
      </c>
      <c r="F69" s="132">
        <v>20.88</v>
      </c>
      <c r="G69" s="154">
        <f t="shared" si="5"/>
        <v>1.67</v>
      </c>
    </row>
    <row r="70" spans="1:7" ht="20.100000000000001" customHeight="1" thickBot="1" x14ac:dyDescent="0.3">
      <c r="A70" s="88" t="s">
        <v>56</v>
      </c>
      <c r="B70" s="74">
        <v>88316</v>
      </c>
      <c r="C70" s="87" t="s">
        <v>59</v>
      </c>
      <c r="D70" s="75" t="s">
        <v>54</v>
      </c>
      <c r="E70" s="76">
        <v>0.08</v>
      </c>
      <c r="F70" s="169">
        <v>19.940000000000001</v>
      </c>
      <c r="G70" s="154">
        <f t="shared" si="5"/>
        <v>1.6</v>
      </c>
    </row>
    <row r="71" spans="1:7" ht="20.100000000000001" customHeight="1" thickBot="1" x14ac:dyDescent="0.3">
      <c r="A71" s="511" t="s">
        <v>15</v>
      </c>
      <c r="B71" s="512"/>
      <c r="C71" s="512"/>
      <c r="D71" s="512"/>
      <c r="E71" s="512"/>
      <c r="F71" s="517"/>
      <c r="G71" s="152">
        <f>SUM(G67:G70)</f>
        <v>10.06</v>
      </c>
    </row>
    <row r="72" spans="1:7" ht="20.100000000000001" customHeight="1" thickBot="1" x14ac:dyDescent="0.3">
      <c r="A72" s="37"/>
      <c r="B72" s="37"/>
      <c r="C72" s="37"/>
      <c r="D72" s="37"/>
      <c r="E72" s="37"/>
      <c r="F72" s="37"/>
      <c r="G72" s="83"/>
    </row>
    <row r="73" spans="1:7" ht="20.100000000000001" customHeight="1" x14ac:dyDescent="0.25">
      <c r="A73" s="514" t="str">
        <f>ORÇAMENTO!B34</f>
        <v>CPU 08</v>
      </c>
      <c r="B73" s="515"/>
      <c r="C73" s="515"/>
      <c r="D73" s="515"/>
      <c r="E73" s="515"/>
      <c r="F73" s="515"/>
      <c r="G73" s="516"/>
    </row>
    <row r="74" spans="1:7" ht="20.100000000000001" customHeight="1" x14ac:dyDescent="0.25">
      <c r="A74" s="245" t="s">
        <v>0</v>
      </c>
      <c r="B74" s="503" t="s">
        <v>14</v>
      </c>
      <c r="C74" s="504"/>
      <c r="D74" s="504"/>
      <c r="E74" s="504"/>
      <c r="F74" s="505"/>
      <c r="G74" s="246" t="s">
        <v>90</v>
      </c>
    </row>
    <row r="75" spans="1:7" ht="20.100000000000001" customHeight="1" x14ac:dyDescent="0.25">
      <c r="A75" s="113" t="str">
        <f>ORÇAMENTO!A34</f>
        <v>5.1.5</v>
      </c>
      <c r="B75" s="503" t="s">
        <v>132</v>
      </c>
      <c r="C75" s="504"/>
      <c r="D75" s="504"/>
      <c r="E75" s="504"/>
      <c r="F75" s="505"/>
      <c r="G75" s="92" t="s">
        <v>133</v>
      </c>
    </row>
    <row r="76" spans="1:7" ht="20.100000000000001" customHeight="1" x14ac:dyDescent="0.25">
      <c r="A76" s="84" t="s">
        <v>84</v>
      </c>
      <c r="B76" s="77" t="s">
        <v>9</v>
      </c>
      <c r="C76" s="77" t="s">
        <v>14</v>
      </c>
      <c r="D76" s="77" t="s">
        <v>2</v>
      </c>
      <c r="E76" s="85" t="s">
        <v>3</v>
      </c>
      <c r="F76" s="78" t="s">
        <v>52</v>
      </c>
      <c r="G76" s="86" t="s">
        <v>53</v>
      </c>
    </row>
    <row r="77" spans="1:7" ht="20.100000000000001" customHeight="1" x14ac:dyDescent="0.25">
      <c r="A77" s="509" t="s">
        <v>168</v>
      </c>
      <c r="B77" s="510"/>
      <c r="C77" s="177" t="s">
        <v>131</v>
      </c>
      <c r="D77" s="74" t="s">
        <v>133</v>
      </c>
      <c r="E77" s="40">
        <v>1</v>
      </c>
      <c r="F77" s="132">
        <v>2.0099999999999998</v>
      </c>
      <c r="G77" s="154">
        <f t="shared" ref="G77:G79" si="6">ROUND((F77*E77),2)</f>
        <v>2.0099999999999998</v>
      </c>
    </row>
    <row r="78" spans="1:7" ht="20.100000000000001" customHeight="1" x14ac:dyDescent="0.25">
      <c r="A78" s="88" t="s">
        <v>11</v>
      </c>
      <c r="B78" s="74">
        <v>88441</v>
      </c>
      <c r="C78" s="87" t="s">
        <v>126</v>
      </c>
      <c r="D78" s="74" t="s">
        <v>65</v>
      </c>
      <c r="E78" s="40">
        <v>0.05</v>
      </c>
      <c r="F78" s="132">
        <v>20.88</v>
      </c>
      <c r="G78" s="154">
        <f t="shared" si="6"/>
        <v>1.04</v>
      </c>
    </row>
    <row r="79" spans="1:7" ht="20.100000000000001" customHeight="1" thickBot="1" x14ac:dyDescent="0.3">
      <c r="A79" s="88" t="s">
        <v>56</v>
      </c>
      <c r="B79" s="74">
        <v>88316</v>
      </c>
      <c r="C79" s="87" t="s">
        <v>59</v>
      </c>
      <c r="D79" s="75" t="s">
        <v>54</v>
      </c>
      <c r="E79" s="76">
        <v>0.05</v>
      </c>
      <c r="F79" s="169">
        <v>19.940000000000001</v>
      </c>
      <c r="G79" s="154">
        <f t="shared" si="6"/>
        <v>1</v>
      </c>
    </row>
    <row r="80" spans="1:7" ht="20.100000000000001" customHeight="1" thickBot="1" x14ac:dyDescent="0.3">
      <c r="A80" s="511" t="s">
        <v>15</v>
      </c>
      <c r="B80" s="512"/>
      <c r="C80" s="512"/>
      <c r="D80" s="512"/>
      <c r="E80" s="512"/>
      <c r="F80" s="517"/>
      <c r="G80" s="152">
        <f>SUM(G77:G79)</f>
        <v>4.05</v>
      </c>
    </row>
    <row r="81" spans="1:9" ht="15.75" thickBot="1" x14ac:dyDescent="0.3">
      <c r="A81" s="37"/>
      <c r="B81" s="37"/>
      <c r="C81" s="37"/>
      <c r="D81" s="37"/>
      <c r="E81" s="37"/>
      <c r="F81" s="37"/>
      <c r="G81" s="83"/>
    </row>
    <row r="82" spans="1:9" ht="20.100000000000001" customHeight="1" x14ac:dyDescent="0.25">
      <c r="A82" s="514" t="str">
        <f>ORÇAMENTO!B36</f>
        <v>CPU 09</v>
      </c>
      <c r="B82" s="515"/>
      <c r="C82" s="515"/>
      <c r="D82" s="515"/>
      <c r="E82" s="515"/>
      <c r="F82" s="515"/>
      <c r="G82" s="516"/>
    </row>
    <row r="83" spans="1:9" ht="20.100000000000001" customHeight="1" x14ac:dyDescent="0.25">
      <c r="A83" s="245" t="s">
        <v>0</v>
      </c>
      <c r="B83" s="503" t="s">
        <v>14</v>
      </c>
      <c r="C83" s="504"/>
      <c r="D83" s="504"/>
      <c r="E83" s="504"/>
      <c r="F83" s="505"/>
      <c r="G83" s="246" t="s">
        <v>90</v>
      </c>
    </row>
    <row r="84" spans="1:9" ht="39.950000000000003" customHeight="1" x14ac:dyDescent="0.25">
      <c r="A84" s="244" t="str">
        <f>ORÇAMENTO!A36</f>
        <v>5.2.1</v>
      </c>
      <c r="B84" s="518" t="str">
        <f>ORÇAMENTO!D36</f>
        <v>BANCO CURVO EM CONCRETO ARMADO 15 Mpa, ACABAMENTO EM CIMENTADO QUEIMADO, MEDINDO 6,95 X 0,50M, ESP. = 10 CM COM H=0,45M DO PISO PRONTO</v>
      </c>
      <c r="C84" s="507"/>
      <c r="D84" s="507"/>
      <c r="E84" s="507"/>
      <c r="F84" s="508"/>
      <c r="G84" s="238" t="s">
        <v>113</v>
      </c>
    </row>
    <row r="85" spans="1:9" ht="20.100000000000001" customHeight="1" x14ac:dyDescent="0.25">
      <c r="A85" s="286" t="s">
        <v>84</v>
      </c>
      <c r="B85" s="287" t="s">
        <v>9</v>
      </c>
      <c r="C85" s="287" t="s">
        <v>14</v>
      </c>
      <c r="D85" s="287" t="s">
        <v>2</v>
      </c>
      <c r="E85" s="288" t="s">
        <v>3</v>
      </c>
      <c r="F85" s="289" t="s">
        <v>52</v>
      </c>
      <c r="G85" s="290" t="s">
        <v>53</v>
      </c>
    </row>
    <row r="86" spans="1:9" ht="30" customHeight="1" x14ac:dyDescent="0.25">
      <c r="A86" s="88" t="s">
        <v>149</v>
      </c>
      <c r="B86" s="174">
        <v>30010</v>
      </c>
      <c r="C86" s="175" t="s">
        <v>166</v>
      </c>
      <c r="D86" s="75" t="s">
        <v>107</v>
      </c>
      <c r="E86" s="272">
        <f>(0.15*0.5*0.08)*5</f>
        <v>0.03</v>
      </c>
      <c r="F86" s="169">
        <v>79.760000000000005</v>
      </c>
      <c r="G86" s="154">
        <f t="shared" ref="G86:G89" si="7">ROUND((F86*E86),2)</f>
        <v>2.39</v>
      </c>
    </row>
    <row r="87" spans="1:9" ht="30" customHeight="1" x14ac:dyDescent="0.25">
      <c r="A87" s="88" t="s">
        <v>11</v>
      </c>
      <c r="B87" s="174" t="s">
        <v>209</v>
      </c>
      <c r="C87" s="175" t="s">
        <v>210</v>
      </c>
      <c r="D87" s="43" t="s">
        <v>108</v>
      </c>
      <c r="E87" s="272">
        <f>(0.15*0.5)*5</f>
        <v>0.375</v>
      </c>
      <c r="F87" s="169">
        <v>23.34</v>
      </c>
      <c r="G87" s="154">
        <f t="shared" si="7"/>
        <v>8.75</v>
      </c>
    </row>
    <row r="88" spans="1:9" ht="30" customHeight="1" x14ac:dyDescent="0.25">
      <c r="A88" s="88" t="s">
        <v>149</v>
      </c>
      <c r="B88" s="174" t="s">
        <v>174</v>
      </c>
      <c r="C88" s="175" t="s">
        <v>175</v>
      </c>
      <c r="D88" s="75" t="s">
        <v>107</v>
      </c>
      <c r="E88" s="76">
        <f>(3.296*0.1)+(0.1*0.5*0.4)*5</f>
        <v>0.42960000000000004</v>
      </c>
      <c r="F88" s="169">
        <v>3637.6</v>
      </c>
      <c r="G88" s="154">
        <f t="shared" si="7"/>
        <v>1562.71</v>
      </c>
    </row>
    <row r="89" spans="1:9" ht="20.100000000000001" customHeight="1" thickBot="1" x14ac:dyDescent="0.3">
      <c r="A89" s="509" t="s">
        <v>168</v>
      </c>
      <c r="B89" s="510"/>
      <c r="C89" s="180" t="s">
        <v>184</v>
      </c>
      <c r="D89" s="43" t="s">
        <v>108</v>
      </c>
      <c r="E89" s="164">
        <f>(3.296)+(0.643)+(0.82*3)+(6.95*0.1)+(6.23*0.1)+(0.45*0.5*2)+(0.1*0.35*10)+(0.35*0.5*8)</f>
        <v>9.9169999999999998</v>
      </c>
      <c r="F89" s="81">
        <v>25.64</v>
      </c>
      <c r="G89" s="154">
        <f t="shared" si="7"/>
        <v>254.27</v>
      </c>
    </row>
    <row r="90" spans="1:9" ht="20.100000000000001" customHeight="1" thickBot="1" x14ac:dyDescent="0.3">
      <c r="A90" s="511" t="s">
        <v>15</v>
      </c>
      <c r="B90" s="512"/>
      <c r="C90" s="512"/>
      <c r="D90" s="512"/>
      <c r="E90" s="512"/>
      <c r="F90" s="513"/>
      <c r="G90" s="160">
        <f>SUM(G86:G89)</f>
        <v>1828.1200000000001</v>
      </c>
    </row>
    <row r="91" spans="1:9" ht="15.75" thickBot="1" x14ac:dyDescent="0.3">
      <c r="A91" s="37"/>
      <c r="B91" s="37"/>
      <c r="C91" s="37"/>
      <c r="D91" s="37"/>
      <c r="E91" s="37"/>
      <c r="F91" s="37"/>
      <c r="G91" s="83"/>
      <c r="I91" s="354"/>
    </row>
    <row r="92" spans="1:9" x14ac:dyDescent="0.25">
      <c r="A92" s="514" t="str">
        <f>ORÇAMENTO!B37</f>
        <v>CPU 10</v>
      </c>
      <c r="B92" s="515"/>
      <c r="C92" s="515"/>
      <c r="D92" s="515"/>
      <c r="E92" s="515"/>
      <c r="F92" s="515"/>
      <c r="G92" s="516"/>
      <c r="I92" s="354"/>
    </row>
    <row r="93" spans="1:9" x14ac:dyDescent="0.25">
      <c r="A93" s="245" t="s">
        <v>0</v>
      </c>
      <c r="B93" s="503" t="s">
        <v>14</v>
      </c>
      <c r="C93" s="504"/>
      <c r="D93" s="504"/>
      <c r="E93" s="504"/>
      <c r="F93" s="505"/>
      <c r="G93" s="246" t="s">
        <v>90</v>
      </c>
      <c r="I93" s="354"/>
    </row>
    <row r="94" spans="1:9" ht="34.5" customHeight="1" x14ac:dyDescent="0.25">
      <c r="A94" s="244" t="str">
        <f>ORÇAMENTO!A37</f>
        <v>5.2.2</v>
      </c>
      <c r="B94" s="522" t="str">
        <f>ORÇAMENTO!D37</f>
        <v>BANCO CURVO EM CONCRETO ARMADO 15 Mpa, ACABAMENTO EM CIMENTADO QUEIMADO, MEDINDO 5,45 X 0,50M, ESP. = 10 CM COM H=0,45M DO PISO PRONTO</v>
      </c>
      <c r="C94" s="507"/>
      <c r="D94" s="507"/>
      <c r="E94" s="507"/>
      <c r="F94" s="508"/>
      <c r="G94" s="238" t="s">
        <v>113</v>
      </c>
      <c r="I94" s="354"/>
    </row>
    <row r="95" spans="1:9" x14ac:dyDescent="0.25">
      <c r="A95" s="286" t="s">
        <v>84</v>
      </c>
      <c r="B95" s="287" t="s">
        <v>9</v>
      </c>
      <c r="C95" s="287" t="s">
        <v>14</v>
      </c>
      <c r="D95" s="287" t="s">
        <v>2</v>
      </c>
      <c r="E95" s="288" t="s">
        <v>3</v>
      </c>
      <c r="F95" s="289" t="s">
        <v>52</v>
      </c>
      <c r="G95" s="290" t="s">
        <v>53</v>
      </c>
      <c r="I95" s="354"/>
    </row>
    <row r="96" spans="1:9" ht="28.5" x14ac:dyDescent="0.25">
      <c r="A96" s="88" t="s">
        <v>149</v>
      </c>
      <c r="B96" s="174">
        <v>30010</v>
      </c>
      <c r="C96" s="175" t="s">
        <v>166</v>
      </c>
      <c r="D96" s="75" t="s">
        <v>107</v>
      </c>
      <c r="E96" s="272">
        <f>(0.15*0.5*0.08)*3</f>
        <v>1.8000000000000002E-2</v>
      </c>
      <c r="F96" s="169">
        <v>79.760000000000005</v>
      </c>
      <c r="G96" s="154">
        <f t="shared" ref="G96:G99" si="8">ROUND((F96*E96),2)</f>
        <v>1.44</v>
      </c>
      <c r="I96" s="354"/>
    </row>
    <row r="97" spans="1:9" ht="42.75" x14ac:dyDescent="0.25">
      <c r="A97" s="88" t="s">
        <v>11</v>
      </c>
      <c r="B97" s="174" t="s">
        <v>209</v>
      </c>
      <c r="C97" s="175" t="s">
        <v>210</v>
      </c>
      <c r="D97" s="43" t="s">
        <v>108</v>
      </c>
      <c r="E97" s="272">
        <f>(0.15*0.5)*3</f>
        <v>0.22499999999999998</v>
      </c>
      <c r="F97" s="169">
        <v>23.34</v>
      </c>
      <c r="G97" s="154">
        <f t="shared" si="8"/>
        <v>5.25</v>
      </c>
      <c r="I97" s="354"/>
    </row>
    <row r="98" spans="1:9" ht="28.5" x14ac:dyDescent="0.25">
      <c r="A98" s="88" t="s">
        <v>149</v>
      </c>
      <c r="B98" s="174" t="s">
        <v>174</v>
      </c>
      <c r="C98" s="175" t="s">
        <v>175</v>
      </c>
      <c r="D98" s="75" t="s">
        <v>107</v>
      </c>
      <c r="E98" s="76">
        <f>(2.42*0.1)+(0.1*0.5*0.4)*3</f>
        <v>0.30199999999999999</v>
      </c>
      <c r="F98" s="169">
        <v>3637.6</v>
      </c>
      <c r="G98" s="154">
        <f t="shared" si="8"/>
        <v>1098.56</v>
      </c>
      <c r="I98" s="354"/>
    </row>
    <row r="99" spans="1:9" ht="20.100000000000001" customHeight="1" thickBot="1" x14ac:dyDescent="0.3">
      <c r="A99" s="509" t="s">
        <v>168</v>
      </c>
      <c r="B99" s="510"/>
      <c r="C99" s="180" t="s">
        <v>184</v>
      </c>
      <c r="D99" s="43" t="s">
        <v>108</v>
      </c>
      <c r="E99" s="164">
        <f>(2.42)+(1.1095)+(1.1499)+(5.45*0.1)+(4.24*0.1)+(0.45*0.5*2)+(0.1*0.35*6)+(0.35*0.5*4)</f>
        <v>7.0084</v>
      </c>
      <c r="F99" s="81">
        <v>25.64</v>
      </c>
      <c r="G99" s="154">
        <f t="shared" si="8"/>
        <v>179.7</v>
      </c>
      <c r="I99" s="354"/>
    </row>
    <row r="100" spans="1:9" ht="15.75" thickBot="1" x14ac:dyDescent="0.3">
      <c r="A100" s="511" t="s">
        <v>15</v>
      </c>
      <c r="B100" s="512"/>
      <c r="C100" s="512"/>
      <c r="D100" s="512"/>
      <c r="E100" s="512"/>
      <c r="F100" s="513"/>
      <c r="G100" s="160">
        <f>SUM(G96:G99)</f>
        <v>1284.95</v>
      </c>
      <c r="I100" s="354"/>
    </row>
    <row r="101" spans="1:9" ht="15.75" thickBot="1" x14ac:dyDescent="0.3">
      <c r="A101" s="37"/>
      <c r="B101" s="37"/>
      <c r="C101" s="37"/>
      <c r="D101" s="37"/>
      <c r="E101" s="37"/>
      <c r="F101" s="37"/>
      <c r="G101" s="83"/>
      <c r="I101" s="354"/>
    </row>
    <row r="102" spans="1:9" x14ac:dyDescent="0.25">
      <c r="A102" s="514" t="str">
        <f>ORÇAMENTO!B38</f>
        <v>CPU 11</v>
      </c>
      <c r="B102" s="515"/>
      <c r="C102" s="515"/>
      <c r="D102" s="515"/>
      <c r="E102" s="515"/>
      <c r="F102" s="515"/>
      <c r="G102" s="516"/>
      <c r="I102" s="354"/>
    </row>
    <row r="103" spans="1:9" x14ac:dyDescent="0.25">
      <c r="A103" s="245" t="s">
        <v>0</v>
      </c>
      <c r="B103" s="503" t="s">
        <v>14</v>
      </c>
      <c r="C103" s="504"/>
      <c r="D103" s="504"/>
      <c r="E103" s="504"/>
      <c r="F103" s="505"/>
      <c r="G103" s="246" t="s">
        <v>90</v>
      </c>
      <c r="I103" s="354"/>
    </row>
    <row r="104" spans="1:9" ht="35.25" customHeight="1" x14ac:dyDescent="0.25">
      <c r="A104" s="244" t="str">
        <f>ORÇAMENTO!A38</f>
        <v>5.2.3</v>
      </c>
      <c r="B104" s="522" t="str">
        <f>ORÇAMENTO!D38</f>
        <v>BANCO CURVO EM CONCRETO ARMADO 15 Mpa, ACABAMENTO EM CIMENTADO QUEIMADO, MEDINDO 4,70 X 0,50M, ESP. = 10 CM COM H=0,45M DO PISO PRONTO</v>
      </c>
      <c r="C104" s="507"/>
      <c r="D104" s="507"/>
      <c r="E104" s="507"/>
      <c r="F104" s="508"/>
      <c r="G104" s="238" t="s">
        <v>113</v>
      </c>
      <c r="I104" s="354"/>
    </row>
    <row r="105" spans="1:9" x14ac:dyDescent="0.25">
      <c r="A105" s="286" t="s">
        <v>84</v>
      </c>
      <c r="B105" s="287" t="s">
        <v>9</v>
      </c>
      <c r="C105" s="287" t="s">
        <v>14</v>
      </c>
      <c r="D105" s="287" t="s">
        <v>2</v>
      </c>
      <c r="E105" s="288" t="s">
        <v>3</v>
      </c>
      <c r="F105" s="289" t="s">
        <v>52</v>
      </c>
      <c r="G105" s="290" t="s">
        <v>53</v>
      </c>
      <c r="I105" s="354"/>
    </row>
    <row r="106" spans="1:9" ht="28.5" x14ac:dyDescent="0.25">
      <c r="A106" s="88" t="s">
        <v>149</v>
      </c>
      <c r="B106" s="174">
        <v>30010</v>
      </c>
      <c r="C106" s="175" t="s">
        <v>166</v>
      </c>
      <c r="D106" s="75" t="s">
        <v>107</v>
      </c>
      <c r="E106" s="272">
        <f>(0.15*0.5*0.08)*3</f>
        <v>1.8000000000000002E-2</v>
      </c>
      <c r="F106" s="169">
        <v>79.760000000000005</v>
      </c>
      <c r="G106" s="154">
        <f t="shared" ref="G106:G109" si="9">ROUND((F106*E106),2)</f>
        <v>1.44</v>
      </c>
      <c r="I106" s="354"/>
    </row>
    <row r="107" spans="1:9" ht="42.75" x14ac:dyDescent="0.25">
      <c r="A107" s="88" t="s">
        <v>11</v>
      </c>
      <c r="B107" s="174" t="s">
        <v>209</v>
      </c>
      <c r="C107" s="175" t="s">
        <v>210</v>
      </c>
      <c r="D107" s="43" t="s">
        <v>108</v>
      </c>
      <c r="E107" s="272">
        <f>(0.15*0.5)*3</f>
        <v>0.22499999999999998</v>
      </c>
      <c r="F107" s="169">
        <v>23.34</v>
      </c>
      <c r="G107" s="154">
        <f t="shared" si="9"/>
        <v>5.25</v>
      </c>
      <c r="I107" s="354"/>
    </row>
    <row r="108" spans="1:9" ht="28.5" x14ac:dyDescent="0.25">
      <c r="A108" s="88" t="s">
        <v>149</v>
      </c>
      <c r="B108" s="174" t="s">
        <v>174</v>
      </c>
      <c r="C108" s="175" t="s">
        <v>175</v>
      </c>
      <c r="D108" s="75" t="s">
        <v>107</v>
      </c>
      <c r="E108" s="76">
        <f>(2.2241*0.1)+(0.1*0.5*0.4)*3</f>
        <v>0.28240999999999999</v>
      </c>
      <c r="F108" s="169">
        <v>3637.6</v>
      </c>
      <c r="G108" s="154">
        <f t="shared" si="9"/>
        <v>1027.29</v>
      </c>
      <c r="I108" s="354"/>
    </row>
    <row r="109" spans="1:9" ht="20.100000000000001" customHeight="1" thickBot="1" x14ac:dyDescent="0.3">
      <c r="A109" s="509" t="s">
        <v>168</v>
      </c>
      <c r="B109" s="510"/>
      <c r="C109" s="180" t="s">
        <v>184</v>
      </c>
      <c r="D109" s="43" t="s">
        <v>108</v>
      </c>
      <c r="E109" s="164">
        <f>(2.2241)+(1.0034)+(1.07)+(4.7*0.1)+(4.2*0.1)+(0.45*0.5*2)+(0.1*0.35*6)+(0.35*0.5*4)</f>
        <v>6.5475000000000003</v>
      </c>
      <c r="F109" s="81">
        <v>25.64</v>
      </c>
      <c r="G109" s="154">
        <f t="shared" si="9"/>
        <v>167.88</v>
      </c>
      <c r="I109" s="354"/>
    </row>
    <row r="110" spans="1:9" ht="15.75" thickBot="1" x14ac:dyDescent="0.3">
      <c r="A110" s="511" t="s">
        <v>15</v>
      </c>
      <c r="B110" s="512"/>
      <c r="C110" s="512"/>
      <c r="D110" s="512"/>
      <c r="E110" s="512"/>
      <c r="F110" s="513"/>
      <c r="G110" s="160">
        <f>SUM(G106:G109)</f>
        <v>1201.8600000000001</v>
      </c>
      <c r="I110" s="354"/>
    </row>
    <row r="111" spans="1:9" ht="15.75" thickBot="1" x14ac:dyDescent="0.3">
      <c r="A111" s="37"/>
      <c r="B111" s="37"/>
      <c r="C111" s="37"/>
      <c r="D111" s="37"/>
      <c r="E111" s="37"/>
      <c r="F111" s="37"/>
      <c r="G111" s="83"/>
      <c r="I111" s="354"/>
    </row>
    <row r="112" spans="1:9" ht="20.100000000000001" customHeight="1" thickBot="1" x14ac:dyDescent="0.3">
      <c r="A112" s="519" t="str">
        <f>ORÇAMENTO!B42</f>
        <v>CPU 12</v>
      </c>
      <c r="B112" s="520"/>
      <c r="C112" s="520"/>
      <c r="D112" s="520"/>
      <c r="E112" s="520"/>
      <c r="F112" s="520"/>
      <c r="G112" s="521"/>
    </row>
    <row r="113" spans="1:7" ht="20.100000000000001" customHeight="1" x14ac:dyDescent="0.25">
      <c r="A113" s="245" t="s">
        <v>0</v>
      </c>
      <c r="B113" s="503" t="s">
        <v>14</v>
      </c>
      <c r="C113" s="504"/>
      <c r="D113" s="504"/>
      <c r="E113" s="504"/>
      <c r="F113" s="505"/>
      <c r="G113" s="246" t="s">
        <v>90</v>
      </c>
    </row>
    <row r="114" spans="1:7" ht="59.25" customHeight="1" x14ac:dyDescent="0.25">
      <c r="A114" s="244" t="str">
        <f>ORÇAMENTO!A42</f>
        <v>5.4.1</v>
      </c>
      <c r="B114" s="518" t="s">
        <v>150</v>
      </c>
      <c r="C114" s="507"/>
      <c r="D114" s="507"/>
      <c r="E114" s="507"/>
      <c r="F114" s="508"/>
      <c r="G114" s="238" t="s">
        <v>113</v>
      </c>
    </row>
    <row r="115" spans="1:7" ht="20.100000000000001" customHeight="1" x14ac:dyDescent="0.25">
      <c r="A115" s="291" t="s">
        <v>84</v>
      </c>
      <c r="B115" s="287" t="s">
        <v>9</v>
      </c>
      <c r="C115" s="287" t="s">
        <v>14</v>
      </c>
      <c r="D115" s="287" t="s">
        <v>2</v>
      </c>
      <c r="E115" s="288" t="s">
        <v>3</v>
      </c>
      <c r="F115" s="289" t="s">
        <v>52</v>
      </c>
      <c r="G115" s="290" t="s">
        <v>53</v>
      </c>
    </row>
    <row r="116" spans="1:7" ht="30" customHeight="1" x14ac:dyDescent="0.25">
      <c r="A116" s="88" t="s">
        <v>11</v>
      </c>
      <c r="B116" s="74">
        <v>93358</v>
      </c>
      <c r="C116" s="71" t="s">
        <v>127</v>
      </c>
      <c r="D116" s="74" t="s">
        <v>107</v>
      </c>
      <c r="E116" s="40">
        <f>0.35*0.35*0.63</f>
        <v>7.7174999999999994E-2</v>
      </c>
      <c r="F116" s="169">
        <v>78.88</v>
      </c>
      <c r="G116" s="154">
        <f t="shared" ref="G116:G131" si="10">ROUND((F116*E116),2)</f>
        <v>6.09</v>
      </c>
    </row>
    <row r="117" spans="1:7" ht="30" customHeight="1" x14ac:dyDescent="0.25">
      <c r="A117" s="88" t="s">
        <v>11</v>
      </c>
      <c r="B117" s="74">
        <v>93382</v>
      </c>
      <c r="C117" s="71" t="s">
        <v>154</v>
      </c>
      <c r="D117" s="74" t="s">
        <v>6</v>
      </c>
      <c r="E117" s="40">
        <f>E116*0.1</f>
        <v>7.7174999999999995E-3</v>
      </c>
      <c r="F117" s="169">
        <v>23.78</v>
      </c>
      <c r="G117" s="154">
        <f t="shared" si="10"/>
        <v>0.18</v>
      </c>
    </row>
    <row r="118" spans="1:7" ht="30" customHeight="1" x14ac:dyDescent="0.25">
      <c r="A118" s="88" t="s">
        <v>11</v>
      </c>
      <c r="B118" s="74">
        <v>102487</v>
      </c>
      <c r="C118" s="71" t="s">
        <v>86</v>
      </c>
      <c r="D118" s="74" t="s">
        <v>107</v>
      </c>
      <c r="E118" s="40">
        <v>7.717499999999998E-2</v>
      </c>
      <c r="F118" s="169">
        <v>738.4</v>
      </c>
      <c r="G118" s="154">
        <f t="shared" si="10"/>
        <v>56.99</v>
      </c>
    </row>
    <row r="119" spans="1:7" ht="20.100000000000001" customHeight="1" x14ac:dyDescent="0.25">
      <c r="A119" s="88" t="s">
        <v>149</v>
      </c>
      <c r="B119" s="74" t="s">
        <v>177</v>
      </c>
      <c r="C119" s="158" t="s">
        <v>151</v>
      </c>
      <c r="D119" s="74" t="s">
        <v>108</v>
      </c>
      <c r="E119" s="40">
        <f>(0.45*2+0.4*2)*0.7+0.45*0.4</f>
        <v>1.3699999999999999</v>
      </c>
      <c r="F119" s="169">
        <v>211.6</v>
      </c>
      <c r="G119" s="154">
        <f t="shared" si="10"/>
        <v>289.89</v>
      </c>
    </row>
    <row r="120" spans="1:7" ht="20.100000000000001" customHeight="1" x14ac:dyDescent="0.25">
      <c r="A120" s="509" t="s">
        <v>168</v>
      </c>
      <c r="B120" s="510"/>
      <c r="C120" s="158" t="s">
        <v>152</v>
      </c>
      <c r="D120" s="74" t="s">
        <v>133</v>
      </c>
      <c r="E120" s="40">
        <f>(0.6+0.6+0.3)*2</f>
        <v>3</v>
      </c>
      <c r="F120" s="169">
        <v>25.24</v>
      </c>
      <c r="G120" s="154">
        <f t="shared" si="10"/>
        <v>75.72</v>
      </c>
    </row>
    <row r="121" spans="1:7" ht="30" customHeight="1" x14ac:dyDescent="0.25">
      <c r="A121" s="88" t="s">
        <v>83</v>
      </c>
      <c r="B121" s="74">
        <v>1323</v>
      </c>
      <c r="C121" s="71" t="s">
        <v>179</v>
      </c>
      <c r="D121" s="74" t="s">
        <v>134</v>
      </c>
      <c r="E121" s="40">
        <f>0.4*0.45*9.6</f>
        <v>1.7280000000000002</v>
      </c>
      <c r="F121" s="169">
        <v>9.34</v>
      </c>
      <c r="G121" s="154">
        <f t="shared" si="10"/>
        <v>16.14</v>
      </c>
    </row>
    <row r="122" spans="1:7" ht="20.100000000000001" customHeight="1" x14ac:dyDescent="0.25">
      <c r="A122" s="88" t="s">
        <v>83</v>
      </c>
      <c r="B122" s="74">
        <v>4777</v>
      </c>
      <c r="C122" s="71" t="s">
        <v>180</v>
      </c>
      <c r="D122" s="74" t="s">
        <v>134</v>
      </c>
      <c r="E122" s="40">
        <f>(0.45*6+0.4*6+0.7*4)*0.55</f>
        <v>4.3450000000000006</v>
      </c>
      <c r="F122" s="169">
        <v>8.02</v>
      </c>
      <c r="G122" s="154">
        <f t="shared" si="10"/>
        <v>34.85</v>
      </c>
    </row>
    <row r="123" spans="1:7" ht="20.100000000000001" customHeight="1" x14ac:dyDescent="0.25">
      <c r="A123" s="509" t="s">
        <v>168</v>
      </c>
      <c r="B123" s="510"/>
      <c r="C123" s="158" t="s">
        <v>178</v>
      </c>
      <c r="D123" s="74" t="s">
        <v>133</v>
      </c>
      <c r="E123" s="40">
        <f>(0.6+0.6+0.3)*2</f>
        <v>3</v>
      </c>
      <c r="F123" s="169">
        <v>7.62</v>
      </c>
      <c r="G123" s="154">
        <f t="shared" si="10"/>
        <v>22.86</v>
      </c>
    </row>
    <row r="124" spans="1:7" ht="30" customHeight="1" x14ac:dyDescent="0.25">
      <c r="A124" s="88" t="s">
        <v>83</v>
      </c>
      <c r="B124" s="74">
        <v>1332</v>
      </c>
      <c r="C124" s="71" t="s">
        <v>182</v>
      </c>
      <c r="D124" s="74" t="s">
        <v>134</v>
      </c>
      <c r="E124" s="40">
        <f>0.7*0.1*2</f>
        <v>0.13999999999999999</v>
      </c>
      <c r="F124" s="169">
        <v>8.7100000000000009</v>
      </c>
      <c r="G124" s="154">
        <f t="shared" si="10"/>
        <v>1.22</v>
      </c>
    </row>
    <row r="125" spans="1:7" ht="20.100000000000001" customHeight="1" x14ac:dyDescent="0.25">
      <c r="A125" s="88" t="s">
        <v>149</v>
      </c>
      <c r="B125" s="74">
        <v>171142</v>
      </c>
      <c r="C125" s="71" t="s">
        <v>181</v>
      </c>
      <c r="D125" s="74" t="s">
        <v>133</v>
      </c>
      <c r="E125" s="40">
        <v>0.5</v>
      </c>
      <c r="F125" s="169">
        <v>43.27</v>
      </c>
      <c r="G125" s="154">
        <f t="shared" si="10"/>
        <v>21.64</v>
      </c>
    </row>
    <row r="126" spans="1:7" ht="43.5" customHeight="1" x14ac:dyDescent="0.25">
      <c r="A126" s="88" t="s">
        <v>83</v>
      </c>
      <c r="B126" s="74">
        <v>3992</v>
      </c>
      <c r="C126" s="71" t="s">
        <v>183</v>
      </c>
      <c r="D126" s="74" t="s">
        <v>133</v>
      </c>
      <c r="E126" s="40">
        <f>(0.6+0.6)*2</f>
        <v>2.4</v>
      </c>
      <c r="F126">
        <v>27.84</v>
      </c>
      <c r="G126" s="154">
        <f t="shared" si="10"/>
        <v>66.819999999999993</v>
      </c>
    </row>
    <row r="127" spans="1:7" ht="30" customHeight="1" x14ac:dyDescent="0.25">
      <c r="A127" s="88" t="s">
        <v>11</v>
      </c>
      <c r="B127" s="74">
        <v>98753</v>
      </c>
      <c r="C127" s="71" t="s">
        <v>153</v>
      </c>
      <c r="D127" s="74" t="s">
        <v>133</v>
      </c>
      <c r="E127" s="40">
        <v>2</v>
      </c>
      <c r="F127" s="81">
        <v>389.47</v>
      </c>
      <c r="G127" s="154">
        <f t="shared" si="10"/>
        <v>778.94</v>
      </c>
    </row>
    <row r="128" spans="1:7" ht="20.100000000000001" customHeight="1" x14ac:dyDescent="0.25">
      <c r="A128" s="88" t="s">
        <v>11</v>
      </c>
      <c r="B128" s="74">
        <v>88315</v>
      </c>
      <c r="C128" s="71" t="s">
        <v>66</v>
      </c>
      <c r="D128" s="74" t="s">
        <v>65</v>
      </c>
      <c r="E128" s="40">
        <v>2</v>
      </c>
      <c r="F128" s="81">
        <v>24.53</v>
      </c>
      <c r="G128" s="154">
        <f t="shared" si="10"/>
        <v>49.06</v>
      </c>
    </row>
    <row r="129" spans="1:7" ht="20.100000000000001" customHeight="1" x14ac:dyDescent="0.25">
      <c r="A129" s="88" t="s">
        <v>83</v>
      </c>
      <c r="B129" s="74">
        <v>252</v>
      </c>
      <c r="C129" s="71" t="s">
        <v>155</v>
      </c>
      <c r="D129" s="74" t="s">
        <v>65</v>
      </c>
      <c r="E129" s="40">
        <v>2</v>
      </c>
      <c r="F129" s="81">
        <v>12.3</v>
      </c>
      <c r="G129" s="154">
        <f t="shared" si="10"/>
        <v>24.6</v>
      </c>
    </row>
    <row r="130" spans="1:7" ht="20.100000000000001" customHeight="1" x14ac:dyDescent="0.25">
      <c r="A130" s="88" t="s">
        <v>11</v>
      </c>
      <c r="B130" s="70">
        <v>88316</v>
      </c>
      <c r="C130" s="87" t="s">
        <v>136</v>
      </c>
      <c r="D130" s="43" t="s">
        <v>65</v>
      </c>
      <c r="E130" s="76">
        <v>0.5</v>
      </c>
      <c r="F130" s="81">
        <v>19.940000000000001</v>
      </c>
      <c r="G130" s="154">
        <f t="shared" si="10"/>
        <v>9.9700000000000006</v>
      </c>
    </row>
    <row r="131" spans="1:7" ht="20.100000000000001" customHeight="1" thickBot="1" x14ac:dyDescent="0.3">
      <c r="A131" s="88" t="s">
        <v>11</v>
      </c>
      <c r="B131" s="70" t="s">
        <v>176</v>
      </c>
      <c r="C131" s="87" t="s">
        <v>76</v>
      </c>
      <c r="D131" s="74" t="s">
        <v>65</v>
      </c>
      <c r="E131" s="40">
        <v>0.5</v>
      </c>
      <c r="F131" s="81">
        <v>24.72</v>
      </c>
      <c r="G131" s="154">
        <f t="shared" si="10"/>
        <v>12.36</v>
      </c>
    </row>
    <row r="132" spans="1:7" ht="20.100000000000001" customHeight="1" thickBot="1" x14ac:dyDescent="0.3">
      <c r="A132" s="511" t="s">
        <v>15</v>
      </c>
      <c r="B132" s="512"/>
      <c r="C132" s="512"/>
      <c r="D132" s="512"/>
      <c r="E132" s="512"/>
      <c r="F132" s="517"/>
      <c r="G132" s="152">
        <f>SUM(G116:G131)</f>
        <v>1467.33</v>
      </c>
    </row>
    <row r="133" spans="1:7" ht="15.75" thickBot="1" x14ac:dyDescent="0.3">
      <c r="A133" s="37"/>
      <c r="B133" s="37"/>
      <c r="C133" s="37"/>
      <c r="D133" s="37"/>
      <c r="E133" s="37"/>
      <c r="F133" s="37"/>
      <c r="G133" s="83"/>
    </row>
    <row r="134" spans="1:7" ht="15.75" thickBot="1" x14ac:dyDescent="0.3">
      <c r="A134" s="519" t="str">
        <f>ORÇAMENTO!B44</f>
        <v>CPU 13</v>
      </c>
      <c r="B134" s="520"/>
      <c r="C134" s="520"/>
      <c r="D134" s="520"/>
      <c r="E134" s="520"/>
      <c r="F134" s="520"/>
      <c r="G134" s="521"/>
    </row>
    <row r="135" spans="1:7" x14ac:dyDescent="0.25">
      <c r="A135" s="245" t="s">
        <v>0</v>
      </c>
      <c r="B135" s="503" t="s">
        <v>14</v>
      </c>
      <c r="C135" s="504"/>
      <c r="D135" s="504"/>
      <c r="E135" s="504"/>
      <c r="F135" s="505"/>
      <c r="G135" s="246" t="s">
        <v>90</v>
      </c>
    </row>
    <row r="136" spans="1:7" ht="57.75" customHeight="1" x14ac:dyDescent="0.25">
      <c r="A136" s="244" t="str">
        <f>ORÇAMENTO!A44</f>
        <v>5.5.1</v>
      </c>
      <c r="B136" s="518" t="str">
        <f>ORÇAMENTO!D44</f>
        <v>FORNECIMENTO E INSTALAÇÃO DE BRINQUEDO PARA PLAYGROUND TIPO CASTELO, COMPOSTO POR 1 ESCADA EM MADEIRA, 1 ESCORREGA EM PRANCHA DE MADEIRA - INCLUSIVE BLOCOS EM CONCRETO CICLÓPICO, LIXAMENTO DA MADEIRA E ACABAMENTO EM PINTURA VERNIZ INCOLOR</v>
      </c>
      <c r="C136" s="507"/>
      <c r="D136" s="507"/>
      <c r="E136" s="507"/>
      <c r="F136" s="508"/>
      <c r="G136" s="238" t="s">
        <v>113</v>
      </c>
    </row>
    <row r="137" spans="1:7" x14ac:dyDescent="0.25">
      <c r="A137" s="291" t="s">
        <v>84</v>
      </c>
      <c r="B137" s="287" t="s">
        <v>9</v>
      </c>
      <c r="C137" s="287" t="s">
        <v>14</v>
      </c>
      <c r="D137" s="287" t="s">
        <v>2</v>
      </c>
      <c r="E137" s="288" t="s">
        <v>3</v>
      </c>
      <c r="F137" s="289" t="s">
        <v>52</v>
      </c>
      <c r="G137" s="290" t="s">
        <v>53</v>
      </c>
    </row>
    <row r="138" spans="1:7" ht="22.5" customHeight="1" x14ac:dyDescent="0.25">
      <c r="A138" s="88" t="s">
        <v>149</v>
      </c>
      <c r="B138" s="74">
        <v>30010</v>
      </c>
      <c r="C138" s="71" t="s">
        <v>244</v>
      </c>
      <c r="D138" s="74" t="s">
        <v>6</v>
      </c>
      <c r="E138" s="40">
        <f>(0.3*0.3*0.75)*6</f>
        <v>0.40500000000000003</v>
      </c>
      <c r="F138" s="169">
        <v>79.760000000000005</v>
      </c>
      <c r="G138" s="154">
        <f t="shared" ref="G138:G156" si="11">ROUND((F138*E138),2)</f>
        <v>32.299999999999997</v>
      </c>
    </row>
    <row r="139" spans="1:7" ht="30" customHeight="1" x14ac:dyDescent="0.25">
      <c r="A139" s="88" t="s">
        <v>11</v>
      </c>
      <c r="B139" s="74">
        <v>95241</v>
      </c>
      <c r="C139" s="71" t="s">
        <v>245</v>
      </c>
      <c r="D139" s="74" t="s">
        <v>108</v>
      </c>
      <c r="E139" s="40">
        <f>(0.3*0.3*0.03)*6</f>
        <v>1.6199999999999999E-2</v>
      </c>
      <c r="F139" s="169">
        <v>44.2</v>
      </c>
      <c r="G139" s="154">
        <f t="shared" si="11"/>
        <v>0.72</v>
      </c>
    </row>
    <row r="140" spans="1:7" ht="30" customHeight="1" x14ac:dyDescent="0.25">
      <c r="A140" s="88" t="s">
        <v>11</v>
      </c>
      <c r="B140" s="74">
        <v>102487</v>
      </c>
      <c r="C140" s="71" t="s">
        <v>86</v>
      </c>
      <c r="D140" s="74" t="s">
        <v>107</v>
      </c>
      <c r="E140" s="40">
        <f>(0.3*0.3*0.42)*6</f>
        <v>0.2268</v>
      </c>
      <c r="F140" s="169">
        <v>738.4</v>
      </c>
      <c r="G140" s="154">
        <f t="shared" si="11"/>
        <v>167.47</v>
      </c>
    </row>
    <row r="141" spans="1:7" ht="39.75" customHeight="1" x14ac:dyDescent="0.25">
      <c r="A141" s="88" t="s">
        <v>11</v>
      </c>
      <c r="B141" s="74">
        <v>93382</v>
      </c>
      <c r="C141" s="71" t="s">
        <v>246</v>
      </c>
      <c r="D141" s="74" t="s">
        <v>107</v>
      </c>
      <c r="E141" s="40">
        <f>E138-E140</f>
        <v>0.17820000000000003</v>
      </c>
      <c r="F141" s="169">
        <v>23.78</v>
      </c>
      <c r="G141" s="154">
        <f t="shared" si="11"/>
        <v>4.24</v>
      </c>
    </row>
    <row r="142" spans="1:7" ht="42.75" x14ac:dyDescent="0.25">
      <c r="A142" s="88" t="s">
        <v>83</v>
      </c>
      <c r="B142" s="74">
        <v>35274</v>
      </c>
      <c r="C142" s="71" t="s">
        <v>247</v>
      </c>
      <c r="D142" s="74" t="s">
        <v>133</v>
      </c>
      <c r="E142" s="40">
        <f>(3.15*4)</f>
        <v>12.6</v>
      </c>
      <c r="F142" s="169">
        <v>45.67</v>
      </c>
      <c r="G142" s="154">
        <f t="shared" si="11"/>
        <v>575.44000000000005</v>
      </c>
    </row>
    <row r="143" spans="1:7" ht="42.75" x14ac:dyDescent="0.25">
      <c r="A143" s="357" t="s">
        <v>83</v>
      </c>
      <c r="B143" s="358">
        <v>20211</v>
      </c>
      <c r="C143" s="359" t="s">
        <v>248</v>
      </c>
      <c r="D143" s="74" t="s">
        <v>133</v>
      </c>
      <c r="E143" s="360">
        <f>0.85*4</f>
        <v>3.4</v>
      </c>
      <c r="F143" s="169">
        <v>30.71</v>
      </c>
      <c r="G143" s="154">
        <f t="shared" si="11"/>
        <v>104.41</v>
      </c>
    </row>
    <row r="144" spans="1:7" ht="42.75" x14ac:dyDescent="0.25">
      <c r="A144" s="88" t="s">
        <v>83</v>
      </c>
      <c r="B144" s="74">
        <v>20213</v>
      </c>
      <c r="C144" s="71" t="s">
        <v>249</v>
      </c>
      <c r="D144" s="74" t="s">
        <v>133</v>
      </c>
      <c r="E144" s="40">
        <f>0.85*4</f>
        <v>3.4</v>
      </c>
      <c r="F144" s="169">
        <v>23.19</v>
      </c>
      <c r="G144" s="154">
        <f t="shared" si="11"/>
        <v>78.849999999999994</v>
      </c>
    </row>
    <row r="145" spans="1:7" ht="42.75" x14ac:dyDescent="0.25">
      <c r="A145" s="357" t="s">
        <v>83</v>
      </c>
      <c r="B145" s="358">
        <v>4430</v>
      </c>
      <c r="C145" s="359" t="s">
        <v>250</v>
      </c>
      <c r="D145" s="74" t="s">
        <v>133</v>
      </c>
      <c r="E145" s="360">
        <f>(0.75*4)+(0.8*2)+(0.15*4)+(0.55*10)</f>
        <v>10.7</v>
      </c>
      <c r="F145" s="169">
        <v>12</v>
      </c>
      <c r="G145" s="154">
        <f t="shared" si="11"/>
        <v>128.4</v>
      </c>
    </row>
    <row r="146" spans="1:7" ht="42.75" x14ac:dyDescent="0.25">
      <c r="A146" s="357" t="s">
        <v>83</v>
      </c>
      <c r="B146" s="358">
        <v>3993</v>
      </c>
      <c r="C146" s="359" t="s">
        <v>251</v>
      </c>
      <c r="D146" s="74" t="s">
        <v>252</v>
      </c>
      <c r="E146" s="360">
        <f>(0.9*1)+(1.1*1.1)</f>
        <v>2.1100000000000003</v>
      </c>
      <c r="F146" s="169">
        <v>109.61</v>
      </c>
      <c r="G146" s="154">
        <f t="shared" si="11"/>
        <v>231.28</v>
      </c>
    </row>
    <row r="147" spans="1:7" ht="42.75" x14ac:dyDescent="0.25">
      <c r="A147" s="357" t="s">
        <v>83</v>
      </c>
      <c r="B147" s="358">
        <v>11844</v>
      </c>
      <c r="C147" s="359" t="s">
        <v>253</v>
      </c>
      <c r="D147" s="74" t="s">
        <v>133</v>
      </c>
      <c r="E147" s="360">
        <f>2.8*2</f>
        <v>5.6</v>
      </c>
      <c r="F147" s="169">
        <v>47.83</v>
      </c>
      <c r="G147" s="154">
        <f t="shared" si="11"/>
        <v>267.85000000000002</v>
      </c>
    </row>
    <row r="148" spans="1:7" ht="42.75" x14ac:dyDescent="0.25">
      <c r="A148" s="357" t="s">
        <v>83</v>
      </c>
      <c r="B148" s="358">
        <v>4465</v>
      </c>
      <c r="C148" s="359" t="s">
        <v>254</v>
      </c>
      <c r="D148" s="74" t="s">
        <v>133</v>
      </c>
      <c r="E148" s="360">
        <f>2.8*2</f>
        <v>5.6</v>
      </c>
      <c r="F148" s="169">
        <v>39.74</v>
      </c>
      <c r="G148" s="154">
        <f t="shared" si="11"/>
        <v>222.54</v>
      </c>
    </row>
    <row r="149" spans="1:7" ht="28.5" x14ac:dyDescent="0.25">
      <c r="A149" s="357" t="s">
        <v>83</v>
      </c>
      <c r="B149" s="358">
        <v>4115</v>
      </c>
      <c r="C149" s="359" t="s">
        <v>257</v>
      </c>
      <c r="D149" s="74" t="s">
        <v>133</v>
      </c>
      <c r="E149" s="360">
        <f>(0.5*8)+(1.85+0.95+1.7)*2</f>
        <v>13</v>
      </c>
      <c r="F149" s="169">
        <v>24.55</v>
      </c>
      <c r="G149" s="154">
        <f>ROUND((F149*E149),2)</f>
        <v>319.14999999999998</v>
      </c>
    </row>
    <row r="150" spans="1:7" ht="20.100000000000001" customHeight="1" x14ac:dyDescent="0.25">
      <c r="A150" s="357" t="s">
        <v>83</v>
      </c>
      <c r="B150" s="358">
        <v>5061</v>
      </c>
      <c r="C150" s="359" t="s">
        <v>235</v>
      </c>
      <c r="D150" s="74" t="s">
        <v>109</v>
      </c>
      <c r="E150" s="360">
        <v>1.5</v>
      </c>
      <c r="F150" s="169">
        <v>18.72</v>
      </c>
      <c r="G150" s="154">
        <f t="shared" si="11"/>
        <v>28.08</v>
      </c>
    </row>
    <row r="151" spans="1:7" ht="20.100000000000001" customHeight="1" x14ac:dyDescent="0.25">
      <c r="A151" s="357" t="s">
        <v>83</v>
      </c>
      <c r="B151" s="358">
        <v>5068</v>
      </c>
      <c r="C151" s="359" t="s">
        <v>255</v>
      </c>
      <c r="D151" s="74" t="s">
        <v>109</v>
      </c>
      <c r="E151" s="360">
        <v>1.5</v>
      </c>
      <c r="F151" s="169">
        <v>19.04</v>
      </c>
      <c r="G151" s="154">
        <f t="shared" si="11"/>
        <v>28.56</v>
      </c>
    </row>
    <row r="152" spans="1:7" ht="42.75" x14ac:dyDescent="0.25">
      <c r="A152" s="357" t="s">
        <v>83</v>
      </c>
      <c r="B152" s="358">
        <v>4344</v>
      </c>
      <c r="C152" s="359" t="s">
        <v>256</v>
      </c>
      <c r="D152" s="74" t="s">
        <v>135</v>
      </c>
      <c r="E152" s="360">
        <v>32</v>
      </c>
      <c r="F152" s="169">
        <v>25.11</v>
      </c>
      <c r="G152" s="154">
        <f t="shared" si="11"/>
        <v>803.52</v>
      </c>
    </row>
    <row r="153" spans="1:7" ht="28.5" x14ac:dyDescent="0.25">
      <c r="A153" s="357" t="s">
        <v>11</v>
      </c>
      <c r="B153" s="358">
        <v>102193</v>
      </c>
      <c r="C153" s="359" t="s">
        <v>258</v>
      </c>
      <c r="D153" s="358" t="s">
        <v>108</v>
      </c>
      <c r="E153" s="360">
        <f>(2.8*0.25*4)+(2.8*0.5)+(0.4*3.15*4)</f>
        <v>9.2399999999999984</v>
      </c>
      <c r="F153" s="169">
        <v>1.75</v>
      </c>
      <c r="G153" s="154">
        <f t="shared" si="11"/>
        <v>16.170000000000002</v>
      </c>
    </row>
    <row r="154" spans="1:7" ht="38.25" customHeight="1" x14ac:dyDescent="0.25">
      <c r="A154" s="357" t="s">
        <v>11</v>
      </c>
      <c r="B154" s="358">
        <v>102215</v>
      </c>
      <c r="C154" s="359" t="s">
        <v>259</v>
      </c>
      <c r="D154" s="358" t="s">
        <v>108</v>
      </c>
      <c r="E154" s="360">
        <f>(0.4*3.15*4)+(0.44*0.8*4)+(0.36*1*4)+(1.1*1.1)+(0.22*1.9)+(0.22*0.55*8)+(0.62*2.8*2)+(0.5*2.8)+(0.4712*7.7)+(0.4712*0.5*8)</f>
        <v>20.869039999999998</v>
      </c>
      <c r="F154" s="169">
        <v>18.170000000000002</v>
      </c>
      <c r="G154" s="154">
        <f t="shared" si="11"/>
        <v>379.19</v>
      </c>
    </row>
    <row r="155" spans="1:7" ht="28.5" x14ac:dyDescent="0.25">
      <c r="A155" s="88" t="s">
        <v>11</v>
      </c>
      <c r="B155" s="74">
        <v>88239</v>
      </c>
      <c r="C155" s="71" t="s">
        <v>236</v>
      </c>
      <c r="D155" s="74" t="s">
        <v>65</v>
      </c>
      <c r="E155" s="40">
        <v>10.62</v>
      </c>
      <c r="F155" s="169">
        <v>20.27</v>
      </c>
      <c r="G155" s="154">
        <f t="shared" si="11"/>
        <v>215.27</v>
      </c>
    </row>
    <row r="156" spans="1:7" ht="29.25" thickBot="1" x14ac:dyDescent="0.3">
      <c r="A156" s="88" t="s">
        <v>11</v>
      </c>
      <c r="B156" s="74">
        <v>88262</v>
      </c>
      <c r="C156" s="71" t="s">
        <v>237</v>
      </c>
      <c r="D156" s="74" t="s">
        <v>65</v>
      </c>
      <c r="E156" s="40">
        <v>15.45</v>
      </c>
      <c r="F156" s="169">
        <v>24.39</v>
      </c>
      <c r="G156" s="154">
        <f t="shared" si="11"/>
        <v>376.83</v>
      </c>
    </row>
    <row r="157" spans="1:7" ht="25.5" customHeight="1" thickBot="1" x14ac:dyDescent="0.3">
      <c r="A157" s="511" t="s">
        <v>15</v>
      </c>
      <c r="B157" s="512"/>
      <c r="C157" s="512"/>
      <c r="D157" s="512"/>
      <c r="E157" s="512"/>
      <c r="F157" s="517"/>
      <c r="G157" s="152">
        <f>SUM(G138:G156)</f>
        <v>3980.27</v>
      </c>
    </row>
    <row r="158" spans="1:7" ht="15.75" thickBot="1" x14ac:dyDescent="0.3">
      <c r="A158" s="37"/>
      <c r="B158" s="37"/>
      <c r="C158" s="37"/>
      <c r="D158" s="37"/>
      <c r="E158" s="37"/>
      <c r="F158" s="37"/>
      <c r="G158" s="83"/>
    </row>
    <row r="159" spans="1:7" ht="24" customHeight="1" x14ac:dyDescent="0.25">
      <c r="A159" s="514" t="str">
        <f>ORÇAMENTO!B45</f>
        <v>CPU 14</v>
      </c>
      <c r="B159" s="515"/>
      <c r="C159" s="515"/>
      <c r="D159" s="515"/>
      <c r="E159" s="515"/>
      <c r="F159" s="515"/>
      <c r="G159" s="516"/>
    </row>
    <row r="160" spans="1:7" x14ac:dyDescent="0.25">
      <c r="A160" s="245" t="s">
        <v>0</v>
      </c>
      <c r="B160" s="503" t="s">
        <v>14</v>
      </c>
      <c r="C160" s="504"/>
      <c r="D160" s="504"/>
      <c r="E160" s="504"/>
      <c r="F160" s="505"/>
      <c r="G160" s="246" t="s">
        <v>90</v>
      </c>
    </row>
    <row r="161" spans="1:7" ht="33" customHeight="1" x14ac:dyDescent="0.25">
      <c r="A161" s="244" t="str">
        <f>ORÇAMENTO!A45</f>
        <v>5.5.2</v>
      </c>
      <c r="B161" s="506" t="s">
        <v>303</v>
      </c>
      <c r="C161" s="507"/>
      <c r="D161" s="507"/>
      <c r="E161" s="507"/>
      <c r="F161" s="508"/>
      <c r="G161" s="238" t="s">
        <v>113</v>
      </c>
    </row>
    <row r="162" spans="1:7" ht="20.100000000000001" customHeight="1" x14ac:dyDescent="0.25">
      <c r="A162" s="286" t="s">
        <v>84</v>
      </c>
      <c r="B162" s="287" t="s">
        <v>9</v>
      </c>
      <c r="C162" s="287" t="s">
        <v>14</v>
      </c>
      <c r="D162" s="287" t="s">
        <v>2</v>
      </c>
      <c r="E162" s="288" t="s">
        <v>3</v>
      </c>
      <c r="F162" s="289" t="s">
        <v>52</v>
      </c>
      <c r="G162" s="290" t="s">
        <v>53</v>
      </c>
    </row>
    <row r="163" spans="1:7" ht="30" customHeight="1" x14ac:dyDescent="0.25">
      <c r="A163" s="88" t="s">
        <v>11</v>
      </c>
      <c r="B163" s="174">
        <v>93358</v>
      </c>
      <c r="C163" s="175" t="s">
        <v>127</v>
      </c>
      <c r="D163" s="75" t="s">
        <v>107</v>
      </c>
      <c r="E163" s="345">
        <f>0.3*0.3*0.85</f>
        <v>7.6499999999999999E-2</v>
      </c>
      <c r="F163" s="169">
        <v>78.88</v>
      </c>
      <c r="G163" s="154">
        <f t="shared" ref="G163:G167" si="12">ROUND((F163*E163),2)</f>
        <v>6.03</v>
      </c>
    </row>
    <row r="164" spans="1:7" ht="30" customHeight="1" x14ac:dyDescent="0.25">
      <c r="A164" s="88" t="s">
        <v>11</v>
      </c>
      <c r="B164" s="174">
        <v>95241</v>
      </c>
      <c r="C164" s="175" t="s">
        <v>245</v>
      </c>
      <c r="D164" s="75" t="s">
        <v>108</v>
      </c>
      <c r="E164" s="346">
        <f>0.3*0.3*0.05</f>
        <v>4.4999999999999997E-3</v>
      </c>
      <c r="F164" s="169">
        <v>44.2</v>
      </c>
      <c r="G164" s="154">
        <f t="shared" si="12"/>
        <v>0.2</v>
      </c>
    </row>
    <row r="165" spans="1:7" ht="30" customHeight="1" x14ac:dyDescent="0.25">
      <c r="A165" s="88" t="s">
        <v>11</v>
      </c>
      <c r="B165" s="174">
        <v>102487</v>
      </c>
      <c r="C165" s="175" t="s">
        <v>86</v>
      </c>
      <c r="D165" s="75" t="s">
        <v>107</v>
      </c>
      <c r="E165" s="345">
        <f>0.3*0.3*0.6</f>
        <v>5.3999999999999999E-2</v>
      </c>
      <c r="F165" s="169">
        <v>738.4</v>
      </c>
      <c r="G165" s="154">
        <f t="shared" si="12"/>
        <v>39.869999999999997</v>
      </c>
    </row>
    <row r="166" spans="1:7" ht="30" customHeight="1" x14ac:dyDescent="0.25">
      <c r="A166" s="88" t="s">
        <v>11</v>
      </c>
      <c r="B166" s="174">
        <v>93382</v>
      </c>
      <c r="C166" s="175" t="s">
        <v>246</v>
      </c>
      <c r="D166" s="75" t="s">
        <v>107</v>
      </c>
      <c r="E166" s="345">
        <f>E163-E165</f>
        <v>2.2499999999999999E-2</v>
      </c>
      <c r="F166" s="169">
        <v>23.78</v>
      </c>
      <c r="G166" s="154">
        <f t="shared" si="12"/>
        <v>0.54</v>
      </c>
    </row>
    <row r="167" spans="1:7" ht="71.25" customHeight="1" thickBot="1" x14ac:dyDescent="0.3">
      <c r="A167" s="509" t="s">
        <v>168</v>
      </c>
      <c r="B167" s="510"/>
      <c r="C167" s="347" t="s">
        <v>302</v>
      </c>
      <c r="D167" s="75" t="s">
        <v>113</v>
      </c>
      <c r="E167" s="345">
        <v>1</v>
      </c>
      <c r="F167" s="348">
        <v>2450.27</v>
      </c>
      <c r="G167" s="154">
        <f t="shared" si="12"/>
        <v>2450.27</v>
      </c>
    </row>
    <row r="168" spans="1:7" ht="20.100000000000001" customHeight="1" thickBot="1" x14ac:dyDescent="0.3">
      <c r="A168" s="511" t="s">
        <v>15</v>
      </c>
      <c r="B168" s="512"/>
      <c r="C168" s="512"/>
      <c r="D168" s="512"/>
      <c r="E168" s="512"/>
      <c r="F168" s="513"/>
      <c r="G168" s="160">
        <f>SUM(G163:G167)</f>
        <v>2496.91</v>
      </c>
    </row>
    <row r="169" spans="1:7" ht="15.75" thickBot="1" x14ac:dyDescent="0.3">
      <c r="A169" s="37"/>
      <c r="B169" s="37"/>
      <c r="C169" s="37"/>
      <c r="D169" s="37"/>
      <c r="E169" s="37"/>
      <c r="F169" s="37"/>
      <c r="G169" s="83"/>
    </row>
    <row r="170" spans="1:7" ht="20.100000000000001" customHeight="1" x14ac:dyDescent="0.25">
      <c r="A170" s="514" t="str">
        <f>ORÇAMENTO!B48</f>
        <v>CPU 15</v>
      </c>
      <c r="B170" s="515"/>
      <c r="C170" s="515"/>
      <c r="D170" s="515"/>
      <c r="E170" s="515"/>
      <c r="F170" s="515"/>
      <c r="G170" s="516"/>
    </row>
    <row r="171" spans="1:7" ht="20.100000000000001" customHeight="1" x14ac:dyDescent="0.25">
      <c r="A171" s="245" t="s">
        <v>0</v>
      </c>
      <c r="B171" s="503" t="s">
        <v>14</v>
      </c>
      <c r="C171" s="504"/>
      <c r="D171" s="504"/>
      <c r="E171" s="504"/>
      <c r="F171" s="505"/>
      <c r="G171" s="246" t="s">
        <v>90</v>
      </c>
    </row>
    <row r="172" spans="1:7" ht="62.25" customHeight="1" x14ac:dyDescent="0.25">
      <c r="A172" s="244" t="str">
        <f>ORÇAMENTO!A48</f>
        <v>5.6.1</v>
      </c>
      <c r="B172" s="506" t="s">
        <v>406</v>
      </c>
      <c r="C172" s="507"/>
      <c r="D172" s="507"/>
      <c r="E172" s="507"/>
      <c r="F172" s="508"/>
      <c r="G172" s="238" t="s">
        <v>113</v>
      </c>
    </row>
    <row r="173" spans="1:7" ht="25.5" customHeight="1" x14ac:dyDescent="0.25">
      <c r="A173" s="286" t="s">
        <v>84</v>
      </c>
      <c r="B173" s="287" t="s">
        <v>9</v>
      </c>
      <c r="C173" s="287" t="s">
        <v>14</v>
      </c>
      <c r="D173" s="287" t="s">
        <v>2</v>
      </c>
      <c r="E173" s="288" t="s">
        <v>3</v>
      </c>
      <c r="F173" s="289" t="s">
        <v>52</v>
      </c>
      <c r="G173" s="290" t="s">
        <v>53</v>
      </c>
    </row>
    <row r="174" spans="1:7" ht="28.5" x14ac:dyDescent="0.25">
      <c r="A174" s="88" t="s">
        <v>11</v>
      </c>
      <c r="B174" s="174">
        <v>93358</v>
      </c>
      <c r="C174" s="175" t="s">
        <v>127</v>
      </c>
      <c r="D174" s="75" t="s">
        <v>107</v>
      </c>
      <c r="E174" s="345">
        <f>1.1*1.1*1.55</f>
        <v>1.8755000000000004</v>
      </c>
      <c r="F174" s="169">
        <v>78.88</v>
      </c>
      <c r="G174" s="154">
        <f t="shared" ref="G174:G188" si="13">ROUND((F174*E174),2)</f>
        <v>147.94</v>
      </c>
    </row>
    <row r="175" spans="1:7" ht="28.5" x14ac:dyDescent="0.25">
      <c r="A175" s="88" t="s">
        <v>11</v>
      </c>
      <c r="B175" s="174">
        <v>95241</v>
      </c>
      <c r="C175" s="175" t="s">
        <v>245</v>
      </c>
      <c r="D175" s="75" t="s">
        <v>108</v>
      </c>
      <c r="E175" s="349">
        <f>1.1*1.1</f>
        <v>1.2100000000000002</v>
      </c>
      <c r="F175" s="169">
        <v>44.2</v>
      </c>
      <c r="G175" s="154">
        <f t="shared" si="13"/>
        <v>53.48</v>
      </c>
    </row>
    <row r="176" spans="1:7" ht="28.5" x14ac:dyDescent="0.25">
      <c r="A176" s="88" t="s">
        <v>149</v>
      </c>
      <c r="B176" s="174" t="s">
        <v>311</v>
      </c>
      <c r="C176" s="175" t="s">
        <v>312</v>
      </c>
      <c r="D176" s="75" t="s">
        <v>6</v>
      </c>
      <c r="E176" s="345">
        <f>(1.2039*0.2)+(6.9254*0.1)+(3.8166*0.1)+(1.4683*0.1)</f>
        <v>1.4618100000000001</v>
      </c>
      <c r="F176" s="169">
        <v>3703.15</v>
      </c>
      <c r="G176" s="154">
        <f t="shared" si="13"/>
        <v>5413.3</v>
      </c>
    </row>
    <row r="177" spans="1:7" ht="42.75" x14ac:dyDescent="0.25">
      <c r="A177" s="88" t="s">
        <v>11</v>
      </c>
      <c r="B177" s="174" t="s">
        <v>313</v>
      </c>
      <c r="C177" s="175" t="s">
        <v>314</v>
      </c>
      <c r="D177" s="75" t="s">
        <v>107</v>
      </c>
      <c r="E177" s="345">
        <f>(1*1*0.4)+(0.25*0.25*1.4)</f>
        <v>0.48750000000000004</v>
      </c>
      <c r="F177" s="169">
        <v>959.76</v>
      </c>
      <c r="G177" s="154">
        <f t="shared" si="13"/>
        <v>467.88</v>
      </c>
    </row>
    <row r="178" spans="1:7" ht="42.75" x14ac:dyDescent="0.25">
      <c r="A178" s="88" t="s">
        <v>11</v>
      </c>
      <c r="B178" s="174">
        <v>96535</v>
      </c>
      <c r="C178" s="175" t="s">
        <v>365</v>
      </c>
      <c r="D178" s="75" t="s">
        <v>108</v>
      </c>
      <c r="E178" s="345">
        <f>(1*4*0.4)+(0.25*4*1.4)</f>
        <v>3</v>
      </c>
      <c r="F178" s="169">
        <v>124.76</v>
      </c>
      <c r="G178" s="154">
        <f t="shared" si="13"/>
        <v>374.28</v>
      </c>
    </row>
    <row r="179" spans="1:7" ht="28.5" x14ac:dyDescent="0.25">
      <c r="A179" s="88" t="s">
        <v>11</v>
      </c>
      <c r="B179" s="174" t="s">
        <v>360</v>
      </c>
      <c r="C179" s="175" t="s">
        <v>361</v>
      </c>
      <c r="D179" s="75" t="s">
        <v>134</v>
      </c>
      <c r="E179" s="345">
        <v>1.8</v>
      </c>
      <c r="F179" s="169">
        <v>18.489999999999998</v>
      </c>
      <c r="G179" s="154">
        <f t="shared" si="13"/>
        <v>33.28</v>
      </c>
    </row>
    <row r="180" spans="1:7" ht="28.5" x14ac:dyDescent="0.25">
      <c r="A180" s="88" t="s">
        <v>11</v>
      </c>
      <c r="B180" s="174" t="s">
        <v>362</v>
      </c>
      <c r="C180" s="175" t="s">
        <v>363</v>
      </c>
      <c r="D180" s="75" t="s">
        <v>134</v>
      </c>
      <c r="E180" s="345">
        <v>5.85</v>
      </c>
      <c r="F180" s="169">
        <v>15.16</v>
      </c>
      <c r="G180" s="154">
        <f t="shared" si="13"/>
        <v>88.69</v>
      </c>
    </row>
    <row r="181" spans="1:7" ht="31.5" customHeight="1" x14ac:dyDescent="0.25">
      <c r="A181" s="88" t="s">
        <v>11</v>
      </c>
      <c r="B181" s="174">
        <v>96546</v>
      </c>
      <c r="C181" s="175" t="s">
        <v>364</v>
      </c>
      <c r="D181" s="75" t="s">
        <v>134</v>
      </c>
      <c r="E181" s="345">
        <v>11.62</v>
      </c>
      <c r="F181" s="169">
        <v>13.3</v>
      </c>
      <c r="G181" s="154">
        <f t="shared" si="13"/>
        <v>154.55000000000001</v>
      </c>
    </row>
    <row r="182" spans="1:7" ht="28.5" x14ac:dyDescent="0.25">
      <c r="A182" s="88" t="s">
        <v>11</v>
      </c>
      <c r="B182" s="174">
        <v>93382</v>
      </c>
      <c r="C182" s="175" t="s">
        <v>246</v>
      </c>
      <c r="D182" s="75" t="s">
        <v>107</v>
      </c>
      <c r="E182" s="345">
        <f>E174-E176</f>
        <v>0.41369000000000034</v>
      </c>
      <c r="F182" s="169">
        <v>23.78</v>
      </c>
      <c r="G182" s="154">
        <f t="shared" si="13"/>
        <v>9.84</v>
      </c>
    </row>
    <row r="183" spans="1:7" ht="28.5" x14ac:dyDescent="0.25">
      <c r="A183" s="509" t="s">
        <v>168</v>
      </c>
      <c r="B183" s="510"/>
      <c r="C183" s="175" t="s">
        <v>359</v>
      </c>
      <c r="D183" s="75" t="s">
        <v>133</v>
      </c>
      <c r="E183" s="350">
        <f>(12.75*2)/3</f>
        <v>8.5</v>
      </c>
      <c r="F183" s="169">
        <v>259.99</v>
      </c>
      <c r="G183" s="154">
        <f t="shared" si="13"/>
        <v>2209.92</v>
      </c>
    </row>
    <row r="184" spans="1:7" ht="27" customHeight="1" x14ac:dyDescent="0.25">
      <c r="A184" s="509" t="s">
        <v>168</v>
      </c>
      <c r="B184" s="510"/>
      <c r="C184" s="175" t="s">
        <v>407</v>
      </c>
      <c r="D184" s="75" t="s">
        <v>113</v>
      </c>
      <c r="E184" s="350">
        <v>6</v>
      </c>
      <c r="F184" s="169">
        <v>239.9</v>
      </c>
      <c r="G184" s="154">
        <f t="shared" si="13"/>
        <v>1439.4</v>
      </c>
    </row>
    <row r="185" spans="1:7" ht="29.25" customHeight="1" x14ac:dyDescent="0.25">
      <c r="A185" s="88" t="s">
        <v>11</v>
      </c>
      <c r="B185" s="174" t="s">
        <v>357</v>
      </c>
      <c r="C185" s="175" t="s">
        <v>358</v>
      </c>
      <c r="D185" s="75" t="s">
        <v>108</v>
      </c>
      <c r="E185" s="350">
        <f>(1.2039*2)+(13.21*0.2)+(3.1087)+(2.3483)+(1.4383)+(11.5378*0.1)+(9.1506*0.1)+(6.4176*0.1)</f>
        <v>14.6557</v>
      </c>
      <c r="F185" s="169">
        <v>13.33</v>
      </c>
      <c r="G185" s="154">
        <f t="shared" si="13"/>
        <v>195.36</v>
      </c>
    </row>
    <row r="186" spans="1:7" ht="20.100000000000001" customHeight="1" x14ac:dyDescent="0.25">
      <c r="A186" s="88" t="s">
        <v>149</v>
      </c>
      <c r="B186" s="174" t="s">
        <v>315</v>
      </c>
      <c r="C186" s="175" t="s">
        <v>316</v>
      </c>
      <c r="D186" s="75" t="s">
        <v>320</v>
      </c>
      <c r="E186" s="350">
        <v>10</v>
      </c>
      <c r="F186" s="169">
        <v>12.99</v>
      </c>
      <c r="G186" s="154">
        <f t="shared" si="13"/>
        <v>129.9</v>
      </c>
    </row>
    <row r="187" spans="1:7" ht="20.100000000000001" customHeight="1" x14ac:dyDescent="0.25">
      <c r="A187" s="88" t="s">
        <v>11</v>
      </c>
      <c r="B187" s="174" t="s">
        <v>317</v>
      </c>
      <c r="C187" s="175" t="s">
        <v>112</v>
      </c>
      <c r="D187" s="75" t="s">
        <v>65</v>
      </c>
      <c r="E187" s="350">
        <v>1.22</v>
      </c>
      <c r="F187" s="169">
        <v>25.01</v>
      </c>
      <c r="G187" s="154">
        <f t="shared" si="13"/>
        <v>30.51</v>
      </c>
    </row>
    <row r="188" spans="1:7" ht="20.100000000000001" customHeight="1" thickBot="1" x14ac:dyDescent="0.3">
      <c r="A188" s="88" t="s">
        <v>83</v>
      </c>
      <c r="B188" s="174" t="s">
        <v>318</v>
      </c>
      <c r="C188" s="175" t="s">
        <v>319</v>
      </c>
      <c r="D188" s="75" t="s">
        <v>321</v>
      </c>
      <c r="E188" s="350">
        <v>0.85</v>
      </c>
      <c r="F188" s="169">
        <v>12.3</v>
      </c>
      <c r="G188" s="154">
        <f t="shared" si="13"/>
        <v>10.46</v>
      </c>
    </row>
    <row r="189" spans="1:7" ht="22.5" customHeight="1" thickBot="1" x14ac:dyDescent="0.3">
      <c r="A189" s="511" t="s">
        <v>15</v>
      </c>
      <c r="B189" s="512"/>
      <c r="C189" s="512"/>
      <c r="D189" s="512"/>
      <c r="E189" s="512"/>
      <c r="F189" s="513"/>
      <c r="G189" s="160">
        <f>SUM(G174:G188)</f>
        <v>10758.789999999999</v>
      </c>
    </row>
    <row r="190" spans="1:7" ht="15.75" thickBot="1" x14ac:dyDescent="0.3">
      <c r="A190" s="37"/>
      <c r="B190" s="37"/>
      <c r="C190" s="37"/>
      <c r="D190" s="37"/>
      <c r="E190" s="37"/>
      <c r="F190" s="37"/>
      <c r="G190" s="83"/>
    </row>
    <row r="191" spans="1:7" ht="20.100000000000001" customHeight="1" x14ac:dyDescent="0.25">
      <c r="A191" s="514" t="str">
        <f>ORÇAMENTO!B50</f>
        <v>CPU 16</v>
      </c>
      <c r="B191" s="515"/>
      <c r="C191" s="515"/>
      <c r="D191" s="515"/>
      <c r="E191" s="515"/>
      <c r="F191" s="515"/>
      <c r="G191" s="516"/>
    </row>
    <row r="192" spans="1:7" ht="20.100000000000001" customHeight="1" x14ac:dyDescent="0.25">
      <c r="A192" s="245" t="s">
        <v>0</v>
      </c>
      <c r="B192" s="503" t="s">
        <v>14</v>
      </c>
      <c r="C192" s="504"/>
      <c r="D192" s="504"/>
      <c r="E192" s="504"/>
      <c r="F192" s="505"/>
      <c r="G192" s="246" t="s">
        <v>90</v>
      </c>
    </row>
    <row r="193" spans="1:7" ht="62.25" customHeight="1" x14ac:dyDescent="0.25">
      <c r="A193" s="244" t="str">
        <f>ORÇAMENTO!A50</f>
        <v>5.7.1</v>
      </c>
      <c r="B193" s="506" t="s">
        <v>366</v>
      </c>
      <c r="C193" s="507"/>
      <c r="D193" s="507"/>
      <c r="E193" s="507"/>
      <c r="F193" s="508"/>
      <c r="G193" s="238" t="s">
        <v>113</v>
      </c>
    </row>
    <row r="194" spans="1:7" ht="20.100000000000001" customHeight="1" x14ac:dyDescent="0.25">
      <c r="A194" s="286" t="s">
        <v>84</v>
      </c>
      <c r="B194" s="287" t="s">
        <v>9</v>
      </c>
      <c r="C194" s="287" t="s">
        <v>14</v>
      </c>
      <c r="D194" s="287" t="s">
        <v>2</v>
      </c>
      <c r="E194" s="288" t="s">
        <v>3</v>
      </c>
      <c r="F194" s="289" t="s">
        <v>52</v>
      </c>
      <c r="G194" s="290" t="s">
        <v>53</v>
      </c>
    </row>
    <row r="195" spans="1:7" ht="28.5" x14ac:dyDescent="0.25">
      <c r="A195" s="88" t="s">
        <v>11</v>
      </c>
      <c r="B195" s="174">
        <v>93358</v>
      </c>
      <c r="C195" s="175" t="s">
        <v>127</v>
      </c>
      <c r="D195" s="75" t="s">
        <v>107</v>
      </c>
      <c r="E195" s="350">
        <f>ROUND((7.03*0.4*0.43),2)</f>
        <v>1.21</v>
      </c>
      <c r="F195" s="169">
        <v>78.88</v>
      </c>
      <c r="G195" s="154">
        <f t="shared" ref="G195:G206" si="14">ROUND((F195*E195),2)</f>
        <v>95.44</v>
      </c>
    </row>
    <row r="196" spans="1:7" ht="32.25" customHeight="1" x14ac:dyDescent="0.25">
      <c r="A196" s="88" t="s">
        <v>11</v>
      </c>
      <c r="B196" s="174">
        <v>96617</v>
      </c>
      <c r="C196" s="175" t="s">
        <v>210</v>
      </c>
      <c r="D196" s="75" t="s">
        <v>108</v>
      </c>
      <c r="E196" s="350">
        <f>ROUND((7.03*0.4),2)</f>
        <v>2.81</v>
      </c>
      <c r="F196" s="169">
        <v>23.34</v>
      </c>
      <c r="G196" s="154">
        <f t="shared" si="14"/>
        <v>65.59</v>
      </c>
    </row>
    <row r="197" spans="1:7" ht="31.5" customHeight="1" x14ac:dyDescent="0.25">
      <c r="A197" s="88" t="s">
        <v>11</v>
      </c>
      <c r="B197" s="174">
        <v>102487</v>
      </c>
      <c r="C197" s="175" t="s">
        <v>86</v>
      </c>
      <c r="D197" s="75" t="s">
        <v>107</v>
      </c>
      <c r="E197" s="350">
        <f>ROUND((7.03*0.3*0.4),2)</f>
        <v>0.84</v>
      </c>
      <c r="F197" s="169">
        <v>738.4</v>
      </c>
      <c r="G197" s="154">
        <f t="shared" si="14"/>
        <v>620.26</v>
      </c>
    </row>
    <row r="198" spans="1:7" ht="28.5" x14ac:dyDescent="0.25">
      <c r="A198" s="88" t="s">
        <v>149</v>
      </c>
      <c r="B198" s="174">
        <v>50729</v>
      </c>
      <c r="C198" s="175" t="s">
        <v>347</v>
      </c>
      <c r="D198" s="75" t="s">
        <v>6</v>
      </c>
      <c r="E198" s="350">
        <f>ROUND((7.0372*0.12*1.05)+(10.1788*0.5*0.1),2)</f>
        <v>1.4</v>
      </c>
      <c r="F198" s="169">
        <v>3668.05</v>
      </c>
      <c r="G198" s="154">
        <f t="shared" si="14"/>
        <v>5135.2700000000004</v>
      </c>
    </row>
    <row r="199" spans="1:7" ht="28.5" x14ac:dyDescent="0.25">
      <c r="A199" s="88" t="s">
        <v>11</v>
      </c>
      <c r="B199" s="174">
        <v>98557</v>
      </c>
      <c r="C199" s="175" t="s">
        <v>348</v>
      </c>
      <c r="D199" s="75" t="s">
        <v>108</v>
      </c>
      <c r="E199" s="350">
        <f>ROUND((7.03*0.4*2),2)</f>
        <v>5.62</v>
      </c>
      <c r="F199" s="169">
        <v>40.98</v>
      </c>
      <c r="G199" s="154">
        <f t="shared" si="14"/>
        <v>230.31</v>
      </c>
    </row>
    <row r="200" spans="1:7" ht="20.100000000000001" customHeight="1" x14ac:dyDescent="0.25">
      <c r="A200" s="88" t="s">
        <v>149</v>
      </c>
      <c r="B200" s="174">
        <v>80273</v>
      </c>
      <c r="C200" s="175" t="s">
        <v>349</v>
      </c>
      <c r="D200" s="75" t="s">
        <v>5</v>
      </c>
      <c r="E200" s="350">
        <f>ROUND((7.03*0.95)+(6.2832*1.05)+(7.03*0.12)+(10.1788*0.5*2)+(10.1788*0.1),2)</f>
        <v>25.32</v>
      </c>
      <c r="F200" s="169">
        <v>46.79</v>
      </c>
      <c r="G200" s="154">
        <f t="shared" si="14"/>
        <v>1184.72</v>
      </c>
    </row>
    <row r="201" spans="1:7" ht="20.100000000000001" customHeight="1" x14ac:dyDescent="0.25">
      <c r="A201" s="88" t="s">
        <v>149</v>
      </c>
      <c r="B201" s="174">
        <v>130292</v>
      </c>
      <c r="C201" s="175" t="s">
        <v>350</v>
      </c>
      <c r="D201" s="75" t="s">
        <v>5</v>
      </c>
      <c r="E201" s="350">
        <f>ROUND((7.03*0.95)+(7.03*0.12)+(10.1788*0.5*2)+(10.1788*0.1),2)</f>
        <v>18.72</v>
      </c>
      <c r="F201" s="169">
        <v>87.18</v>
      </c>
      <c r="G201" s="154">
        <f t="shared" si="14"/>
        <v>1632.01</v>
      </c>
    </row>
    <row r="202" spans="1:7" ht="28.5" x14ac:dyDescent="0.25">
      <c r="A202" s="88" t="s">
        <v>83</v>
      </c>
      <c r="B202" s="174">
        <v>4721</v>
      </c>
      <c r="C202" s="175" t="s">
        <v>351</v>
      </c>
      <c r="D202" s="75" t="s">
        <v>203</v>
      </c>
      <c r="E202" s="350">
        <f>ROUND(3.1416*0.2,2)</f>
        <v>0.63</v>
      </c>
      <c r="F202" s="169">
        <v>213.87</v>
      </c>
      <c r="G202" s="154">
        <f t="shared" si="14"/>
        <v>134.74</v>
      </c>
    </row>
    <row r="203" spans="1:7" ht="20.100000000000001" customHeight="1" x14ac:dyDescent="0.25">
      <c r="A203" s="88" t="s">
        <v>352</v>
      </c>
      <c r="B203" s="174" t="s">
        <v>353</v>
      </c>
      <c r="C203" s="175" t="s">
        <v>354</v>
      </c>
      <c r="D203" s="75" t="s">
        <v>6</v>
      </c>
      <c r="E203" s="350">
        <f>ROUND(3.1416*0.75,2)</f>
        <v>2.36</v>
      </c>
      <c r="F203" s="169">
        <v>130</v>
      </c>
      <c r="G203" s="154">
        <f t="shared" si="14"/>
        <v>306.8</v>
      </c>
    </row>
    <row r="204" spans="1:7" ht="33.75" customHeight="1" x14ac:dyDescent="0.25">
      <c r="A204" s="88" t="s">
        <v>83</v>
      </c>
      <c r="B204" s="174">
        <v>10826</v>
      </c>
      <c r="C204" s="175" t="s">
        <v>355</v>
      </c>
      <c r="D204" s="75" t="s">
        <v>135</v>
      </c>
      <c r="E204" s="350">
        <v>38</v>
      </c>
      <c r="F204" s="169">
        <v>63.5</v>
      </c>
      <c r="G204" s="154">
        <f t="shared" si="14"/>
        <v>2413</v>
      </c>
    </row>
    <row r="205" spans="1:7" ht="22.5" customHeight="1" x14ac:dyDescent="0.25">
      <c r="A205" s="88" t="s">
        <v>11</v>
      </c>
      <c r="B205" s="174">
        <v>88242</v>
      </c>
      <c r="C205" s="175" t="s">
        <v>356</v>
      </c>
      <c r="D205" s="75" t="s">
        <v>65</v>
      </c>
      <c r="E205" s="350">
        <v>2.2999999999999998</v>
      </c>
      <c r="F205" s="169">
        <v>20.41</v>
      </c>
      <c r="G205" s="154">
        <f t="shared" si="14"/>
        <v>46.94</v>
      </c>
    </row>
    <row r="206" spans="1:7" ht="20.100000000000001" customHeight="1" thickBot="1" x14ac:dyDescent="0.3">
      <c r="A206" s="88" t="s">
        <v>11</v>
      </c>
      <c r="B206" s="174">
        <v>88309</v>
      </c>
      <c r="C206" s="175" t="s">
        <v>76</v>
      </c>
      <c r="D206" s="75" t="s">
        <v>65</v>
      </c>
      <c r="E206" s="350">
        <v>2.92</v>
      </c>
      <c r="F206" s="169">
        <v>24.72</v>
      </c>
      <c r="G206" s="154">
        <f t="shared" si="14"/>
        <v>72.180000000000007</v>
      </c>
    </row>
    <row r="207" spans="1:7" ht="20.100000000000001" customHeight="1" thickBot="1" x14ac:dyDescent="0.3">
      <c r="A207" s="511" t="s">
        <v>15</v>
      </c>
      <c r="B207" s="512"/>
      <c r="C207" s="512"/>
      <c r="D207" s="512"/>
      <c r="E207" s="512"/>
      <c r="F207" s="513"/>
      <c r="G207" s="160">
        <f>SUM(G195:G206)</f>
        <v>11937.26</v>
      </c>
    </row>
    <row r="208" spans="1:7" ht="15.75" thickBot="1" x14ac:dyDescent="0.3">
      <c r="A208" s="37"/>
      <c r="B208" s="37"/>
      <c r="C208" s="37"/>
      <c r="D208" s="37"/>
      <c r="E208" s="37"/>
      <c r="F208" s="37"/>
      <c r="G208" s="83"/>
    </row>
    <row r="209" spans="1:7" ht="20.100000000000001" customHeight="1" x14ac:dyDescent="0.25">
      <c r="A209" s="514" t="str">
        <f>ORÇAMENTO!B52</f>
        <v>CPU 17</v>
      </c>
      <c r="B209" s="515"/>
      <c r="C209" s="515"/>
      <c r="D209" s="515"/>
      <c r="E209" s="515"/>
      <c r="F209" s="515"/>
      <c r="G209" s="516"/>
    </row>
    <row r="210" spans="1:7" ht="20.100000000000001" customHeight="1" x14ac:dyDescent="0.25">
      <c r="A210" s="245" t="s">
        <v>0</v>
      </c>
      <c r="B210" s="503" t="s">
        <v>14</v>
      </c>
      <c r="C210" s="504"/>
      <c r="D210" s="504"/>
      <c r="E210" s="504"/>
      <c r="F210" s="505"/>
      <c r="G210" s="246" t="s">
        <v>90</v>
      </c>
    </row>
    <row r="211" spans="1:7" ht="20.100000000000001" customHeight="1" x14ac:dyDescent="0.25">
      <c r="A211" s="244" t="str">
        <f>ORÇAMENTO!A52</f>
        <v>5.8.1</v>
      </c>
      <c r="B211" s="506" t="str">
        <f>ORÇAMENTO!D52</f>
        <v>PLACA DE INAUGURACAO METALICA, *40* CM X *60* CM - FORNECIMENTO E INSTALAÇÃO</v>
      </c>
      <c r="C211" s="507"/>
      <c r="D211" s="507"/>
      <c r="E211" s="507"/>
      <c r="F211" s="508"/>
      <c r="G211" s="238" t="s">
        <v>113</v>
      </c>
    </row>
    <row r="212" spans="1:7" ht="20.100000000000001" customHeight="1" x14ac:dyDescent="0.25">
      <c r="A212" s="286" t="s">
        <v>84</v>
      </c>
      <c r="B212" s="287" t="s">
        <v>9</v>
      </c>
      <c r="C212" s="287" t="s">
        <v>14</v>
      </c>
      <c r="D212" s="287" t="s">
        <v>2</v>
      </c>
      <c r="E212" s="288" t="s">
        <v>3</v>
      </c>
      <c r="F212" s="289" t="s">
        <v>52</v>
      </c>
      <c r="G212" s="290" t="s">
        <v>53</v>
      </c>
    </row>
    <row r="213" spans="1:7" ht="20.100000000000001" customHeight="1" x14ac:dyDescent="0.25">
      <c r="A213" s="88" t="s">
        <v>83</v>
      </c>
      <c r="B213" s="174" t="s">
        <v>230</v>
      </c>
      <c r="C213" s="175" t="s">
        <v>231</v>
      </c>
      <c r="D213" s="75" t="s">
        <v>113</v>
      </c>
      <c r="E213" s="272">
        <v>1</v>
      </c>
      <c r="F213" s="169">
        <v>753.75</v>
      </c>
      <c r="G213" s="154">
        <f t="shared" ref="G213:G215" si="15">ROUND((F213*E213),2)</f>
        <v>753.75</v>
      </c>
    </row>
    <row r="214" spans="1:7" ht="20.100000000000001" customHeight="1" x14ac:dyDescent="0.25">
      <c r="A214" s="88" t="s">
        <v>11</v>
      </c>
      <c r="B214" s="174" t="s">
        <v>204</v>
      </c>
      <c r="C214" s="175" t="s">
        <v>59</v>
      </c>
      <c r="D214" s="75" t="s">
        <v>65</v>
      </c>
      <c r="E214" s="272">
        <v>0.6</v>
      </c>
      <c r="F214" s="169">
        <v>19.940000000000001</v>
      </c>
      <c r="G214" s="154">
        <f t="shared" si="15"/>
        <v>11.96</v>
      </c>
    </row>
    <row r="215" spans="1:7" ht="20.100000000000001" customHeight="1" thickBot="1" x14ac:dyDescent="0.3">
      <c r="A215" s="88" t="s">
        <v>11</v>
      </c>
      <c r="B215" s="174">
        <v>88309</v>
      </c>
      <c r="C215" s="175" t="s">
        <v>76</v>
      </c>
      <c r="D215" s="75" t="s">
        <v>65</v>
      </c>
      <c r="E215" s="76">
        <v>0.65</v>
      </c>
      <c r="F215" s="169">
        <v>24.72</v>
      </c>
      <c r="G215" s="154">
        <f t="shared" si="15"/>
        <v>16.07</v>
      </c>
    </row>
    <row r="216" spans="1:7" ht="20.100000000000001" customHeight="1" thickBot="1" x14ac:dyDescent="0.3">
      <c r="A216" s="511" t="s">
        <v>15</v>
      </c>
      <c r="B216" s="512"/>
      <c r="C216" s="512"/>
      <c r="D216" s="512"/>
      <c r="E216" s="512"/>
      <c r="F216" s="513"/>
      <c r="G216" s="160">
        <f>SUM(G213:G215)</f>
        <v>781.78000000000009</v>
      </c>
    </row>
    <row r="217" spans="1:7" ht="15.75" thickBot="1" x14ac:dyDescent="0.3">
      <c r="A217" s="37"/>
      <c r="B217" s="37"/>
      <c r="C217" s="37"/>
      <c r="D217" s="37"/>
      <c r="E217" s="37"/>
      <c r="F217" s="37"/>
      <c r="G217" s="83"/>
    </row>
    <row r="218" spans="1:7" ht="20.100000000000001" customHeight="1" x14ac:dyDescent="0.25">
      <c r="A218" s="514" t="str">
        <f>ORÇAMENTO!B55</f>
        <v>CPU 18</v>
      </c>
      <c r="B218" s="515"/>
      <c r="C218" s="515"/>
      <c r="D218" s="515"/>
      <c r="E218" s="515"/>
      <c r="F218" s="515"/>
      <c r="G218" s="516"/>
    </row>
    <row r="219" spans="1:7" ht="20.100000000000001" customHeight="1" x14ac:dyDescent="0.25">
      <c r="A219" s="245" t="s">
        <v>0</v>
      </c>
      <c r="B219" s="523" t="s">
        <v>14</v>
      </c>
      <c r="C219" s="504"/>
      <c r="D219" s="504"/>
      <c r="E219" s="504"/>
      <c r="F219" s="505"/>
      <c r="G219" s="246" t="s">
        <v>90</v>
      </c>
    </row>
    <row r="220" spans="1:7" ht="52.5" customHeight="1" x14ac:dyDescent="0.25">
      <c r="A220" s="286" t="str">
        <f>ORÇAMENTO!A55</f>
        <v>6.1.1</v>
      </c>
      <c r="B220" s="518" t="str">
        <f>ORÇAMENTO!D55</f>
        <v>FORNECIMENTO E INSTALAÇÃO DE POSTE EM AÇO GALVANIZADO CURVO H= 7M, COM 2 PÉTALAS EM TUBO DE AÇO GALV. E LUMINÁRIA PUBLICA EM LED 150W, BRANCO FRIO. ACABAMENTO EM PINTURA DE FUNDO E ACABAMENTO EM ESMALTE SINTÉTICO.</v>
      </c>
      <c r="C220" s="507"/>
      <c r="D220" s="507"/>
      <c r="E220" s="507"/>
      <c r="F220" s="508"/>
      <c r="G220" s="290" t="s">
        <v>113</v>
      </c>
    </row>
    <row r="221" spans="1:7" ht="20.100000000000001" customHeight="1" x14ac:dyDescent="0.25">
      <c r="A221" s="286" t="s">
        <v>84</v>
      </c>
      <c r="B221" s="287" t="s">
        <v>9</v>
      </c>
      <c r="C221" s="287" t="s">
        <v>14</v>
      </c>
      <c r="D221" s="287" t="s">
        <v>2</v>
      </c>
      <c r="E221" s="288" t="s">
        <v>3</v>
      </c>
      <c r="F221" s="289" t="s">
        <v>52</v>
      </c>
      <c r="G221" s="290" t="s">
        <v>53</v>
      </c>
    </row>
    <row r="222" spans="1:7" ht="30" customHeight="1" x14ac:dyDescent="0.25">
      <c r="A222" s="88" t="s">
        <v>83</v>
      </c>
      <c r="B222" s="174">
        <v>2510</v>
      </c>
      <c r="C222" s="175" t="s">
        <v>323</v>
      </c>
      <c r="D222" s="364" t="s">
        <v>135</v>
      </c>
      <c r="E222" s="76">
        <v>1</v>
      </c>
      <c r="F222" s="169">
        <v>37.24</v>
      </c>
      <c r="G222" s="154">
        <f t="shared" ref="G222:G241" si="16">ROUND((F222*E222),2)</f>
        <v>37.24</v>
      </c>
    </row>
    <row r="223" spans="1:7" ht="30" customHeight="1" x14ac:dyDescent="0.25">
      <c r="A223" s="88" t="s">
        <v>83</v>
      </c>
      <c r="B223" s="174" t="s">
        <v>398</v>
      </c>
      <c r="C223" s="175" t="s">
        <v>399</v>
      </c>
      <c r="D223" s="364" t="s">
        <v>135</v>
      </c>
      <c r="E223" s="76">
        <v>2</v>
      </c>
      <c r="F223" s="169">
        <v>675.7</v>
      </c>
      <c r="G223" s="154">
        <f t="shared" si="16"/>
        <v>1351.4</v>
      </c>
    </row>
    <row r="224" spans="1:7" ht="30" customHeight="1" x14ac:dyDescent="0.25">
      <c r="A224" s="88" t="s">
        <v>83</v>
      </c>
      <c r="B224" s="174" t="s">
        <v>400</v>
      </c>
      <c r="C224" s="175" t="s">
        <v>401</v>
      </c>
      <c r="D224" s="364" t="s">
        <v>110</v>
      </c>
      <c r="E224" s="378">
        <f>1.335*2</f>
        <v>2.67</v>
      </c>
      <c r="F224" s="169">
        <v>40.950000000000003</v>
      </c>
      <c r="G224" s="154">
        <f t="shared" si="16"/>
        <v>109.34</v>
      </c>
    </row>
    <row r="225" spans="1:7" ht="47.25" customHeight="1" x14ac:dyDescent="0.25">
      <c r="A225" s="88" t="s">
        <v>83</v>
      </c>
      <c r="B225" s="174">
        <v>982</v>
      </c>
      <c r="C225" s="175" t="s">
        <v>327</v>
      </c>
      <c r="D225" s="364" t="s">
        <v>110</v>
      </c>
      <c r="E225" s="76">
        <f>(7*3)*2</f>
        <v>42</v>
      </c>
      <c r="F225" s="169">
        <v>5.43</v>
      </c>
      <c r="G225" s="154">
        <f t="shared" si="16"/>
        <v>228.06</v>
      </c>
    </row>
    <row r="226" spans="1:7" ht="30" customHeight="1" x14ac:dyDescent="0.25">
      <c r="A226" s="88" t="s">
        <v>83</v>
      </c>
      <c r="B226" s="174" t="s">
        <v>402</v>
      </c>
      <c r="C226" s="175" t="s">
        <v>403</v>
      </c>
      <c r="D226" s="364" t="s">
        <v>109</v>
      </c>
      <c r="E226" s="76">
        <f>(0.2567*15.6)*2</f>
        <v>8.0090399999999988</v>
      </c>
      <c r="F226" s="169">
        <v>10.83</v>
      </c>
      <c r="G226" s="154">
        <f t="shared" si="16"/>
        <v>86.74</v>
      </c>
    </row>
    <row r="227" spans="1:7" ht="42" customHeight="1" x14ac:dyDescent="0.25">
      <c r="A227" s="88" t="s">
        <v>83</v>
      </c>
      <c r="B227" s="174">
        <v>5052</v>
      </c>
      <c r="C227" s="175" t="s">
        <v>324</v>
      </c>
      <c r="D227" s="364" t="s">
        <v>135</v>
      </c>
      <c r="E227" s="76">
        <v>1</v>
      </c>
      <c r="F227" s="169">
        <v>1475.75</v>
      </c>
      <c r="G227" s="154">
        <f t="shared" si="16"/>
        <v>1475.75</v>
      </c>
    </row>
    <row r="228" spans="1:7" ht="30" customHeight="1" x14ac:dyDescent="0.25">
      <c r="A228" s="88" t="s">
        <v>83</v>
      </c>
      <c r="B228" s="174">
        <v>40425</v>
      </c>
      <c r="C228" s="175" t="s">
        <v>325</v>
      </c>
      <c r="D228" s="364" t="s">
        <v>109</v>
      </c>
      <c r="E228" s="76">
        <f>0.3*0.3*49.85</f>
        <v>4.4865000000000004</v>
      </c>
      <c r="F228" s="169">
        <v>8.5500000000000007</v>
      </c>
      <c r="G228" s="154">
        <f t="shared" si="16"/>
        <v>38.36</v>
      </c>
    </row>
    <row r="229" spans="1:7" ht="30" customHeight="1" x14ac:dyDescent="0.25">
      <c r="A229" s="88" t="s">
        <v>83</v>
      </c>
      <c r="B229" s="174">
        <v>10999</v>
      </c>
      <c r="C229" s="175" t="s">
        <v>326</v>
      </c>
      <c r="D229" s="364" t="s">
        <v>109</v>
      </c>
      <c r="E229" s="76">
        <v>2.73</v>
      </c>
      <c r="F229" s="169">
        <v>58.96</v>
      </c>
      <c r="G229" s="154">
        <f t="shared" si="16"/>
        <v>160.96</v>
      </c>
    </row>
    <row r="230" spans="1:7" ht="33.75" customHeight="1" x14ac:dyDescent="0.25">
      <c r="A230" s="88" t="s">
        <v>83</v>
      </c>
      <c r="B230" s="174">
        <v>21127</v>
      </c>
      <c r="C230" s="175" t="s">
        <v>328</v>
      </c>
      <c r="D230" s="364" t="s">
        <v>135</v>
      </c>
      <c r="E230" s="76">
        <f>0.02</f>
        <v>0.02</v>
      </c>
      <c r="F230" s="169">
        <v>7.86</v>
      </c>
      <c r="G230" s="154">
        <f t="shared" si="16"/>
        <v>0.16</v>
      </c>
    </row>
    <row r="231" spans="1:7" ht="30" customHeight="1" x14ac:dyDescent="0.25">
      <c r="A231" s="88" t="s">
        <v>83</v>
      </c>
      <c r="B231" s="174">
        <v>39746</v>
      </c>
      <c r="C231" s="175" t="s">
        <v>329</v>
      </c>
      <c r="D231" s="364" t="s">
        <v>135</v>
      </c>
      <c r="E231" s="76">
        <v>4</v>
      </c>
      <c r="F231" s="169">
        <v>100.1</v>
      </c>
      <c r="G231" s="154">
        <f t="shared" si="16"/>
        <v>400.4</v>
      </c>
    </row>
    <row r="232" spans="1:7" ht="66" customHeight="1" x14ac:dyDescent="0.25">
      <c r="A232" s="88" t="s">
        <v>11</v>
      </c>
      <c r="B232" s="174">
        <v>100725</v>
      </c>
      <c r="C232" s="175" t="s">
        <v>330</v>
      </c>
      <c r="D232" s="364" t="s">
        <v>108</v>
      </c>
      <c r="E232" s="76">
        <f>(0.4084*7)+(0.2567*4)+(0.1571*2*2)</f>
        <v>4.5140000000000002</v>
      </c>
      <c r="F232" s="169">
        <v>23.67</v>
      </c>
      <c r="G232" s="154">
        <f t="shared" si="16"/>
        <v>106.85</v>
      </c>
    </row>
    <row r="233" spans="1:7" ht="35.25" customHeight="1" x14ac:dyDescent="0.25">
      <c r="A233" s="88" t="s">
        <v>11</v>
      </c>
      <c r="B233" s="174">
        <v>93358</v>
      </c>
      <c r="C233" s="175" t="s">
        <v>127</v>
      </c>
      <c r="D233" s="364" t="s">
        <v>107</v>
      </c>
      <c r="E233" s="76">
        <f>0.7*0.7*0.85</f>
        <v>0.41649999999999993</v>
      </c>
      <c r="F233" s="169">
        <v>78.88</v>
      </c>
      <c r="G233" s="154">
        <f t="shared" si="16"/>
        <v>32.85</v>
      </c>
    </row>
    <row r="234" spans="1:7" ht="30" customHeight="1" x14ac:dyDescent="0.25">
      <c r="A234" s="88" t="s">
        <v>11</v>
      </c>
      <c r="B234" s="174" t="s">
        <v>404</v>
      </c>
      <c r="C234" s="175" t="s">
        <v>388</v>
      </c>
      <c r="D234" s="364" t="s">
        <v>108</v>
      </c>
      <c r="E234" s="76">
        <f>0.7*0.7</f>
        <v>0.48999999999999994</v>
      </c>
      <c r="F234" s="169">
        <v>46.91</v>
      </c>
      <c r="G234" s="154">
        <f t="shared" si="16"/>
        <v>22.99</v>
      </c>
    </row>
    <row r="235" spans="1:7" ht="45" customHeight="1" x14ac:dyDescent="0.25">
      <c r="A235" s="88" t="s">
        <v>11</v>
      </c>
      <c r="B235" s="174">
        <v>96536</v>
      </c>
      <c r="C235" s="175" t="s">
        <v>243</v>
      </c>
      <c r="D235" s="364" t="s">
        <v>108</v>
      </c>
      <c r="E235" s="76">
        <f>(0.6*4)*0.8</f>
        <v>1.92</v>
      </c>
      <c r="F235" s="169">
        <v>67.03</v>
      </c>
      <c r="G235" s="154">
        <f t="shared" si="16"/>
        <v>128.69999999999999</v>
      </c>
    </row>
    <row r="236" spans="1:7" ht="36" customHeight="1" x14ac:dyDescent="0.25">
      <c r="A236" s="88" t="s">
        <v>11</v>
      </c>
      <c r="B236" s="174">
        <v>102487</v>
      </c>
      <c r="C236" s="175" t="s">
        <v>86</v>
      </c>
      <c r="D236" s="364" t="s">
        <v>107</v>
      </c>
      <c r="E236" s="76">
        <f>0.6*0.6*0.8</f>
        <v>0.28799999999999998</v>
      </c>
      <c r="F236" s="169">
        <v>738.4</v>
      </c>
      <c r="G236" s="154">
        <f t="shared" si="16"/>
        <v>212.66</v>
      </c>
    </row>
    <row r="237" spans="1:7" ht="58.5" customHeight="1" x14ac:dyDescent="0.25">
      <c r="A237" s="88" t="s">
        <v>11</v>
      </c>
      <c r="B237" s="174">
        <v>5928</v>
      </c>
      <c r="C237" s="175" t="s">
        <v>331</v>
      </c>
      <c r="D237" s="364" t="s">
        <v>332</v>
      </c>
      <c r="E237" s="76">
        <v>0.18</v>
      </c>
      <c r="F237" s="169">
        <v>280.76</v>
      </c>
      <c r="G237" s="154">
        <f t="shared" si="16"/>
        <v>50.54</v>
      </c>
    </row>
    <row r="238" spans="1:7" ht="27.75" customHeight="1" x14ac:dyDescent="0.25">
      <c r="A238" s="88" t="s">
        <v>11</v>
      </c>
      <c r="B238" s="174">
        <v>88247</v>
      </c>
      <c r="C238" s="175" t="s">
        <v>111</v>
      </c>
      <c r="D238" s="364" t="s">
        <v>65</v>
      </c>
      <c r="E238" s="76">
        <v>0.64100000000000001</v>
      </c>
      <c r="F238" s="169">
        <v>20.72</v>
      </c>
      <c r="G238" s="154">
        <f t="shared" si="16"/>
        <v>13.28</v>
      </c>
    </row>
    <row r="239" spans="1:7" ht="24.75" customHeight="1" x14ac:dyDescent="0.25">
      <c r="A239" s="88" t="s">
        <v>11</v>
      </c>
      <c r="B239" s="174">
        <v>88264</v>
      </c>
      <c r="C239" s="175" t="s">
        <v>112</v>
      </c>
      <c r="D239" s="364" t="s">
        <v>65</v>
      </c>
      <c r="E239" s="76">
        <v>2.0840000000000001</v>
      </c>
      <c r="F239" s="169">
        <v>25.01</v>
      </c>
      <c r="G239" s="154">
        <f t="shared" si="16"/>
        <v>52.12</v>
      </c>
    </row>
    <row r="240" spans="1:7" ht="29.25" customHeight="1" x14ac:dyDescent="0.25">
      <c r="A240" s="88" t="s">
        <v>11</v>
      </c>
      <c r="B240" s="174">
        <v>88317</v>
      </c>
      <c r="C240" s="175" t="s">
        <v>333</v>
      </c>
      <c r="D240" s="364" t="s">
        <v>65</v>
      </c>
      <c r="E240" s="76">
        <v>0.2</v>
      </c>
      <c r="F240" s="169">
        <v>25.49</v>
      </c>
      <c r="G240" s="154">
        <f t="shared" si="16"/>
        <v>5.0999999999999996</v>
      </c>
    </row>
    <row r="241" spans="1:7" ht="20.100000000000001" customHeight="1" thickBot="1" x14ac:dyDescent="0.3">
      <c r="A241" s="88" t="s">
        <v>11</v>
      </c>
      <c r="B241" s="174">
        <v>88316</v>
      </c>
      <c r="C241" s="175" t="s">
        <v>59</v>
      </c>
      <c r="D241" s="364" t="s">
        <v>65</v>
      </c>
      <c r="E241" s="76">
        <v>0.5</v>
      </c>
      <c r="F241" s="169">
        <v>19.940000000000001</v>
      </c>
      <c r="G241" s="154">
        <f t="shared" si="16"/>
        <v>9.9700000000000006</v>
      </c>
    </row>
    <row r="242" spans="1:7" ht="20.100000000000001" customHeight="1" thickBot="1" x14ac:dyDescent="0.3">
      <c r="A242" s="511" t="s">
        <v>15</v>
      </c>
      <c r="B242" s="512"/>
      <c r="C242" s="512"/>
      <c r="D242" s="512"/>
      <c r="E242" s="512"/>
      <c r="F242" s="513"/>
      <c r="G242" s="160">
        <f>SUM(G222:G241)</f>
        <v>4523.4699999999993</v>
      </c>
    </row>
    <row r="243" spans="1:7" ht="15.75" thickBot="1" x14ac:dyDescent="0.3">
      <c r="A243" s="37"/>
      <c r="B243" s="37"/>
      <c r="C243" s="37"/>
      <c r="D243" s="37"/>
      <c r="E243" s="37"/>
      <c r="F243" s="37"/>
      <c r="G243" s="83"/>
    </row>
    <row r="244" spans="1:7" x14ac:dyDescent="0.25">
      <c r="A244" s="514" t="str">
        <f>ORÇAMENTO!B56</f>
        <v>CPU 19</v>
      </c>
      <c r="B244" s="515"/>
      <c r="C244" s="515"/>
      <c r="D244" s="515"/>
      <c r="E244" s="515"/>
      <c r="F244" s="515"/>
      <c r="G244" s="516"/>
    </row>
    <row r="245" spans="1:7" x14ac:dyDescent="0.25">
      <c r="A245" s="245" t="s">
        <v>0</v>
      </c>
      <c r="B245" s="523" t="s">
        <v>14</v>
      </c>
      <c r="C245" s="504"/>
      <c r="D245" s="504"/>
      <c r="E245" s="504"/>
      <c r="F245" s="505"/>
      <c r="G245" s="246" t="s">
        <v>90</v>
      </c>
    </row>
    <row r="246" spans="1:7" ht="36.75" customHeight="1" x14ac:dyDescent="0.25">
      <c r="A246" s="286" t="str">
        <f>ORÇAMENTO!A56</f>
        <v>6.1.2</v>
      </c>
      <c r="B246" s="518" t="str">
        <f>ORÇAMENTO!D56</f>
        <v>FORNECIMENTO E INSTALAÇÃO DE REFLETOR DE LED RGB 50 W COM CAIXA DE CONCRETO E FUNDO DE BRITA EMBUTIDO NO PISO, FECHADO COM GRADE.</v>
      </c>
      <c r="C246" s="507"/>
      <c r="D246" s="507"/>
      <c r="E246" s="507"/>
      <c r="F246" s="508"/>
      <c r="G246" s="290" t="s">
        <v>113</v>
      </c>
    </row>
    <row r="247" spans="1:7" x14ac:dyDescent="0.25">
      <c r="A247" s="286" t="s">
        <v>84</v>
      </c>
      <c r="B247" s="287" t="s">
        <v>9</v>
      </c>
      <c r="C247" s="287" t="s">
        <v>14</v>
      </c>
      <c r="D247" s="287" t="s">
        <v>2</v>
      </c>
      <c r="E247" s="288" t="s">
        <v>3</v>
      </c>
      <c r="F247" s="289" t="s">
        <v>52</v>
      </c>
      <c r="G247" s="290" t="s">
        <v>53</v>
      </c>
    </row>
    <row r="248" spans="1:7" ht="28.5" x14ac:dyDescent="0.25">
      <c r="A248" s="509" t="s">
        <v>168</v>
      </c>
      <c r="B248" s="510"/>
      <c r="C248" s="370" t="s">
        <v>382</v>
      </c>
      <c r="D248" s="307"/>
      <c r="E248" s="371">
        <v>1</v>
      </c>
      <c r="F248" s="169">
        <v>86.9</v>
      </c>
      <c r="G248" s="144">
        <f t="shared" ref="G248:G262" si="17">ROUND((F248*E248),2)</f>
        <v>86.9</v>
      </c>
    </row>
    <row r="249" spans="1:7" ht="28.5" x14ac:dyDescent="0.25">
      <c r="A249" s="74" t="s">
        <v>83</v>
      </c>
      <c r="B249" s="174">
        <v>1598</v>
      </c>
      <c r="C249" s="175" t="s">
        <v>383</v>
      </c>
      <c r="D249" s="307" t="s">
        <v>135</v>
      </c>
      <c r="E249" s="371">
        <v>1</v>
      </c>
      <c r="F249" s="169">
        <v>12.27</v>
      </c>
      <c r="G249" s="144">
        <f t="shared" si="17"/>
        <v>12.27</v>
      </c>
    </row>
    <row r="250" spans="1:7" ht="28.5" x14ac:dyDescent="0.25">
      <c r="A250" s="74" t="s">
        <v>83</v>
      </c>
      <c r="B250" s="174">
        <v>40549</v>
      </c>
      <c r="C250" s="175" t="s">
        <v>384</v>
      </c>
      <c r="D250" s="307" t="s">
        <v>394</v>
      </c>
      <c r="E250" s="372">
        <v>0.03</v>
      </c>
      <c r="F250" s="169">
        <v>227.04</v>
      </c>
      <c r="G250" s="144">
        <f t="shared" si="17"/>
        <v>6.81</v>
      </c>
    </row>
    <row r="251" spans="1:7" ht="42.75" x14ac:dyDescent="0.25">
      <c r="A251" s="74" t="s">
        <v>11</v>
      </c>
      <c r="B251" s="174">
        <v>101632</v>
      </c>
      <c r="C251" s="175" t="s">
        <v>385</v>
      </c>
      <c r="D251" s="307" t="s">
        <v>395</v>
      </c>
      <c r="E251" s="372">
        <v>1</v>
      </c>
      <c r="F251" s="169">
        <v>38.159999999999997</v>
      </c>
      <c r="G251" s="144">
        <f t="shared" si="17"/>
        <v>38.159999999999997</v>
      </c>
    </row>
    <row r="252" spans="1:7" x14ac:dyDescent="0.25">
      <c r="A252" s="74" t="s">
        <v>149</v>
      </c>
      <c r="B252" s="174">
        <v>180430</v>
      </c>
      <c r="C252" s="175" t="s">
        <v>386</v>
      </c>
      <c r="D252" s="307" t="s">
        <v>396</v>
      </c>
      <c r="E252" s="372">
        <v>1</v>
      </c>
      <c r="F252" s="169">
        <v>22.07</v>
      </c>
      <c r="G252" s="144">
        <f t="shared" si="17"/>
        <v>22.07</v>
      </c>
    </row>
    <row r="253" spans="1:7" x14ac:dyDescent="0.25">
      <c r="A253" s="74" t="s">
        <v>149</v>
      </c>
      <c r="B253" s="174">
        <v>30010</v>
      </c>
      <c r="C253" s="175" t="s">
        <v>244</v>
      </c>
      <c r="D253" s="307" t="s">
        <v>6</v>
      </c>
      <c r="E253" s="372">
        <v>1.35E-2</v>
      </c>
      <c r="F253" s="169">
        <v>79.760000000000005</v>
      </c>
      <c r="G253" s="144">
        <f t="shared" si="17"/>
        <v>1.08</v>
      </c>
    </row>
    <row r="254" spans="1:7" ht="28.5" x14ac:dyDescent="0.25">
      <c r="A254" s="74" t="s">
        <v>11</v>
      </c>
      <c r="B254" s="174">
        <v>101616</v>
      </c>
      <c r="C254" s="175" t="s">
        <v>387</v>
      </c>
      <c r="D254" s="307" t="s">
        <v>108</v>
      </c>
      <c r="E254" s="372">
        <v>4.4999999999999998E-2</v>
      </c>
      <c r="F254" s="169">
        <v>5.77</v>
      </c>
      <c r="G254" s="144">
        <f t="shared" si="17"/>
        <v>0.26</v>
      </c>
    </row>
    <row r="255" spans="1:7" ht="42.75" x14ac:dyDescent="0.25">
      <c r="A255" s="74" t="s">
        <v>11</v>
      </c>
      <c r="B255" s="174">
        <v>96619</v>
      </c>
      <c r="C255" s="175" t="s">
        <v>388</v>
      </c>
      <c r="D255" s="307" t="s">
        <v>108</v>
      </c>
      <c r="E255" s="372">
        <v>0.16000000000000003</v>
      </c>
      <c r="F255" s="169">
        <v>46.91</v>
      </c>
      <c r="G255" s="144">
        <f t="shared" si="17"/>
        <v>7.51</v>
      </c>
    </row>
    <row r="256" spans="1:7" x14ac:dyDescent="0.25">
      <c r="A256" s="74" t="s">
        <v>149</v>
      </c>
      <c r="B256" s="174">
        <v>40283</v>
      </c>
      <c r="C256" s="175" t="s">
        <v>389</v>
      </c>
      <c r="D256" s="307" t="s">
        <v>6</v>
      </c>
      <c r="E256" s="372">
        <v>1.35E-2</v>
      </c>
      <c r="F256" s="169">
        <v>3407.25</v>
      </c>
      <c r="G256" s="144">
        <f t="shared" si="17"/>
        <v>46</v>
      </c>
    </row>
    <row r="257" spans="1:7" ht="42.75" x14ac:dyDescent="0.25">
      <c r="A257" s="74" t="s">
        <v>11</v>
      </c>
      <c r="B257" s="174">
        <v>97736</v>
      </c>
      <c r="C257" s="175" t="s">
        <v>390</v>
      </c>
      <c r="D257" s="307" t="s">
        <v>107</v>
      </c>
      <c r="E257" s="372">
        <v>4.4999999999999997E-3</v>
      </c>
      <c r="F257" s="169">
        <v>1688.57</v>
      </c>
      <c r="G257" s="144">
        <f t="shared" si="17"/>
        <v>7.6</v>
      </c>
    </row>
    <row r="258" spans="1:7" x14ac:dyDescent="0.25">
      <c r="A258" s="74" t="s">
        <v>149</v>
      </c>
      <c r="B258" s="174">
        <v>90071</v>
      </c>
      <c r="C258" s="175" t="s">
        <v>391</v>
      </c>
      <c r="D258" s="307" t="s">
        <v>5</v>
      </c>
      <c r="E258" s="372">
        <v>7.9200000000000007E-2</v>
      </c>
      <c r="F258" s="169">
        <v>318.99</v>
      </c>
      <c r="G258" s="144">
        <f t="shared" si="17"/>
        <v>25.26</v>
      </c>
    </row>
    <row r="259" spans="1:7" ht="42.75" x14ac:dyDescent="0.25">
      <c r="A259" s="74" t="s">
        <v>11</v>
      </c>
      <c r="B259" s="174">
        <v>90439</v>
      </c>
      <c r="C259" s="175" t="s">
        <v>392</v>
      </c>
      <c r="D259" s="307" t="s">
        <v>395</v>
      </c>
      <c r="E259" s="372">
        <v>1</v>
      </c>
      <c r="F259" s="169">
        <v>7.32</v>
      </c>
      <c r="G259" s="144">
        <f t="shared" si="17"/>
        <v>7.32</v>
      </c>
    </row>
    <row r="260" spans="1:7" ht="57" x14ac:dyDescent="0.25">
      <c r="A260" s="74" t="s">
        <v>83</v>
      </c>
      <c r="B260" s="174">
        <v>5090</v>
      </c>
      <c r="C260" s="175" t="s">
        <v>393</v>
      </c>
      <c r="D260" s="307" t="s">
        <v>135</v>
      </c>
      <c r="E260" s="372">
        <v>1</v>
      </c>
      <c r="F260" s="169">
        <v>22.35</v>
      </c>
      <c r="G260" s="144">
        <f t="shared" si="17"/>
        <v>22.35</v>
      </c>
    </row>
    <row r="261" spans="1:7" x14ac:dyDescent="0.25">
      <c r="A261" s="74" t="s">
        <v>11</v>
      </c>
      <c r="B261" s="174">
        <v>88316</v>
      </c>
      <c r="C261" s="175" t="s">
        <v>59</v>
      </c>
      <c r="D261" s="307" t="s">
        <v>65</v>
      </c>
      <c r="E261" s="372">
        <v>0.05</v>
      </c>
      <c r="F261" s="169">
        <v>19.940000000000001</v>
      </c>
      <c r="G261" s="144">
        <f t="shared" si="17"/>
        <v>1</v>
      </c>
    </row>
    <row r="262" spans="1:7" ht="15.75" thickBot="1" x14ac:dyDescent="0.3">
      <c r="A262" s="166" t="s">
        <v>11</v>
      </c>
      <c r="B262" s="172">
        <v>88264</v>
      </c>
      <c r="C262" s="173" t="s">
        <v>112</v>
      </c>
      <c r="D262" s="373" t="s">
        <v>65</v>
      </c>
      <c r="E262" s="374">
        <v>1.1499999999999999</v>
      </c>
      <c r="F262" s="375">
        <v>25.01</v>
      </c>
      <c r="G262" s="376">
        <f t="shared" si="17"/>
        <v>28.76</v>
      </c>
    </row>
    <row r="263" spans="1:7" ht="15.75" thickBot="1" x14ac:dyDescent="0.3">
      <c r="A263" s="511" t="s">
        <v>15</v>
      </c>
      <c r="B263" s="512"/>
      <c r="C263" s="512"/>
      <c r="D263" s="512"/>
      <c r="E263" s="512"/>
      <c r="F263" s="513"/>
      <c r="G263" s="160">
        <f>SUM(G248:G262)</f>
        <v>313.34999999999997</v>
      </c>
    </row>
    <row r="264" spans="1:7" ht="15.75" thickBot="1" x14ac:dyDescent="0.3">
      <c r="A264" s="37"/>
      <c r="B264" s="37"/>
      <c r="C264" s="37"/>
      <c r="D264" s="37"/>
      <c r="E264" s="37"/>
      <c r="F264" s="37"/>
      <c r="G264" s="83"/>
    </row>
    <row r="265" spans="1:7" ht="20.100000000000001" customHeight="1" x14ac:dyDescent="0.25">
      <c r="A265" s="514" t="str">
        <f>ORÇAMENTO!B58</f>
        <v>CPU 20</v>
      </c>
      <c r="B265" s="515"/>
      <c r="C265" s="515"/>
      <c r="D265" s="515"/>
      <c r="E265" s="515"/>
      <c r="F265" s="515"/>
      <c r="G265" s="516"/>
    </row>
    <row r="266" spans="1:7" ht="20.100000000000001" customHeight="1" x14ac:dyDescent="0.25">
      <c r="A266" s="245" t="s">
        <v>0</v>
      </c>
      <c r="B266" s="523" t="s">
        <v>14</v>
      </c>
      <c r="C266" s="504"/>
      <c r="D266" s="504"/>
      <c r="E266" s="504"/>
      <c r="F266" s="505"/>
      <c r="G266" s="246" t="s">
        <v>90</v>
      </c>
    </row>
    <row r="267" spans="1:7" ht="37.5" customHeight="1" x14ac:dyDescent="0.25">
      <c r="A267" s="286" t="str">
        <f>ORÇAMENTO!A58</f>
        <v>6.2.1</v>
      </c>
      <c r="B267" s="518" t="str">
        <f>ORÇAMENTO!D58</f>
        <v>CAIXA DE INSPEÇÃO DE PVC P/ ATERRAMENTO Ø30x60cm, C/ TAMPA DE FERRO FUNDIDO - FORNECIMENTO E INSTALAÇÃO</v>
      </c>
      <c r="C267" s="507"/>
      <c r="D267" s="507"/>
      <c r="E267" s="507"/>
      <c r="F267" s="508"/>
      <c r="G267" s="290" t="s">
        <v>113</v>
      </c>
    </row>
    <row r="268" spans="1:7" ht="20.100000000000001" customHeight="1" x14ac:dyDescent="0.25">
      <c r="A268" s="286" t="s">
        <v>84</v>
      </c>
      <c r="B268" s="287" t="s">
        <v>9</v>
      </c>
      <c r="C268" s="287" t="s">
        <v>14</v>
      </c>
      <c r="D268" s="287" t="s">
        <v>2</v>
      </c>
      <c r="E268" s="288" t="s">
        <v>3</v>
      </c>
      <c r="F268" s="289" t="s">
        <v>52</v>
      </c>
      <c r="G268" s="290" t="s">
        <v>53</v>
      </c>
    </row>
    <row r="269" spans="1:7" ht="28.5" x14ac:dyDescent="0.25">
      <c r="A269" s="88" t="s">
        <v>83</v>
      </c>
      <c r="B269" s="174" t="s">
        <v>427</v>
      </c>
      <c r="C269" s="175" t="s">
        <v>428</v>
      </c>
      <c r="D269" s="382" t="s">
        <v>113</v>
      </c>
      <c r="E269" s="272">
        <v>1</v>
      </c>
      <c r="F269" s="169">
        <v>169.86</v>
      </c>
      <c r="G269" s="154">
        <f t="shared" ref="G269:G273" si="18">ROUND((F269*E269),2)</f>
        <v>169.86</v>
      </c>
    </row>
    <row r="270" spans="1:7" ht="28.5" x14ac:dyDescent="0.25">
      <c r="A270" s="528" t="s">
        <v>168</v>
      </c>
      <c r="B270" s="510"/>
      <c r="C270" s="175" t="s">
        <v>431</v>
      </c>
      <c r="D270" s="382" t="s">
        <v>113</v>
      </c>
      <c r="E270" s="272">
        <v>1</v>
      </c>
      <c r="F270" s="169">
        <f>86.47+106.34</f>
        <v>192.81</v>
      </c>
      <c r="G270" s="144">
        <f t="shared" si="18"/>
        <v>192.81</v>
      </c>
    </row>
    <row r="271" spans="1:7" ht="35.25" customHeight="1" x14ac:dyDescent="0.25">
      <c r="A271" s="74" t="s">
        <v>11</v>
      </c>
      <c r="B271" s="174" t="s">
        <v>429</v>
      </c>
      <c r="C271" s="175" t="s">
        <v>430</v>
      </c>
      <c r="D271" s="382" t="s">
        <v>107</v>
      </c>
      <c r="E271" s="272">
        <f>0.3*0.3*0.6</f>
        <v>5.3999999999999999E-2</v>
      </c>
      <c r="F271" s="169">
        <v>218.95</v>
      </c>
      <c r="G271" s="144">
        <f t="shared" si="18"/>
        <v>11.82</v>
      </c>
    </row>
    <row r="272" spans="1:7" ht="20.100000000000001" customHeight="1" x14ac:dyDescent="0.25">
      <c r="A272" s="74" t="s">
        <v>11</v>
      </c>
      <c r="B272" s="174" t="s">
        <v>176</v>
      </c>
      <c r="C272" s="175" t="s">
        <v>76</v>
      </c>
      <c r="D272" s="382" t="s">
        <v>65</v>
      </c>
      <c r="E272" s="272">
        <v>0.13850000000000001</v>
      </c>
      <c r="F272" s="169">
        <v>24.72</v>
      </c>
      <c r="G272" s="144">
        <f t="shared" si="18"/>
        <v>3.42</v>
      </c>
    </row>
    <row r="273" spans="1:7" ht="20.100000000000001" customHeight="1" x14ac:dyDescent="0.25">
      <c r="A273" s="74" t="s">
        <v>11</v>
      </c>
      <c r="B273" s="174" t="s">
        <v>204</v>
      </c>
      <c r="C273" s="175" t="s">
        <v>59</v>
      </c>
      <c r="D273" s="382" t="s">
        <v>65</v>
      </c>
      <c r="E273" s="272">
        <v>0.109</v>
      </c>
      <c r="F273" s="169">
        <v>19.940000000000001</v>
      </c>
      <c r="G273" s="144">
        <f t="shared" si="18"/>
        <v>2.17</v>
      </c>
    </row>
    <row r="274" spans="1:7" ht="15.75" thickBot="1" x14ac:dyDescent="0.3">
      <c r="A274" s="525" t="s">
        <v>15</v>
      </c>
      <c r="B274" s="526"/>
      <c r="C274" s="526"/>
      <c r="D274" s="526"/>
      <c r="E274" s="526"/>
      <c r="F274" s="527"/>
      <c r="G274" s="385">
        <f>SUM(G269:G273)</f>
        <v>380.08000000000004</v>
      </c>
    </row>
    <row r="275" spans="1:7" ht="15.75" thickBot="1" x14ac:dyDescent="0.3">
      <c r="A275" s="37"/>
      <c r="B275" s="37"/>
      <c r="C275" s="37"/>
      <c r="D275" s="37"/>
      <c r="E275" s="37"/>
      <c r="F275" s="37"/>
      <c r="G275" s="83"/>
    </row>
    <row r="276" spans="1:7" ht="20.100000000000001" customHeight="1" x14ac:dyDescent="0.25">
      <c r="A276" s="514" t="str">
        <f>ORÇAMENTO!B65</f>
        <v>CPU 21</v>
      </c>
      <c r="B276" s="515"/>
      <c r="C276" s="515"/>
      <c r="D276" s="515"/>
      <c r="E276" s="515"/>
      <c r="F276" s="515"/>
      <c r="G276" s="516"/>
    </row>
    <row r="277" spans="1:7" ht="20.100000000000001" customHeight="1" x14ac:dyDescent="0.25">
      <c r="A277" s="245" t="s">
        <v>0</v>
      </c>
      <c r="B277" s="523" t="s">
        <v>14</v>
      </c>
      <c r="C277" s="504"/>
      <c r="D277" s="504"/>
      <c r="E277" s="504"/>
      <c r="F277" s="505"/>
      <c r="G277" s="246" t="s">
        <v>90</v>
      </c>
    </row>
    <row r="278" spans="1:7" ht="35.25" customHeight="1" x14ac:dyDescent="0.25">
      <c r="A278" s="286" t="str">
        <f>ORÇAMENTO!A65</f>
        <v>6.3.4</v>
      </c>
      <c r="B278" s="518" t="str">
        <f>ORÇAMENTO!D65</f>
        <v xml:space="preserve">ELETRODUTO FLEXÍVEL CORRUGADO, PEAD, DN 40 MM (1"), PARA CIRCUITOS TERMINAIS, INSTALADO EM PAREDE - FORNECIMENTO E INSTALAÇÃO. </v>
      </c>
      <c r="C278" s="507"/>
      <c r="D278" s="507"/>
      <c r="E278" s="507"/>
      <c r="F278" s="508"/>
      <c r="G278" s="290" t="s">
        <v>133</v>
      </c>
    </row>
    <row r="279" spans="1:7" ht="20.100000000000001" customHeight="1" x14ac:dyDescent="0.25">
      <c r="A279" s="286" t="s">
        <v>84</v>
      </c>
      <c r="B279" s="287" t="s">
        <v>9</v>
      </c>
      <c r="C279" s="287" t="s">
        <v>14</v>
      </c>
      <c r="D279" s="287" t="s">
        <v>2</v>
      </c>
      <c r="E279" s="288" t="s">
        <v>3</v>
      </c>
      <c r="F279" s="289" t="s">
        <v>52</v>
      </c>
      <c r="G279" s="290" t="s">
        <v>53</v>
      </c>
    </row>
    <row r="280" spans="1:7" ht="42.75" customHeight="1" x14ac:dyDescent="0.25">
      <c r="A280" s="528" t="s">
        <v>168</v>
      </c>
      <c r="B280" s="510"/>
      <c r="C280" s="69" t="s">
        <v>447</v>
      </c>
      <c r="D280" s="366" t="s">
        <v>133</v>
      </c>
      <c r="E280" s="386">
        <v>1</v>
      </c>
      <c r="F280" s="368">
        <v>4.1900000000000004</v>
      </c>
      <c r="G280" s="144">
        <f t="shared" ref="G280:G282" si="19">ROUND((F280*E280),2)</f>
        <v>4.1900000000000004</v>
      </c>
    </row>
    <row r="281" spans="1:7" ht="20.100000000000001" customHeight="1" x14ac:dyDescent="0.25">
      <c r="A281" s="381" t="s">
        <v>11</v>
      </c>
      <c r="B281" s="381" t="s">
        <v>433</v>
      </c>
      <c r="C281" s="69" t="s">
        <v>111</v>
      </c>
      <c r="D281" s="366" t="s">
        <v>65</v>
      </c>
      <c r="E281" s="388">
        <v>0.16600000000000001</v>
      </c>
      <c r="F281" s="368">
        <v>20.72</v>
      </c>
      <c r="G281" s="144">
        <f t="shared" si="19"/>
        <v>3.44</v>
      </c>
    </row>
    <row r="282" spans="1:7" ht="20.100000000000001" customHeight="1" x14ac:dyDescent="0.25">
      <c r="A282" s="381" t="s">
        <v>11</v>
      </c>
      <c r="B282" s="381" t="s">
        <v>317</v>
      </c>
      <c r="C282" s="69" t="s">
        <v>112</v>
      </c>
      <c r="D282" s="366" t="s">
        <v>65</v>
      </c>
      <c r="E282" s="388">
        <v>0.16600000000000001</v>
      </c>
      <c r="F282" s="368">
        <v>25.01</v>
      </c>
      <c r="G282" s="144">
        <f t="shared" si="19"/>
        <v>4.1500000000000004</v>
      </c>
    </row>
    <row r="283" spans="1:7" ht="20.100000000000001" customHeight="1" thickBot="1" x14ac:dyDescent="0.3">
      <c r="A283" s="525" t="s">
        <v>15</v>
      </c>
      <c r="B283" s="526"/>
      <c r="C283" s="526"/>
      <c r="D283" s="526"/>
      <c r="E283" s="526"/>
      <c r="F283" s="527"/>
      <c r="G283" s="385">
        <f>SUM(G280:G282)</f>
        <v>11.780000000000001</v>
      </c>
    </row>
    <row r="284" spans="1:7" ht="15.75" thickBot="1" x14ac:dyDescent="0.3">
      <c r="A284" s="37"/>
      <c r="B284" s="37"/>
      <c r="C284" s="37"/>
      <c r="D284" s="37"/>
      <c r="E284" s="37"/>
      <c r="F284" s="37"/>
      <c r="G284" s="83"/>
    </row>
    <row r="285" spans="1:7" x14ac:dyDescent="0.25">
      <c r="A285" s="514" t="str">
        <f>ORÇAMENTO!B66</f>
        <v>CPU 22</v>
      </c>
      <c r="B285" s="515"/>
      <c r="C285" s="515"/>
      <c r="D285" s="515"/>
      <c r="E285" s="515"/>
      <c r="F285" s="515"/>
      <c r="G285" s="516"/>
    </row>
    <row r="286" spans="1:7" x14ac:dyDescent="0.25">
      <c r="A286" s="245" t="s">
        <v>0</v>
      </c>
      <c r="B286" s="523" t="s">
        <v>14</v>
      </c>
      <c r="C286" s="504"/>
      <c r="D286" s="504"/>
      <c r="E286" s="504"/>
      <c r="F286" s="505"/>
      <c r="G286" s="246" t="s">
        <v>90</v>
      </c>
    </row>
    <row r="287" spans="1:7" ht="33.75" customHeight="1" x14ac:dyDescent="0.25">
      <c r="A287" s="286" t="str">
        <f>ORÇAMENTO!A66</f>
        <v>6.3.5</v>
      </c>
      <c r="B287" s="518" t="str">
        <f>ORÇAMENTO!D66</f>
        <v>ELETRODUTO FLEXÍVEL CORRUGADO, PEAD, DN 40 MM (3/4"), PARA CIRCUITOS TERMINAIS, INSTALADO EM PAREDE - FORNECIMENTO E INSTALAÇÃO. AF_03/2023</v>
      </c>
      <c r="C287" s="507"/>
      <c r="D287" s="507"/>
      <c r="E287" s="507"/>
      <c r="F287" s="508"/>
      <c r="G287" s="290" t="s">
        <v>133</v>
      </c>
    </row>
    <row r="288" spans="1:7" x14ac:dyDescent="0.25">
      <c r="A288" s="286" t="s">
        <v>84</v>
      </c>
      <c r="B288" s="287" t="s">
        <v>9</v>
      </c>
      <c r="C288" s="287" t="s">
        <v>14</v>
      </c>
      <c r="D288" s="287" t="s">
        <v>2</v>
      </c>
      <c r="E288" s="288" t="s">
        <v>3</v>
      </c>
      <c r="F288" s="289" t="s">
        <v>52</v>
      </c>
      <c r="G288" s="290" t="s">
        <v>53</v>
      </c>
    </row>
    <row r="289" spans="1:7" ht="42.75" x14ac:dyDescent="0.25">
      <c r="A289" s="528" t="s">
        <v>168</v>
      </c>
      <c r="B289" s="510"/>
      <c r="C289" s="69" t="s">
        <v>448</v>
      </c>
      <c r="D289" s="366" t="s">
        <v>133</v>
      </c>
      <c r="E289" s="386">
        <v>1</v>
      </c>
      <c r="F289" s="368">
        <v>3.87</v>
      </c>
      <c r="G289" s="144">
        <f t="shared" ref="G289:G291" si="20">ROUND((F289*E289),2)</f>
        <v>3.87</v>
      </c>
    </row>
    <row r="290" spans="1:7" ht="28.5" x14ac:dyDescent="0.25">
      <c r="A290" s="381" t="s">
        <v>11</v>
      </c>
      <c r="B290" s="381" t="s">
        <v>433</v>
      </c>
      <c r="C290" s="69" t="s">
        <v>111</v>
      </c>
      <c r="D290" s="366" t="s">
        <v>65</v>
      </c>
      <c r="E290" s="388">
        <v>0.16600000000000001</v>
      </c>
      <c r="F290" s="368">
        <v>20.72</v>
      </c>
      <c r="G290" s="144">
        <f t="shared" si="20"/>
        <v>3.44</v>
      </c>
    </row>
    <row r="291" spans="1:7" x14ac:dyDescent="0.25">
      <c r="A291" s="381" t="s">
        <v>11</v>
      </c>
      <c r="B291" s="381" t="s">
        <v>317</v>
      </c>
      <c r="C291" s="69" t="s">
        <v>112</v>
      </c>
      <c r="D291" s="366" t="s">
        <v>65</v>
      </c>
      <c r="E291" s="388">
        <v>0.16600000000000001</v>
      </c>
      <c r="F291" s="368">
        <v>25.01</v>
      </c>
      <c r="G291" s="144">
        <f t="shared" si="20"/>
        <v>4.1500000000000004</v>
      </c>
    </row>
    <row r="292" spans="1:7" ht="15.75" thickBot="1" x14ac:dyDescent="0.3">
      <c r="A292" s="525" t="s">
        <v>15</v>
      </c>
      <c r="B292" s="526"/>
      <c r="C292" s="526"/>
      <c r="D292" s="526"/>
      <c r="E292" s="526"/>
      <c r="F292" s="527"/>
      <c r="G292" s="385">
        <f>SUM(G289:G291)</f>
        <v>11.46</v>
      </c>
    </row>
    <row r="293" spans="1:7" ht="15.75" thickBot="1" x14ac:dyDescent="0.3">
      <c r="A293" s="37"/>
      <c r="B293" s="37"/>
      <c r="C293" s="37"/>
      <c r="D293" s="37"/>
      <c r="E293" s="37"/>
      <c r="F293" s="37"/>
      <c r="G293" s="83"/>
    </row>
    <row r="294" spans="1:7" ht="20.100000000000001" customHeight="1" x14ac:dyDescent="0.25">
      <c r="A294" s="514" t="str">
        <f>ORÇAMENTO!B74</f>
        <v>CPU 23</v>
      </c>
      <c r="B294" s="515"/>
      <c r="C294" s="515"/>
      <c r="D294" s="515"/>
      <c r="E294" s="515"/>
      <c r="F294" s="515"/>
      <c r="G294" s="516"/>
    </row>
    <row r="295" spans="1:7" ht="20.100000000000001" customHeight="1" x14ac:dyDescent="0.25">
      <c r="A295" s="245" t="s">
        <v>0</v>
      </c>
      <c r="B295" s="523" t="s">
        <v>14</v>
      </c>
      <c r="C295" s="504"/>
      <c r="D295" s="504"/>
      <c r="E295" s="504"/>
      <c r="F295" s="505"/>
      <c r="G295" s="246" t="s">
        <v>90</v>
      </c>
    </row>
    <row r="296" spans="1:7" ht="20.100000000000001" customHeight="1" x14ac:dyDescent="0.25">
      <c r="A296" s="286" t="str">
        <f>ORÇAMENTO!A74</f>
        <v>6.3.13</v>
      </c>
      <c r="B296" s="518" t="str">
        <f>ORÇAMENTO!D74</f>
        <v>CABO DE COBRE NÚ 10MM² - FORNECIMENTO E INSTALAÇÃO</v>
      </c>
      <c r="C296" s="507"/>
      <c r="D296" s="507"/>
      <c r="E296" s="507"/>
      <c r="F296" s="508"/>
      <c r="G296" s="290" t="s">
        <v>133</v>
      </c>
    </row>
    <row r="297" spans="1:7" ht="20.100000000000001" customHeight="1" x14ac:dyDescent="0.25">
      <c r="A297" s="286" t="s">
        <v>84</v>
      </c>
      <c r="B297" s="287" t="s">
        <v>9</v>
      </c>
      <c r="C297" s="287" t="s">
        <v>14</v>
      </c>
      <c r="D297" s="287" t="s">
        <v>2</v>
      </c>
      <c r="E297" s="288" t="s">
        <v>3</v>
      </c>
      <c r="F297" s="289" t="s">
        <v>52</v>
      </c>
      <c r="G297" s="290" t="s">
        <v>53</v>
      </c>
    </row>
    <row r="298" spans="1:7" ht="20.100000000000001" customHeight="1" x14ac:dyDescent="0.25">
      <c r="A298" s="528" t="s">
        <v>168</v>
      </c>
      <c r="B298" s="510"/>
      <c r="C298" s="69" t="s">
        <v>464</v>
      </c>
      <c r="D298" s="366" t="s">
        <v>133</v>
      </c>
      <c r="E298" s="386">
        <v>1.02</v>
      </c>
      <c r="F298" s="368">
        <v>8.76</v>
      </c>
      <c r="G298" s="144">
        <f t="shared" ref="G298:G300" si="21">ROUND((F298*E298),2)</f>
        <v>8.94</v>
      </c>
    </row>
    <row r="299" spans="1:7" ht="20.100000000000001" customHeight="1" x14ac:dyDescent="0.25">
      <c r="A299" s="381" t="s">
        <v>11</v>
      </c>
      <c r="B299" s="381" t="s">
        <v>433</v>
      </c>
      <c r="C299" s="69" t="s">
        <v>111</v>
      </c>
      <c r="D299" s="366" t="s">
        <v>65</v>
      </c>
      <c r="E299" s="388">
        <v>0.1</v>
      </c>
      <c r="F299" s="368">
        <v>20.72</v>
      </c>
      <c r="G299" s="144">
        <f t="shared" si="21"/>
        <v>2.0699999999999998</v>
      </c>
    </row>
    <row r="300" spans="1:7" ht="20.100000000000001" customHeight="1" x14ac:dyDescent="0.25">
      <c r="A300" s="381" t="s">
        <v>11</v>
      </c>
      <c r="B300" s="381" t="s">
        <v>317</v>
      </c>
      <c r="C300" s="69" t="s">
        <v>112</v>
      </c>
      <c r="D300" s="366" t="s">
        <v>65</v>
      </c>
      <c r="E300" s="388">
        <v>0.1</v>
      </c>
      <c r="F300" s="368">
        <v>25.01</v>
      </c>
      <c r="G300" s="144">
        <f t="shared" si="21"/>
        <v>2.5</v>
      </c>
    </row>
    <row r="301" spans="1:7" ht="20.100000000000001" customHeight="1" thickBot="1" x14ac:dyDescent="0.3">
      <c r="A301" s="525" t="s">
        <v>15</v>
      </c>
      <c r="B301" s="526"/>
      <c r="C301" s="526"/>
      <c r="D301" s="526"/>
      <c r="E301" s="526"/>
      <c r="F301" s="527"/>
      <c r="G301" s="385">
        <f>SUM(G298:G300)</f>
        <v>13.51</v>
      </c>
    </row>
    <row r="302" spans="1:7" ht="15.75" thickBot="1" x14ac:dyDescent="0.3">
      <c r="A302" s="37"/>
      <c r="B302" s="37"/>
      <c r="C302" s="37"/>
      <c r="D302" s="37"/>
      <c r="E302" s="37"/>
      <c r="F302" s="37"/>
      <c r="G302" s="83"/>
    </row>
    <row r="303" spans="1:7" ht="20.100000000000001" customHeight="1" x14ac:dyDescent="0.25">
      <c r="A303" s="514" t="str">
        <f>ORÇAMENTO!B77</f>
        <v>CPU 24</v>
      </c>
      <c r="B303" s="515"/>
      <c r="C303" s="515"/>
      <c r="D303" s="515"/>
      <c r="E303" s="515"/>
      <c r="F303" s="515"/>
      <c r="G303" s="516"/>
    </row>
    <row r="304" spans="1:7" ht="20.100000000000001" customHeight="1" x14ac:dyDescent="0.25">
      <c r="A304" s="245" t="s">
        <v>0</v>
      </c>
      <c r="B304" s="523" t="s">
        <v>14</v>
      </c>
      <c r="C304" s="504"/>
      <c r="D304" s="504"/>
      <c r="E304" s="504"/>
      <c r="F304" s="505"/>
      <c r="G304" s="246" t="s">
        <v>90</v>
      </c>
    </row>
    <row r="305" spans="1:7" ht="20.100000000000001" customHeight="1" x14ac:dyDescent="0.25">
      <c r="A305" s="286" t="str">
        <f>ORÇAMENTO!A77</f>
        <v>6.4.1</v>
      </c>
      <c r="B305" s="518" t="str">
        <f>ORÇAMENTO!D77</f>
        <v>CAIXA PARA MEDIDOR POLIFÁSICO INCLUINDO ACESSÓRIOS DE FIXAÇÃO - FORNECIMENTO E INSTALAÇÃO</v>
      </c>
      <c r="C305" s="507"/>
      <c r="D305" s="507"/>
      <c r="E305" s="507"/>
      <c r="F305" s="508"/>
      <c r="G305" s="290" t="s">
        <v>113</v>
      </c>
    </row>
    <row r="306" spans="1:7" ht="20.100000000000001" customHeight="1" x14ac:dyDescent="0.25">
      <c r="A306" s="286" t="s">
        <v>84</v>
      </c>
      <c r="B306" s="287" t="s">
        <v>9</v>
      </c>
      <c r="C306" s="287" t="s">
        <v>14</v>
      </c>
      <c r="D306" s="287" t="s">
        <v>2</v>
      </c>
      <c r="E306" s="288" t="s">
        <v>3</v>
      </c>
      <c r="F306" s="289" t="s">
        <v>52</v>
      </c>
      <c r="G306" s="290" t="s">
        <v>53</v>
      </c>
    </row>
    <row r="307" spans="1:7" ht="48" customHeight="1" x14ac:dyDescent="0.25">
      <c r="A307" s="381" t="s">
        <v>83</v>
      </c>
      <c r="B307" s="381" t="s">
        <v>468</v>
      </c>
      <c r="C307" s="69" t="s">
        <v>469</v>
      </c>
      <c r="D307" s="366" t="s">
        <v>135</v>
      </c>
      <c r="E307" s="386">
        <v>1</v>
      </c>
      <c r="F307" s="368">
        <v>177.45</v>
      </c>
      <c r="G307" s="144">
        <f t="shared" ref="G307:G310" si="22">ROUND((F307*E307),2)</f>
        <v>177.45</v>
      </c>
    </row>
    <row r="308" spans="1:7" ht="47.25" customHeight="1" x14ac:dyDescent="0.25">
      <c r="A308" s="381" t="s">
        <v>83</v>
      </c>
      <c r="B308" s="381" t="s">
        <v>470</v>
      </c>
      <c r="C308" s="69" t="s">
        <v>471</v>
      </c>
      <c r="D308" s="366" t="s">
        <v>135</v>
      </c>
      <c r="E308" s="389">
        <v>4</v>
      </c>
      <c r="F308" s="368">
        <v>0.31</v>
      </c>
      <c r="G308" s="144">
        <f t="shared" si="22"/>
        <v>1.24</v>
      </c>
    </row>
    <row r="309" spans="1:7" ht="20.100000000000001" customHeight="1" x14ac:dyDescent="0.25">
      <c r="A309" s="381" t="s">
        <v>11</v>
      </c>
      <c r="B309" s="381" t="s">
        <v>433</v>
      </c>
      <c r="C309" s="69" t="s">
        <v>111</v>
      </c>
      <c r="D309" s="366" t="s">
        <v>65</v>
      </c>
      <c r="E309" s="387">
        <v>1.5233000000000001</v>
      </c>
      <c r="F309" s="368">
        <v>20.72</v>
      </c>
      <c r="G309" s="144">
        <f t="shared" si="22"/>
        <v>31.56</v>
      </c>
    </row>
    <row r="310" spans="1:7" ht="20.100000000000001" customHeight="1" x14ac:dyDescent="0.25">
      <c r="A310" s="381" t="s">
        <v>11</v>
      </c>
      <c r="B310" s="381" t="s">
        <v>317</v>
      </c>
      <c r="C310" s="69" t="s">
        <v>112</v>
      </c>
      <c r="D310" s="366" t="s">
        <v>65</v>
      </c>
      <c r="E310" s="387">
        <v>1.5233000000000001</v>
      </c>
      <c r="F310" s="368">
        <v>25.01</v>
      </c>
      <c r="G310" s="144">
        <f t="shared" si="22"/>
        <v>38.1</v>
      </c>
    </row>
    <row r="311" spans="1:7" ht="20.100000000000001" customHeight="1" thickBot="1" x14ac:dyDescent="0.3">
      <c r="A311" s="525" t="s">
        <v>15</v>
      </c>
      <c r="B311" s="526"/>
      <c r="C311" s="526"/>
      <c r="D311" s="526"/>
      <c r="E311" s="526"/>
      <c r="F311" s="527"/>
      <c r="G311" s="385">
        <f>SUM(G307:G310)</f>
        <v>248.35</v>
      </c>
    </row>
    <row r="312" spans="1:7" ht="15.75" thickBot="1" x14ac:dyDescent="0.3">
      <c r="A312" s="37"/>
      <c r="B312" s="37"/>
      <c r="C312" s="37"/>
      <c r="D312" s="37"/>
      <c r="E312" s="37"/>
      <c r="F312" s="37"/>
      <c r="G312" s="83"/>
    </row>
    <row r="313" spans="1:7" ht="20.100000000000001" customHeight="1" x14ac:dyDescent="0.25">
      <c r="A313" s="514" t="str">
        <f>ORÇAMENTO!B78</f>
        <v>CPU 25</v>
      </c>
      <c r="B313" s="515"/>
      <c r="C313" s="515"/>
      <c r="D313" s="515"/>
      <c r="E313" s="515"/>
      <c r="F313" s="515"/>
      <c r="G313" s="516"/>
    </row>
    <row r="314" spans="1:7" ht="20.100000000000001" customHeight="1" x14ac:dyDescent="0.25">
      <c r="A314" s="245" t="s">
        <v>0</v>
      </c>
      <c r="B314" s="523" t="s">
        <v>14</v>
      </c>
      <c r="C314" s="504"/>
      <c r="D314" s="504"/>
      <c r="E314" s="504"/>
      <c r="F314" s="505"/>
      <c r="G314" s="246" t="s">
        <v>90</v>
      </c>
    </row>
    <row r="315" spans="1:7" ht="37.5" customHeight="1" x14ac:dyDescent="0.25">
      <c r="A315" s="286" t="str">
        <f>ORÇAMENTO!A78</f>
        <v>6.4.2</v>
      </c>
      <c r="B315" s="518" t="str">
        <f>ORÇAMENTO!D78</f>
        <v>QUADRO DE DISTRIBUIÇÃO DE ENERGIA EM CHAPA DE AÇO GALVANIZADO, DE EMBUTIR, COM BARRAMENTO BIFÁSICO, PARA 24 DISJUNTORES DIN 100A - FORNECIMENTO E INSTALAÇÃO. AF_10/2020</v>
      </c>
      <c r="C315" s="507"/>
      <c r="D315" s="507"/>
      <c r="E315" s="507"/>
      <c r="F315" s="508"/>
      <c r="G315" s="290" t="s">
        <v>113</v>
      </c>
    </row>
    <row r="316" spans="1:7" ht="20.100000000000001" customHeight="1" x14ac:dyDescent="0.25">
      <c r="A316" s="286" t="s">
        <v>84</v>
      </c>
      <c r="B316" s="287" t="s">
        <v>9</v>
      </c>
      <c r="C316" s="287" t="s">
        <v>14</v>
      </c>
      <c r="D316" s="287" t="s">
        <v>2</v>
      </c>
      <c r="E316" s="288" t="s">
        <v>3</v>
      </c>
      <c r="F316" s="289" t="s">
        <v>52</v>
      </c>
      <c r="G316" s="290" t="s">
        <v>53</v>
      </c>
    </row>
    <row r="317" spans="1:7" ht="42.75" x14ac:dyDescent="0.25">
      <c r="A317" s="529" t="s">
        <v>168</v>
      </c>
      <c r="B317" s="530"/>
      <c r="C317" s="69" t="s">
        <v>475</v>
      </c>
      <c r="D317" s="366" t="s">
        <v>135</v>
      </c>
      <c r="E317" s="386">
        <v>1</v>
      </c>
      <c r="F317" s="368">
        <v>436.99</v>
      </c>
      <c r="G317" s="144">
        <f t="shared" ref="G317:G320" si="23">ROUND((F317*E317),2)</f>
        <v>436.99</v>
      </c>
    </row>
    <row r="318" spans="1:7" ht="57" x14ac:dyDescent="0.25">
      <c r="A318" s="381" t="s">
        <v>11</v>
      </c>
      <c r="B318" s="381" t="s">
        <v>472</v>
      </c>
      <c r="C318" s="69" t="s">
        <v>473</v>
      </c>
      <c r="D318" s="366" t="s">
        <v>107</v>
      </c>
      <c r="E318" s="390">
        <v>1.44E-2</v>
      </c>
      <c r="F318" s="368">
        <v>865.47</v>
      </c>
      <c r="G318" s="144">
        <f t="shared" si="23"/>
        <v>12.46</v>
      </c>
    </row>
    <row r="319" spans="1:7" ht="20.100000000000001" customHeight="1" x14ac:dyDescent="0.25">
      <c r="A319" s="381" t="s">
        <v>11</v>
      </c>
      <c r="B319" s="381" t="s">
        <v>433</v>
      </c>
      <c r="C319" s="69" t="s">
        <v>111</v>
      </c>
      <c r="D319" s="366" t="s">
        <v>65</v>
      </c>
      <c r="E319" s="391">
        <v>0.53459999999999996</v>
      </c>
      <c r="F319" s="368">
        <v>20.72</v>
      </c>
      <c r="G319" s="144">
        <f t="shared" si="23"/>
        <v>11.08</v>
      </c>
    </row>
    <row r="320" spans="1:7" ht="20.100000000000001" customHeight="1" x14ac:dyDescent="0.25">
      <c r="A320" s="381" t="s">
        <v>11</v>
      </c>
      <c r="B320" s="381" t="s">
        <v>317</v>
      </c>
      <c r="C320" s="69" t="s">
        <v>112</v>
      </c>
      <c r="D320" s="366" t="s">
        <v>65</v>
      </c>
      <c r="E320" s="391">
        <v>0.53459999999999996</v>
      </c>
      <c r="F320" s="368">
        <v>25.01</v>
      </c>
      <c r="G320" s="144">
        <f t="shared" si="23"/>
        <v>13.37</v>
      </c>
    </row>
    <row r="321" spans="1:7" ht="20.100000000000001" customHeight="1" thickBot="1" x14ac:dyDescent="0.3">
      <c r="A321" s="525" t="s">
        <v>15</v>
      </c>
      <c r="B321" s="526"/>
      <c r="C321" s="526"/>
      <c r="D321" s="526"/>
      <c r="E321" s="526"/>
      <c r="F321" s="527"/>
      <c r="G321" s="385">
        <f>SUM(G317:G320)</f>
        <v>473.9</v>
      </c>
    </row>
    <row r="322" spans="1:7" ht="15.75" thickBot="1" x14ac:dyDescent="0.3">
      <c r="A322" s="37"/>
      <c r="B322" s="37"/>
      <c r="C322" s="37"/>
      <c r="D322" s="37"/>
      <c r="E322" s="37"/>
      <c r="F322" s="37"/>
      <c r="G322" s="83"/>
    </row>
    <row r="323" spans="1:7" ht="20.100000000000001" customHeight="1" x14ac:dyDescent="0.25">
      <c r="A323" s="514" t="str">
        <f>ORÇAMENTO!B82</f>
        <v>CPU 26</v>
      </c>
      <c r="B323" s="515"/>
      <c r="C323" s="515"/>
      <c r="D323" s="515"/>
      <c r="E323" s="515"/>
      <c r="F323" s="515"/>
      <c r="G323" s="516"/>
    </row>
    <row r="324" spans="1:7" ht="20.100000000000001" customHeight="1" x14ac:dyDescent="0.25">
      <c r="A324" s="245" t="s">
        <v>0</v>
      </c>
      <c r="B324" s="523" t="s">
        <v>14</v>
      </c>
      <c r="C324" s="504"/>
      <c r="D324" s="504"/>
      <c r="E324" s="504"/>
      <c r="F324" s="505"/>
      <c r="G324" s="246" t="s">
        <v>90</v>
      </c>
    </row>
    <row r="325" spans="1:7" ht="20.100000000000001" customHeight="1" x14ac:dyDescent="0.25">
      <c r="A325" s="286" t="str">
        <f>ORÇAMENTO!A82</f>
        <v>6.4.6</v>
      </c>
      <c r="B325" s="518" t="str">
        <f>ORÇAMENTO!D82</f>
        <v>INTERRUPTOR DIFERENCIAL RESIDUAL DR-4P-100A - 30mA - FORNECIMENTO E INSTALAÇÃO</v>
      </c>
      <c r="C325" s="507"/>
      <c r="D325" s="507"/>
      <c r="E325" s="507"/>
      <c r="F325" s="508"/>
      <c r="G325" s="290" t="s">
        <v>113</v>
      </c>
    </row>
    <row r="326" spans="1:7" ht="20.100000000000001" customHeight="1" x14ac:dyDescent="0.25">
      <c r="A326" s="286" t="s">
        <v>84</v>
      </c>
      <c r="B326" s="287" t="s">
        <v>9</v>
      </c>
      <c r="C326" s="287" t="s">
        <v>14</v>
      </c>
      <c r="D326" s="287" t="s">
        <v>2</v>
      </c>
      <c r="E326" s="288" t="s">
        <v>3</v>
      </c>
      <c r="F326" s="289" t="s">
        <v>52</v>
      </c>
      <c r="G326" s="290" t="s">
        <v>53</v>
      </c>
    </row>
    <row r="327" spans="1:7" ht="20.100000000000001" customHeight="1" x14ac:dyDescent="0.25">
      <c r="A327" s="529" t="s">
        <v>168</v>
      </c>
      <c r="B327" s="530"/>
      <c r="C327" s="69" t="s">
        <v>477</v>
      </c>
      <c r="D327" s="366" t="s">
        <v>395</v>
      </c>
      <c r="E327" s="367">
        <v>1</v>
      </c>
      <c r="F327" s="368">
        <v>281.57</v>
      </c>
      <c r="G327" s="144">
        <f t="shared" ref="G327:G329" si="24">ROUND((F327*E327),2)</f>
        <v>281.57</v>
      </c>
    </row>
    <row r="328" spans="1:7" ht="20.100000000000001" customHeight="1" x14ac:dyDescent="0.25">
      <c r="A328" s="381" t="s">
        <v>11</v>
      </c>
      <c r="B328" s="381" t="s">
        <v>433</v>
      </c>
      <c r="C328" s="69" t="s">
        <v>111</v>
      </c>
      <c r="D328" s="366" t="s">
        <v>65</v>
      </c>
      <c r="E328" s="367">
        <v>0.12</v>
      </c>
      <c r="F328" s="368">
        <v>20.72</v>
      </c>
      <c r="G328" s="144">
        <f t="shared" si="24"/>
        <v>2.4900000000000002</v>
      </c>
    </row>
    <row r="329" spans="1:7" ht="20.100000000000001" customHeight="1" x14ac:dyDescent="0.25">
      <c r="A329" s="381" t="s">
        <v>11</v>
      </c>
      <c r="B329" s="381" t="s">
        <v>317</v>
      </c>
      <c r="C329" s="69" t="s">
        <v>112</v>
      </c>
      <c r="D329" s="366" t="s">
        <v>65</v>
      </c>
      <c r="E329" s="367">
        <v>0.25</v>
      </c>
      <c r="F329" s="368">
        <v>25.01</v>
      </c>
      <c r="G329" s="144">
        <f t="shared" si="24"/>
        <v>6.25</v>
      </c>
    </row>
    <row r="330" spans="1:7" ht="20.100000000000001" customHeight="1" thickBot="1" x14ac:dyDescent="0.3">
      <c r="A330" s="525" t="s">
        <v>15</v>
      </c>
      <c r="B330" s="526"/>
      <c r="C330" s="526"/>
      <c r="D330" s="526"/>
      <c r="E330" s="526"/>
      <c r="F330" s="527"/>
      <c r="G330" s="385">
        <f>SUM(G327:G329)</f>
        <v>290.31</v>
      </c>
    </row>
    <row r="331" spans="1:7" ht="15.75" thickBot="1" x14ac:dyDescent="0.3">
      <c r="A331" s="37"/>
      <c r="B331" s="37"/>
      <c r="C331" s="37"/>
      <c r="D331" s="37"/>
      <c r="E331" s="37"/>
      <c r="F331" s="37"/>
      <c r="G331" s="83"/>
    </row>
    <row r="332" spans="1:7" ht="20.100000000000001" customHeight="1" x14ac:dyDescent="0.25">
      <c r="A332" s="514" t="str">
        <f>ORÇAMENTO!B85</f>
        <v>CPU 27</v>
      </c>
      <c r="B332" s="515"/>
      <c r="C332" s="515"/>
      <c r="D332" s="515"/>
      <c r="E332" s="515"/>
      <c r="F332" s="515"/>
      <c r="G332" s="516"/>
    </row>
    <row r="333" spans="1:7" ht="20.100000000000001" customHeight="1" x14ac:dyDescent="0.25">
      <c r="A333" s="245" t="s">
        <v>0</v>
      </c>
      <c r="B333" s="523" t="s">
        <v>14</v>
      </c>
      <c r="C333" s="504"/>
      <c r="D333" s="504"/>
      <c r="E333" s="504"/>
      <c r="F333" s="505"/>
      <c r="G333" s="246" t="s">
        <v>90</v>
      </c>
    </row>
    <row r="334" spans="1:7" ht="20.100000000000001" customHeight="1" x14ac:dyDescent="0.25">
      <c r="A334" s="286" t="str">
        <f>ORÇAMENTO!A85</f>
        <v>7.1</v>
      </c>
      <c r="B334" s="503" t="str">
        <f>ORÇAMENTO!D85</f>
        <v>LIMPEZA FINAL DA OBRA</v>
      </c>
      <c r="C334" s="504"/>
      <c r="D334" s="504"/>
      <c r="E334" s="504"/>
      <c r="F334" s="505"/>
      <c r="G334" s="290" t="s">
        <v>108</v>
      </c>
    </row>
    <row r="335" spans="1:7" ht="20.100000000000001" customHeight="1" x14ac:dyDescent="0.25">
      <c r="A335" s="286" t="s">
        <v>84</v>
      </c>
      <c r="B335" s="287" t="s">
        <v>9</v>
      </c>
      <c r="C335" s="287" t="s">
        <v>14</v>
      </c>
      <c r="D335" s="287" t="s">
        <v>2</v>
      </c>
      <c r="E335" s="288" t="s">
        <v>3</v>
      </c>
      <c r="F335" s="289" t="s">
        <v>52</v>
      </c>
      <c r="G335" s="290" t="s">
        <v>53</v>
      </c>
    </row>
    <row r="336" spans="1:7" ht="20.100000000000001" customHeight="1" thickBot="1" x14ac:dyDescent="0.3">
      <c r="A336" s="88" t="s">
        <v>11</v>
      </c>
      <c r="B336" s="174" t="s">
        <v>204</v>
      </c>
      <c r="C336" s="175" t="s">
        <v>59</v>
      </c>
      <c r="D336" s="43" t="s">
        <v>65</v>
      </c>
      <c r="E336" s="272">
        <v>0.4</v>
      </c>
      <c r="F336" s="169">
        <v>19.940000000000001</v>
      </c>
      <c r="G336" s="154">
        <f t="shared" ref="G336" si="25">ROUND((F336*E336),2)</f>
        <v>7.98</v>
      </c>
    </row>
    <row r="337" spans="1:7" ht="20.100000000000001" customHeight="1" thickBot="1" x14ac:dyDescent="0.3">
      <c r="A337" s="511" t="s">
        <v>15</v>
      </c>
      <c r="B337" s="512"/>
      <c r="C337" s="512"/>
      <c r="D337" s="512"/>
      <c r="E337" s="512"/>
      <c r="F337" s="513"/>
      <c r="G337" s="160">
        <f>SUM(G336:G336)</f>
        <v>7.98</v>
      </c>
    </row>
  </sheetData>
  <mergeCells count="141">
    <mergeCell ref="B315:F315"/>
    <mergeCell ref="A321:F321"/>
    <mergeCell ref="A317:B317"/>
    <mergeCell ref="A323:G323"/>
    <mergeCell ref="B324:F324"/>
    <mergeCell ref="B325:F325"/>
    <mergeCell ref="A327:B327"/>
    <mergeCell ref="A330:F330"/>
    <mergeCell ref="A298:B298"/>
    <mergeCell ref="A301:F301"/>
    <mergeCell ref="A303:G303"/>
    <mergeCell ref="B304:F304"/>
    <mergeCell ref="B305:F305"/>
    <mergeCell ref="A311:F311"/>
    <mergeCell ref="A313:G313"/>
    <mergeCell ref="B314:F314"/>
    <mergeCell ref="A283:F283"/>
    <mergeCell ref="A285:G285"/>
    <mergeCell ref="B286:F286"/>
    <mergeCell ref="B287:F287"/>
    <mergeCell ref="A289:B289"/>
    <mergeCell ref="A292:F292"/>
    <mergeCell ref="A294:G294"/>
    <mergeCell ref="B295:F295"/>
    <mergeCell ref="B296:F296"/>
    <mergeCell ref="A265:G265"/>
    <mergeCell ref="B266:F266"/>
    <mergeCell ref="B267:F267"/>
    <mergeCell ref="A274:F274"/>
    <mergeCell ref="A270:B270"/>
    <mergeCell ref="A276:G276"/>
    <mergeCell ref="B277:F277"/>
    <mergeCell ref="B278:F278"/>
    <mergeCell ref="A280:B280"/>
    <mergeCell ref="A244:G244"/>
    <mergeCell ref="B245:F245"/>
    <mergeCell ref="B246:F246"/>
    <mergeCell ref="A263:F263"/>
    <mergeCell ref="A248:B248"/>
    <mergeCell ref="A71:F71"/>
    <mergeCell ref="A24:G24"/>
    <mergeCell ref="B25:F25"/>
    <mergeCell ref="B26:F26"/>
    <mergeCell ref="A30:F30"/>
    <mergeCell ref="A53:G53"/>
    <mergeCell ref="A43:G43"/>
    <mergeCell ref="B44:F44"/>
    <mergeCell ref="B45:F45"/>
    <mergeCell ref="A32:G32"/>
    <mergeCell ref="B33:F33"/>
    <mergeCell ref="B34:F34"/>
    <mergeCell ref="A41:F41"/>
    <mergeCell ref="B94:F94"/>
    <mergeCell ref="A99:B99"/>
    <mergeCell ref="A100:F100"/>
    <mergeCell ref="B172:F172"/>
    <mergeCell ref="A189:F189"/>
    <mergeCell ref="A184:B184"/>
    <mergeCell ref="A1:G1"/>
    <mergeCell ref="A82:G82"/>
    <mergeCell ref="B83:F83"/>
    <mergeCell ref="B84:F84"/>
    <mergeCell ref="A8:G8"/>
    <mergeCell ref="B9:F9"/>
    <mergeCell ref="B10:F10"/>
    <mergeCell ref="A51:F51"/>
    <mergeCell ref="A14:F14"/>
    <mergeCell ref="A16:G16"/>
    <mergeCell ref="B17:F17"/>
    <mergeCell ref="B18:F18"/>
    <mergeCell ref="F6:G6"/>
    <mergeCell ref="A22:F22"/>
    <mergeCell ref="A77:B77"/>
    <mergeCell ref="A80:F80"/>
    <mergeCell ref="A73:G73"/>
    <mergeCell ref="B54:F54"/>
    <mergeCell ref="B55:F55"/>
    <mergeCell ref="A61:F61"/>
    <mergeCell ref="A57:B57"/>
    <mergeCell ref="A63:G63"/>
    <mergeCell ref="B64:F64"/>
    <mergeCell ref="B74:F74"/>
    <mergeCell ref="B333:F333"/>
    <mergeCell ref="A337:F337"/>
    <mergeCell ref="B334:F334"/>
    <mergeCell ref="D2:E2"/>
    <mergeCell ref="D3:E4"/>
    <mergeCell ref="F2:G2"/>
    <mergeCell ref="F3:G3"/>
    <mergeCell ref="F4:G4"/>
    <mergeCell ref="B2:C2"/>
    <mergeCell ref="B3:C3"/>
    <mergeCell ref="B4:C4"/>
    <mergeCell ref="B5:C5"/>
    <mergeCell ref="B6:C6"/>
    <mergeCell ref="D5:E5"/>
    <mergeCell ref="D6:E6"/>
    <mergeCell ref="F5:G5"/>
    <mergeCell ref="B75:F75"/>
    <mergeCell ref="B65:F65"/>
    <mergeCell ref="A67:B67"/>
    <mergeCell ref="B219:F219"/>
    <mergeCell ref="A134:G134"/>
    <mergeCell ref="B135:F135"/>
    <mergeCell ref="B136:F136"/>
    <mergeCell ref="A157:F157"/>
    <mergeCell ref="A332:G332"/>
    <mergeCell ref="A90:F90"/>
    <mergeCell ref="A89:B89"/>
    <mergeCell ref="A132:F132"/>
    <mergeCell ref="A120:B120"/>
    <mergeCell ref="B113:F113"/>
    <mergeCell ref="A209:G209"/>
    <mergeCell ref="B210:F210"/>
    <mergeCell ref="B211:F211"/>
    <mergeCell ref="A216:F216"/>
    <mergeCell ref="A242:F242"/>
    <mergeCell ref="B114:F114"/>
    <mergeCell ref="A123:B123"/>
    <mergeCell ref="A112:G112"/>
    <mergeCell ref="B220:F220"/>
    <mergeCell ref="A159:G159"/>
    <mergeCell ref="B160:F160"/>
    <mergeCell ref="A218:G218"/>
    <mergeCell ref="A92:G92"/>
    <mergeCell ref="B93:F93"/>
    <mergeCell ref="A207:F207"/>
    <mergeCell ref="A102:G102"/>
    <mergeCell ref="B103:F103"/>
    <mergeCell ref="B104:F104"/>
    <mergeCell ref="B192:F192"/>
    <mergeCell ref="B193:F193"/>
    <mergeCell ref="A109:B109"/>
    <mergeCell ref="A110:F110"/>
    <mergeCell ref="A183:B183"/>
    <mergeCell ref="B161:F161"/>
    <mergeCell ref="A168:F168"/>
    <mergeCell ref="A167:B167"/>
    <mergeCell ref="A170:G170"/>
    <mergeCell ref="B171:F171"/>
    <mergeCell ref="A191:G191"/>
  </mergeCells>
  <conditionalFormatting sqref="D248:D262">
    <cfRule type="expression" dxfId="11" priority="29" stopIfTrue="1">
      <formula>AND(#REF!&lt;&gt;"COMPOSICAO",#REF!&lt;&gt;"INSUMO",#REF!&lt;&gt;"")</formula>
    </cfRule>
    <cfRule type="expression" dxfId="10" priority="30" stopIfTrue="1">
      <formula>AND(OR(#REF!="COMPOSICAO",#REF!="INSUMO",#REF!&lt;&gt;""),#REF!&lt;&gt;"")</formula>
    </cfRule>
  </conditionalFormatting>
  <conditionalFormatting sqref="E280">
    <cfRule type="expression" dxfId="9" priority="13" stopIfTrue="1">
      <formula>AND(#REF!&lt;&gt;"COMPOSICAO",#REF!&lt;&gt;"INSUMO",#REF!&lt;&gt;"")</formula>
    </cfRule>
    <cfRule type="expression" dxfId="8" priority="14" stopIfTrue="1">
      <formula>AND(OR(#REF!="COMPOSICAO",#REF!="INSUMO",#REF!&lt;&gt;""),#REF!&lt;&gt;"")</formula>
    </cfRule>
  </conditionalFormatting>
  <conditionalFormatting sqref="E289">
    <cfRule type="expression" dxfId="7" priority="11" stopIfTrue="1">
      <formula>AND(#REF!&lt;&gt;"COMPOSICAO",#REF!&lt;&gt;"INSUMO",#REF!&lt;&gt;"")</formula>
    </cfRule>
    <cfRule type="expression" dxfId="6" priority="12" stopIfTrue="1">
      <formula>AND(OR(#REF!="COMPOSICAO",#REF!="INSUMO",#REF!&lt;&gt;""),#REF!&lt;&gt;"")</formula>
    </cfRule>
  </conditionalFormatting>
  <conditionalFormatting sqref="E298">
    <cfRule type="expression" dxfId="5" priority="9" stopIfTrue="1">
      <formula>AND(#REF!&lt;&gt;"COMPOSICAO",#REF!&lt;&gt;"INSUMO",#REF!&lt;&gt;"")</formula>
    </cfRule>
    <cfRule type="expression" dxfId="4" priority="10" stopIfTrue="1">
      <formula>AND(OR(#REF!="COMPOSICAO",#REF!="INSUMO",#REF!&lt;&gt;""),#REF!&lt;&gt;"")</formula>
    </cfRule>
  </conditionalFormatting>
  <conditionalFormatting sqref="E307:E308">
    <cfRule type="expression" dxfId="3" priority="5" stopIfTrue="1">
      <formula>AND(#REF!&lt;&gt;"COMPOSICAO",#REF!&lt;&gt;"INSUMO",#REF!&lt;&gt;"")</formula>
    </cfRule>
    <cfRule type="expression" dxfId="2" priority="6" stopIfTrue="1">
      <formula>AND(OR(#REF!="COMPOSICAO",#REF!="INSUMO",#REF!&lt;&gt;""),#REF!&lt;&gt;"")</formula>
    </cfRule>
  </conditionalFormatting>
  <conditionalFormatting sqref="E317:E318">
    <cfRule type="expression" dxfId="1" priority="3" stopIfTrue="1">
      <formula>AND(#REF!&lt;&gt;"COMPOSICAO",#REF!&lt;&gt;"INSUMO",#REF!&lt;&gt;"")</formula>
    </cfRule>
    <cfRule type="expression" dxfId="0" priority="4" stopIfTrue="1">
      <formula>AND(OR(#REF!="COMPOSICAO",#REF!="INSUMO",#REF!&lt;&gt;""),#REF!&lt;&gt;"")</formula>
    </cfRule>
  </conditionalFormatting>
  <pageMargins left="0.511811024" right="0.511811024" top="0.78740157499999996" bottom="0.78740157499999996" header="0.31496062000000002" footer="0.31496062000000002"/>
  <pageSetup paperSize="9" scale="58" fitToHeight="0"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89"/>
  <sheetViews>
    <sheetView tabSelected="1" view="pageBreakPreview" zoomScale="89" zoomScaleNormal="60" zoomScaleSheetLayoutView="89" workbookViewId="0">
      <selection activeCell="N30" sqref="N30"/>
    </sheetView>
  </sheetViews>
  <sheetFormatPr defaultColWidth="9.140625" defaultRowHeight="14.25" x14ac:dyDescent="0.2"/>
  <cols>
    <col min="1" max="1" width="12.140625" style="79" customWidth="1"/>
    <col min="2" max="2" width="13.140625" style="44" customWidth="1"/>
    <col min="3" max="3" width="17.5703125" style="44" customWidth="1"/>
    <col min="4" max="4" width="67.5703125" style="68" customWidth="1"/>
    <col min="5" max="5" width="10.85546875" style="45" customWidth="1"/>
    <col min="6" max="6" width="14.85546875" style="230" customWidth="1"/>
    <col min="7" max="7" width="15.85546875" style="46" bestFit="1" customWidth="1"/>
    <col min="8" max="8" width="16.5703125" style="47" customWidth="1"/>
    <col min="9" max="9" width="21.140625" style="47" bestFit="1" customWidth="1"/>
    <col min="10" max="10" width="14" style="45" customWidth="1"/>
    <col min="11" max="11" width="11.7109375" style="45" customWidth="1"/>
    <col min="12" max="12" width="12.5703125" style="2" bestFit="1" customWidth="1"/>
    <col min="13" max="13" width="13.140625" style="2" bestFit="1" customWidth="1"/>
    <col min="14" max="14" width="12.85546875" style="2" bestFit="1" customWidth="1"/>
    <col min="15" max="15" width="8.5703125" style="2" customWidth="1"/>
    <col min="16" max="16" width="24.42578125" style="2" customWidth="1"/>
    <col min="17" max="17" width="14.28515625" style="2" customWidth="1"/>
    <col min="18" max="18" width="13" style="2" customWidth="1"/>
    <col min="19" max="19" width="18.85546875" style="2" customWidth="1"/>
    <col min="20" max="20" width="17.28515625" style="2" customWidth="1"/>
    <col min="21" max="21" width="16.85546875" style="2" customWidth="1"/>
    <col min="22" max="22" width="13.28515625" style="2" customWidth="1"/>
    <col min="23" max="16384" width="9.140625" style="2"/>
  </cols>
  <sheetData>
    <row r="1" spans="1:15" s="1" customFormat="1" ht="84.95" customHeight="1" thickBot="1" x14ac:dyDescent="0.3">
      <c r="A1" s="637" t="s">
        <v>194</v>
      </c>
      <c r="B1" s="638"/>
      <c r="C1" s="638"/>
      <c r="D1" s="638"/>
      <c r="E1" s="638"/>
      <c r="F1" s="638"/>
      <c r="G1" s="638"/>
      <c r="H1" s="638"/>
      <c r="I1" s="638"/>
      <c r="J1" s="638"/>
      <c r="K1" s="639"/>
    </row>
    <row r="2" spans="1:15" s="68" customFormat="1" ht="30" customHeight="1" x14ac:dyDescent="0.25">
      <c r="A2" s="573" t="s">
        <v>25</v>
      </c>
      <c r="B2" s="551"/>
      <c r="C2" s="546" t="s">
        <v>189</v>
      </c>
      <c r="D2" s="546"/>
      <c r="E2" s="551" t="s">
        <v>73</v>
      </c>
      <c r="F2" s="551"/>
      <c r="G2" s="553" t="s">
        <v>190</v>
      </c>
      <c r="H2" s="553"/>
      <c r="I2" s="553"/>
      <c r="J2" s="553"/>
      <c r="K2" s="554"/>
    </row>
    <row r="3" spans="1:15" s="68" customFormat="1" ht="30" customHeight="1" x14ac:dyDescent="0.25">
      <c r="A3" s="574" t="s">
        <v>26</v>
      </c>
      <c r="B3" s="403"/>
      <c r="C3" s="465" t="s">
        <v>262</v>
      </c>
      <c r="D3" s="465"/>
      <c r="E3" s="404" t="s">
        <v>28</v>
      </c>
      <c r="F3" s="404"/>
      <c r="G3" s="555" t="s">
        <v>191</v>
      </c>
      <c r="H3" s="555"/>
      <c r="I3" s="555"/>
      <c r="J3" s="555"/>
      <c r="K3" s="556"/>
    </row>
    <row r="4" spans="1:15" s="68" customFormat="1" ht="30" customHeight="1" x14ac:dyDescent="0.25">
      <c r="A4" s="544" t="s">
        <v>27</v>
      </c>
      <c r="B4" s="545"/>
      <c r="C4" s="547" t="s">
        <v>503</v>
      </c>
      <c r="D4" s="547"/>
      <c r="E4" s="404"/>
      <c r="F4" s="404"/>
      <c r="G4" s="555" t="s">
        <v>192</v>
      </c>
      <c r="H4" s="555"/>
      <c r="I4" s="555"/>
      <c r="J4" s="555"/>
      <c r="K4" s="556"/>
    </row>
    <row r="5" spans="1:15" s="68" customFormat="1" ht="30" customHeight="1" x14ac:dyDescent="0.25">
      <c r="A5" s="574" t="s">
        <v>187</v>
      </c>
      <c r="B5" s="575"/>
      <c r="C5" s="482">
        <f>I86</f>
        <v>341934.37</v>
      </c>
      <c r="D5" s="484"/>
      <c r="E5" s="552" t="s">
        <v>188</v>
      </c>
      <c r="F5" s="404"/>
      <c r="G5" s="399">
        <f>BDI!I23</f>
        <v>0.29769428939090381</v>
      </c>
      <c r="H5" s="397"/>
      <c r="I5" s="397"/>
      <c r="J5" s="397"/>
      <c r="K5" s="398"/>
    </row>
    <row r="6" spans="1:15" s="68" customFormat="1" ht="30" customHeight="1" thickBot="1" x14ac:dyDescent="0.3">
      <c r="A6" s="549" t="s">
        <v>29</v>
      </c>
      <c r="B6" s="550"/>
      <c r="C6" s="548" t="s">
        <v>50</v>
      </c>
      <c r="D6" s="548"/>
      <c r="E6" s="394" t="s">
        <v>30</v>
      </c>
      <c r="F6" s="394"/>
      <c r="G6" s="557" t="s">
        <v>193</v>
      </c>
      <c r="H6" s="557"/>
      <c r="I6" s="557"/>
      <c r="J6" s="557"/>
      <c r="K6" s="558"/>
    </row>
    <row r="7" spans="1:15" ht="15.75" customHeight="1" thickBot="1" x14ac:dyDescent="0.25"/>
    <row r="8" spans="1:15" ht="22.5" customHeight="1" thickBot="1" x14ac:dyDescent="0.25">
      <c r="A8" s="570" t="s">
        <v>85</v>
      </c>
      <c r="B8" s="571"/>
      <c r="C8" s="571"/>
      <c r="D8" s="571"/>
      <c r="E8" s="571"/>
      <c r="F8" s="571"/>
      <c r="G8" s="571"/>
      <c r="H8" s="571"/>
      <c r="I8" s="571"/>
      <c r="J8" s="571"/>
      <c r="K8" s="572"/>
    </row>
    <row r="9" spans="1:15" ht="18" customHeight="1" thickBot="1" x14ac:dyDescent="0.25"/>
    <row r="10" spans="1:15" s="1" customFormat="1" ht="30.75" thickBot="1" x14ac:dyDescent="0.3">
      <c r="A10" s="196" t="s">
        <v>0</v>
      </c>
      <c r="B10" s="197" t="s">
        <v>84</v>
      </c>
      <c r="C10" s="198" t="s">
        <v>9</v>
      </c>
      <c r="D10" s="199" t="s">
        <v>1</v>
      </c>
      <c r="E10" s="197" t="s">
        <v>2</v>
      </c>
      <c r="F10" s="200" t="s">
        <v>3</v>
      </c>
      <c r="G10" s="200" t="s">
        <v>80</v>
      </c>
      <c r="H10" s="201" t="s">
        <v>81</v>
      </c>
      <c r="I10" s="201" t="s">
        <v>82</v>
      </c>
      <c r="J10" s="202" t="s">
        <v>63</v>
      </c>
      <c r="K10" s="203" t="s">
        <v>62</v>
      </c>
      <c r="L10" s="68"/>
      <c r="M10" s="68"/>
    </row>
    <row r="11" spans="1:15" s="5" customFormat="1" ht="19.5" customHeight="1" x14ac:dyDescent="0.25">
      <c r="A11" s="193">
        <v>1</v>
      </c>
      <c r="B11" s="634"/>
      <c r="C11" s="635"/>
      <c r="D11" s="569" t="s">
        <v>89</v>
      </c>
      <c r="E11" s="569"/>
      <c r="F11" s="569"/>
      <c r="G11" s="569"/>
      <c r="H11" s="569"/>
      <c r="I11" s="194">
        <f>I12</f>
        <v>13815.44</v>
      </c>
      <c r="J11" s="195">
        <f>SUM(J12)</f>
        <v>1</v>
      </c>
      <c r="K11" s="567">
        <f>I11/$I$86</f>
        <v>4.0403776900227964E-2</v>
      </c>
      <c r="L11" s="2"/>
      <c r="M11" s="2"/>
      <c r="N11" s="2"/>
      <c r="O11" s="2"/>
    </row>
    <row r="12" spans="1:15" ht="24.95" customHeight="1" x14ac:dyDescent="0.2">
      <c r="A12" s="43" t="s">
        <v>4</v>
      </c>
      <c r="B12" s="538" t="s">
        <v>218</v>
      </c>
      <c r="C12" s="538"/>
      <c r="D12" s="71" t="str">
        <f>COMPOSIÇÕES!B10</f>
        <v>ADMINISTRAÇÃO LOCAL (ENGENHEIRO CIVIL E ENCARREGADO)</v>
      </c>
      <c r="E12" s="43" t="s">
        <v>113</v>
      </c>
      <c r="F12" s="72">
        <f>'1. ADM. LOC.'!C23</f>
        <v>1</v>
      </c>
      <c r="G12" s="100">
        <f>COMPOSIÇÕES!G14</f>
        <v>10646.14</v>
      </c>
      <c r="H12" s="100">
        <f>ROUND((G12*(1+$G$5)),2)</f>
        <v>13815.44</v>
      </c>
      <c r="I12" s="100">
        <f>ROUND((H12*F12),2)</f>
        <v>13815.44</v>
      </c>
      <c r="J12" s="91">
        <f>I12/$I$11</f>
        <v>1</v>
      </c>
      <c r="K12" s="568"/>
    </row>
    <row r="13" spans="1:15" s="5" customFormat="1" ht="19.5" customHeight="1" x14ac:dyDescent="0.25">
      <c r="A13" s="181">
        <v>2</v>
      </c>
      <c r="B13" s="531"/>
      <c r="C13" s="532"/>
      <c r="D13" s="560" t="s">
        <v>87</v>
      </c>
      <c r="E13" s="560"/>
      <c r="F13" s="560"/>
      <c r="G13" s="560"/>
      <c r="H13" s="560"/>
      <c r="I13" s="121">
        <f>SUM(I14:I16)</f>
        <v>17827.93</v>
      </c>
      <c r="J13" s="120">
        <f>SUM(J14:J16)</f>
        <v>1</v>
      </c>
      <c r="K13" s="559">
        <f>I13/I86</f>
        <v>5.2138455692535383E-2</v>
      </c>
      <c r="L13" s="2"/>
      <c r="M13" s="2"/>
      <c r="N13" s="2"/>
      <c r="O13" s="2"/>
    </row>
    <row r="14" spans="1:15" ht="33" customHeight="1" x14ac:dyDescent="0.2">
      <c r="A14" s="43" t="s">
        <v>74</v>
      </c>
      <c r="B14" s="70" t="s">
        <v>11</v>
      </c>
      <c r="C14" s="80" t="s">
        <v>228</v>
      </c>
      <c r="D14" s="71" t="s">
        <v>229</v>
      </c>
      <c r="E14" s="72" t="s">
        <v>108</v>
      </c>
      <c r="F14" s="72">
        <f>'2. SER.PRE.'!C16</f>
        <v>4.5</v>
      </c>
      <c r="G14" s="100">
        <v>309.5</v>
      </c>
      <c r="H14" s="100">
        <f>ROUND((G14*(1+$G$5)),2)</f>
        <v>401.64</v>
      </c>
      <c r="I14" s="100">
        <f>ROUND((H14*F14),2)</f>
        <v>1807.38</v>
      </c>
      <c r="J14" s="91">
        <f>I14/$I$13</f>
        <v>0.10137912814331221</v>
      </c>
      <c r="K14" s="559"/>
    </row>
    <row r="15" spans="1:15" ht="24" customHeight="1" x14ac:dyDescent="0.2">
      <c r="A15" s="43" t="s">
        <v>164</v>
      </c>
      <c r="B15" s="70" t="s">
        <v>149</v>
      </c>
      <c r="C15" s="80" t="s">
        <v>264</v>
      </c>
      <c r="D15" s="71" t="s">
        <v>265</v>
      </c>
      <c r="E15" s="72" t="s">
        <v>108</v>
      </c>
      <c r="F15" s="72">
        <f>'2. SER.PRE.'!C23</f>
        <v>12</v>
      </c>
      <c r="G15" s="100">
        <v>447.53</v>
      </c>
      <c r="H15" s="100">
        <f>ROUND((G15*(1+$G$5)),2)</f>
        <v>580.76</v>
      </c>
      <c r="I15" s="100">
        <f>ROUND((H15*F15),2)</f>
        <v>6969.12</v>
      </c>
      <c r="J15" s="91">
        <f>I15/$I$13</f>
        <v>0.39091021784357466</v>
      </c>
      <c r="K15" s="559"/>
    </row>
    <row r="16" spans="1:15" ht="22.5" customHeight="1" x14ac:dyDescent="0.2">
      <c r="A16" s="43" t="s">
        <v>266</v>
      </c>
      <c r="B16" s="70" t="s">
        <v>149</v>
      </c>
      <c r="C16" s="80" t="s">
        <v>167</v>
      </c>
      <c r="D16" s="71" t="s">
        <v>238</v>
      </c>
      <c r="E16" s="72" t="s">
        <v>108</v>
      </c>
      <c r="F16" s="72">
        <f>'2. SER.PRE.'!C30</f>
        <v>1205.25</v>
      </c>
      <c r="G16" s="100">
        <v>5.79</v>
      </c>
      <c r="H16" s="100">
        <f t="shared" ref="H16" si="0">ROUND((G16*(1+$G$5)),2)</f>
        <v>7.51</v>
      </c>
      <c r="I16" s="100">
        <f>ROUND((H16*F16),2)</f>
        <v>9051.43</v>
      </c>
      <c r="J16" s="91">
        <f>I16/$I$13</f>
        <v>0.50771065401311311</v>
      </c>
      <c r="K16" s="559"/>
    </row>
    <row r="17" spans="1:16" ht="18.75" customHeight="1" x14ac:dyDescent="0.2">
      <c r="A17" s="181">
        <v>3</v>
      </c>
      <c r="B17" s="531"/>
      <c r="C17" s="532"/>
      <c r="D17" s="560" t="s">
        <v>88</v>
      </c>
      <c r="E17" s="560"/>
      <c r="F17" s="560"/>
      <c r="G17" s="560"/>
      <c r="H17" s="560"/>
      <c r="I17" s="121">
        <f>SUM(I18:I21)</f>
        <v>5790.49</v>
      </c>
      <c r="J17" s="120">
        <f>SUM(J18:J21)</f>
        <v>1</v>
      </c>
      <c r="K17" s="559">
        <f>I17/I86</f>
        <v>1.6934507051747972E-2</v>
      </c>
    </row>
    <row r="18" spans="1:16" ht="29.25" customHeight="1" x14ac:dyDescent="0.2">
      <c r="A18" s="43" t="s">
        <v>222</v>
      </c>
      <c r="B18" s="70" t="s">
        <v>149</v>
      </c>
      <c r="C18" s="70" t="s">
        <v>268</v>
      </c>
      <c r="D18" s="69" t="s">
        <v>270</v>
      </c>
      <c r="E18" s="234" t="s">
        <v>107</v>
      </c>
      <c r="F18" s="234">
        <f>'3. DEMOLIÇÃO'!C27</f>
        <v>4.1900000000000004</v>
      </c>
      <c r="G18" s="157">
        <v>291.32</v>
      </c>
      <c r="H18" s="100">
        <f t="shared" ref="H18:H19" si="1">ROUND((G18*(1+$G$5)),2)</f>
        <v>378.04</v>
      </c>
      <c r="I18" s="100">
        <f t="shared" ref="I18" si="2">ROUND((H18*F18),2)</f>
        <v>1583.99</v>
      </c>
      <c r="J18" s="91">
        <f t="shared" ref="J18" si="3">I18/$I$17</f>
        <v>0.27355025222390505</v>
      </c>
      <c r="K18" s="559"/>
    </row>
    <row r="19" spans="1:16" ht="42.75" customHeight="1" x14ac:dyDescent="0.2">
      <c r="A19" s="43" t="s">
        <v>239</v>
      </c>
      <c r="B19" s="529" t="s">
        <v>219</v>
      </c>
      <c r="C19" s="530"/>
      <c r="D19" s="344" t="str">
        <f>COMPOSIÇÕES!B18</f>
        <v>REMOÇÃO DE PISO DE BLOCO INTERTRAVADO (SEXTAVADO), DE FORMA MANUAL, SEM REAPROVEITAMENTO</v>
      </c>
      <c r="E19" s="234" t="s">
        <v>108</v>
      </c>
      <c r="F19" s="234">
        <f>'3. DEMOLIÇÃO'!C44</f>
        <v>224.57</v>
      </c>
      <c r="G19" s="157">
        <f>COMPOSIÇÕES!G22</f>
        <v>9.44</v>
      </c>
      <c r="H19" s="100">
        <f t="shared" si="1"/>
        <v>12.25</v>
      </c>
      <c r="I19" s="100">
        <f t="shared" ref="I19" si="4">ROUND((H19*F19),2)</f>
        <v>2750.98</v>
      </c>
      <c r="J19" s="91">
        <f t="shared" ref="J19" si="5">I19/$I$17</f>
        <v>0.47508587356165022</v>
      </c>
      <c r="K19" s="559"/>
    </row>
    <row r="20" spans="1:16" ht="35.25" customHeight="1" x14ac:dyDescent="0.2">
      <c r="A20" s="43" t="s">
        <v>240</v>
      </c>
      <c r="B20" s="529" t="s">
        <v>220</v>
      </c>
      <c r="C20" s="530"/>
      <c r="D20" s="344" t="str">
        <f>COMPOSIÇÕES!B26</f>
        <v>REMOÇÃO DE BANCO EM CONCRETO, SEM REAPROVEITAMENTO</v>
      </c>
      <c r="E20" s="234" t="s">
        <v>113</v>
      </c>
      <c r="F20" s="234">
        <f>'3. DEMOLIÇÃO'!C48</f>
        <v>8</v>
      </c>
      <c r="G20" s="157">
        <f>COMPOSIÇÕES!G30</f>
        <v>12.809999999999999</v>
      </c>
      <c r="H20" s="100">
        <f t="shared" ref="H20" si="6">ROUND((G20*(1+$G$5)),2)</f>
        <v>16.62</v>
      </c>
      <c r="I20" s="100">
        <f t="shared" ref="I20" si="7">ROUND((H20*F20),2)</f>
        <v>132.96</v>
      </c>
      <c r="J20" s="91">
        <f t="shared" ref="J20" si="8">I20/$I$17</f>
        <v>2.2961787344421631E-2</v>
      </c>
      <c r="K20" s="559"/>
    </row>
    <row r="21" spans="1:16" ht="38.25" customHeight="1" x14ac:dyDescent="0.2">
      <c r="A21" s="43" t="s">
        <v>267</v>
      </c>
      <c r="B21" s="70" t="s">
        <v>11</v>
      </c>
      <c r="C21" s="70" t="s">
        <v>241</v>
      </c>
      <c r="D21" s="69" t="s">
        <v>242</v>
      </c>
      <c r="E21" s="234" t="s">
        <v>108</v>
      </c>
      <c r="F21" s="234">
        <f>'3. DEMOLIÇÃO'!C58</f>
        <v>348.96</v>
      </c>
      <c r="G21" s="157">
        <v>2.92</v>
      </c>
      <c r="H21" s="100">
        <f t="shared" ref="H21" si="9">ROUND((G21*(1+$G$5)),2)</f>
        <v>3.79</v>
      </c>
      <c r="I21" s="100">
        <f t="shared" ref="I21" si="10">ROUND((H21*F21),2)</f>
        <v>1322.56</v>
      </c>
      <c r="J21" s="91">
        <f t="shared" ref="J21" si="11">I21/$I$17</f>
        <v>0.22840208687002309</v>
      </c>
      <c r="K21" s="559"/>
    </row>
    <row r="22" spans="1:16" ht="26.25" customHeight="1" x14ac:dyDescent="0.2">
      <c r="A22" s="181">
        <v>4</v>
      </c>
      <c r="B22" s="531"/>
      <c r="C22" s="532"/>
      <c r="D22" s="560" t="s">
        <v>214</v>
      </c>
      <c r="E22" s="560"/>
      <c r="F22" s="560"/>
      <c r="G22" s="560"/>
      <c r="H22" s="560"/>
      <c r="I22" s="121">
        <f>SUM(I23:I27)</f>
        <v>109208.26</v>
      </c>
      <c r="J22" s="120">
        <f>SUM(J23:J27)</f>
        <v>1.0000000000000002</v>
      </c>
      <c r="K22" s="633">
        <f>I22/I86</f>
        <v>0.31938368757723884</v>
      </c>
    </row>
    <row r="23" spans="1:16" ht="54" customHeight="1" x14ac:dyDescent="0.2">
      <c r="A23" s="70" t="s">
        <v>504</v>
      </c>
      <c r="B23" s="70" t="s">
        <v>11</v>
      </c>
      <c r="C23" s="80" t="s">
        <v>185</v>
      </c>
      <c r="D23" s="233" t="s">
        <v>186</v>
      </c>
      <c r="E23" s="234" t="s">
        <v>107</v>
      </c>
      <c r="F23" s="234">
        <f>'4. PAVIM.'!C29</f>
        <v>60.33</v>
      </c>
      <c r="G23" s="129">
        <v>970.12</v>
      </c>
      <c r="H23" s="100">
        <f t="shared" ref="H23:H25" si="12">ROUND((G23*(1+$G$5)),2)</f>
        <v>1258.92</v>
      </c>
      <c r="I23" s="129">
        <f t="shared" ref="I23:I25" si="13">ROUND((H23*F23),2)</f>
        <v>75950.64</v>
      </c>
      <c r="J23" s="91">
        <f>I23/$I$22</f>
        <v>0.69546607555142814</v>
      </c>
      <c r="K23" s="633"/>
      <c r="O23" s="130"/>
    </row>
    <row r="24" spans="1:16" ht="49.5" customHeight="1" x14ac:dyDescent="0.2">
      <c r="A24" s="393" t="s">
        <v>505</v>
      </c>
      <c r="B24" s="70" t="s">
        <v>11</v>
      </c>
      <c r="C24" s="80" t="s">
        <v>295</v>
      </c>
      <c r="D24" s="233" t="s">
        <v>296</v>
      </c>
      <c r="E24" s="234" t="s">
        <v>133</v>
      </c>
      <c r="F24" s="234">
        <f>'4. PAVIM.'!C45</f>
        <v>199.12</v>
      </c>
      <c r="G24" s="129">
        <v>54.13</v>
      </c>
      <c r="H24" s="100">
        <f t="shared" ref="H24" si="14">ROUND((G24*(1+$G$5)),2)</f>
        <v>70.239999999999995</v>
      </c>
      <c r="I24" s="129">
        <f t="shared" ref="I24" si="15">ROUND((H24*F24),2)</f>
        <v>13986.19</v>
      </c>
      <c r="J24" s="91">
        <f t="shared" ref="J24:J27" si="16">I24/$I$22</f>
        <v>0.12806897573498563</v>
      </c>
      <c r="K24" s="633"/>
      <c r="O24" s="130"/>
    </row>
    <row r="25" spans="1:16" s="45" customFormat="1" ht="51" customHeight="1" x14ac:dyDescent="0.2">
      <c r="A25" s="393" t="s">
        <v>506</v>
      </c>
      <c r="B25" s="70" t="s">
        <v>11</v>
      </c>
      <c r="C25" s="80" t="s">
        <v>198</v>
      </c>
      <c r="D25" s="233" t="s">
        <v>199</v>
      </c>
      <c r="E25" s="43" t="s">
        <v>133</v>
      </c>
      <c r="F25" s="234">
        <f>'4. PAVIM.'!C61</f>
        <v>96</v>
      </c>
      <c r="G25" s="100">
        <v>58.93</v>
      </c>
      <c r="H25" s="100">
        <f t="shared" si="12"/>
        <v>76.47</v>
      </c>
      <c r="I25" s="100">
        <f t="shared" si="13"/>
        <v>7341.12</v>
      </c>
      <c r="J25" s="91">
        <f t="shared" si="16"/>
        <v>6.7221288939133358E-2</v>
      </c>
      <c r="K25" s="633"/>
    </row>
    <row r="26" spans="1:16" s="45" customFormat="1" ht="69.75" customHeight="1" x14ac:dyDescent="0.2">
      <c r="A26" s="393" t="s">
        <v>507</v>
      </c>
      <c r="B26" s="70" t="s">
        <v>11</v>
      </c>
      <c r="C26" s="80" t="s">
        <v>334</v>
      </c>
      <c r="D26" s="233" t="s">
        <v>335</v>
      </c>
      <c r="E26" s="43" t="s">
        <v>133</v>
      </c>
      <c r="F26" s="234">
        <f>'4. PAVIM.'!C72</f>
        <v>101.13</v>
      </c>
      <c r="G26" s="100">
        <v>65.900000000000006</v>
      </c>
      <c r="H26" s="100">
        <f t="shared" ref="H26:H27" si="17">ROUND((G26*(1+$G$5)),2)</f>
        <v>85.52</v>
      </c>
      <c r="I26" s="100">
        <f t="shared" ref="I26:I27" si="18">ROUND((H26*F26),2)</f>
        <v>8648.64</v>
      </c>
      <c r="J26" s="91">
        <f t="shared" si="16"/>
        <v>7.9194009683882891E-2</v>
      </c>
      <c r="K26" s="633"/>
    </row>
    <row r="27" spans="1:16" s="45" customFormat="1" ht="55.5" customHeight="1" x14ac:dyDescent="0.2">
      <c r="A27" s="393" t="s">
        <v>508</v>
      </c>
      <c r="B27" s="529" t="s">
        <v>221</v>
      </c>
      <c r="C27" s="530"/>
      <c r="D27" s="365" t="s">
        <v>368</v>
      </c>
      <c r="E27" s="234" t="s">
        <v>108</v>
      </c>
      <c r="F27" s="234">
        <f>'4. PAVIM.'!C84</f>
        <v>10.5</v>
      </c>
      <c r="G27" s="157">
        <f>COMPOSIÇÕES!G41</f>
        <v>240.84000000000003</v>
      </c>
      <c r="H27" s="100">
        <f t="shared" si="17"/>
        <v>312.54000000000002</v>
      </c>
      <c r="I27" s="100">
        <f t="shared" si="18"/>
        <v>3281.67</v>
      </c>
      <c r="J27" s="91">
        <f t="shared" si="16"/>
        <v>3.0049650090570073E-2</v>
      </c>
      <c r="K27" s="633"/>
    </row>
    <row r="28" spans="1:16" ht="24" customHeight="1" x14ac:dyDescent="0.2">
      <c r="A28" s="247">
        <v>5</v>
      </c>
      <c r="B28" s="536"/>
      <c r="C28" s="562"/>
      <c r="D28" s="565" t="s">
        <v>223</v>
      </c>
      <c r="E28" s="565"/>
      <c r="F28" s="565"/>
      <c r="G28" s="565"/>
      <c r="H28" s="566"/>
      <c r="I28" s="248">
        <f>I29+I35+I39+I43+I41+I47+I49+I51</f>
        <v>105492.62</v>
      </c>
      <c r="J28" s="120">
        <f>J29+J35+J39+J41+J43+J47+J49+J51</f>
        <v>1</v>
      </c>
      <c r="K28" s="636">
        <f>I28/I86</f>
        <v>0.30851715783938305</v>
      </c>
      <c r="L28" s="45"/>
      <c r="M28" s="45"/>
      <c r="N28" s="45"/>
      <c r="O28" s="45"/>
      <c r="P28" s="45"/>
    </row>
    <row r="29" spans="1:16" ht="24.75" customHeight="1" x14ac:dyDescent="0.2">
      <c r="A29" s="189" t="s">
        <v>55</v>
      </c>
      <c r="B29" s="563"/>
      <c r="C29" s="564"/>
      <c r="D29" s="190" t="s">
        <v>118</v>
      </c>
      <c r="E29" s="190"/>
      <c r="F29" s="190"/>
      <c r="G29" s="190"/>
      <c r="H29" s="191"/>
      <c r="I29" s="249">
        <f>(ROUND(SUM(I30:I34),2))</f>
        <v>32810.629999999997</v>
      </c>
      <c r="J29" s="161">
        <f>I29/$I$28</f>
        <v>0.31102298909629889</v>
      </c>
      <c r="K29" s="636"/>
      <c r="L29" s="45"/>
      <c r="M29" s="45"/>
      <c r="N29" s="45"/>
      <c r="O29" s="45"/>
      <c r="P29" s="45"/>
    </row>
    <row r="30" spans="1:16" s="179" customFormat="1" ht="27.6" customHeight="1" x14ac:dyDescent="0.2">
      <c r="A30" s="43" t="s">
        <v>119</v>
      </c>
      <c r="B30" s="539" t="s">
        <v>208</v>
      </c>
      <c r="C30" s="539"/>
      <c r="D30" s="252" t="s">
        <v>299</v>
      </c>
      <c r="E30" s="253" t="s">
        <v>5</v>
      </c>
      <c r="F30" s="254">
        <f>'5. URB. '!C28</f>
        <v>292.32</v>
      </c>
      <c r="G30" s="255">
        <f>COMPOSIÇÕES!G51</f>
        <v>29.320000000000004</v>
      </c>
      <c r="H30" s="100">
        <f t="shared" ref="H30:H52" si="19">ROUND((G30*(1+$G$5)),2)</f>
        <v>38.049999999999997</v>
      </c>
      <c r="I30" s="129">
        <f t="shared" ref="I30:I34" si="20">ROUND((H30*F30),2)</f>
        <v>11122.78</v>
      </c>
      <c r="J30" s="91">
        <f>I30/$I$29</f>
        <v>0.33899928163525056</v>
      </c>
      <c r="K30" s="636"/>
      <c r="L30" s="45"/>
      <c r="M30" s="45"/>
      <c r="N30" s="45"/>
      <c r="O30" s="45"/>
      <c r="P30" s="45"/>
    </row>
    <row r="31" spans="1:16" s="179" customFormat="1" ht="27.6" customHeight="1" x14ac:dyDescent="0.2">
      <c r="A31" s="43" t="s">
        <v>160</v>
      </c>
      <c r="B31" s="70" t="s">
        <v>11</v>
      </c>
      <c r="C31" s="70">
        <v>98520</v>
      </c>
      <c r="D31" s="237" t="s">
        <v>122</v>
      </c>
      <c r="E31" s="43" t="s">
        <v>108</v>
      </c>
      <c r="F31" s="188">
        <f>'5. URB. '!C32</f>
        <v>347.47</v>
      </c>
      <c r="G31" s="176">
        <v>5.92</v>
      </c>
      <c r="H31" s="100">
        <f t="shared" si="19"/>
        <v>7.68</v>
      </c>
      <c r="I31" s="129">
        <f t="shared" ref="I31" si="21">ROUND((H31*F31),2)</f>
        <v>2668.57</v>
      </c>
      <c r="J31" s="91">
        <f t="shared" ref="J31:J34" si="22">I31/$I$29</f>
        <v>8.1332482795971925E-2</v>
      </c>
      <c r="K31" s="636"/>
      <c r="L31" s="45"/>
      <c r="M31" s="45"/>
      <c r="N31" s="45"/>
      <c r="O31" s="45"/>
      <c r="P31" s="45"/>
    </row>
    <row r="32" spans="1:16" ht="26.25" customHeight="1" x14ac:dyDescent="0.2">
      <c r="A32" s="43" t="s">
        <v>123</v>
      </c>
      <c r="B32" s="538" t="s">
        <v>207</v>
      </c>
      <c r="C32" s="538"/>
      <c r="D32" s="237" t="str">
        <f>COMPOSIÇÕES!B55</f>
        <v>FORNECIMENTO E INSTALAÇÃO MUDA DE DIANELA</v>
      </c>
      <c r="E32" s="43" t="s">
        <v>10</v>
      </c>
      <c r="F32" s="188">
        <f>'5. URB. '!C43</f>
        <v>616</v>
      </c>
      <c r="G32" s="167">
        <f>COMPOSIÇÕES!G61</f>
        <v>10.06</v>
      </c>
      <c r="H32" s="100">
        <f t="shared" si="19"/>
        <v>13.05</v>
      </c>
      <c r="I32" s="129">
        <f t="shared" si="20"/>
        <v>8038.8</v>
      </c>
      <c r="J32" s="91">
        <f t="shared" si="22"/>
        <v>0.24500596300650127</v>
      </c>
      <c r="K32" s="636"/>
    </row>
    <row r="33" spans="1:11" ht="26.25" customHeight="1" x14ac:dyDescent="0.2">
      <c r="A33" s="43" t="s">
        <v>124</v>
      </c>
      <c r="B33" s="538" t="s">
        <v>211</v>
      </c>
      <c r="C33" s="538"/>
      <c r="D33" s="237" t="str">
        <f>COMPOSIÇÕES!B65</f>
        <v>FORNECIMENTO E INSTALAÇÃO MUDA DE PENICILINA</v>
      </c>
      <c r="E33" s="43" t="s">
        <v>10</v>
      </c>
      <c r="F33" s="188">
        <f>'5. URB. '!C56</f>
        <v>763</v>
      </c>
      <c r="G33" s="167">
        <f>COMPOSIÇÕES!G71</f>
        <v>10.06</v>
      </c>
      <c r="H33" s="100">
        <f t="shared" si="19"/>
        <v>13.05</v>
      </c>
      <c r="I33" s="129">
        <f t="shared" si="20"/>
        <v>9957.15</v>
      </c>
      <c r="J33" s="91">
        <f t="shared" si="22"/>
        <v>0.30347329508759813</v>
      </c>
      <c r="K33" s="636"/>
    </row>
    <row r="34" spans="1:11" ht="26.25" customHeight="1" x14ac:dyDescent="0.2">
      <c r="A34" s="43" t="s">
        <v>156</v>
      </c>
      <c r="B34" s="538" t="s">
        <v>212</v>
      </c>
      <c r="C34" s="538"/>
      <c r="D34" s="258" t="str">
        <f>COMPOSIÇÕES!B75</f>
        <v>FORNECIMENTO E INSTALAÇÃO LIMITADOR DE GRAMA</v>
      </c>
      <c r="E34" s="259" t="s">
        <v>12</v>
      </c>
      <c r="F34" s="260">
        <f>'5. URB. '!C69</f>
        <v>194.55</v>
      </c>
      <c r="G34" s="153">
        <f>COMPOSIÇÕES!G80</f>
        <v>4.05</v>
      </c>
      <c r="H34" s="250">
        <f t="shared" si="19"/>
        <v>5.26</v>
      </c>
      <c r="I34" s="100">
        <f t="shared" si="20"/>
        <v>1023.33</v>
      </c>
      <c r="J34" s="91">
        <f t="shared" si="22"/>
        <v>3.1188977474678178E-2</v>
      </c>
      <c r="K34" s="636"/>
    </row>
    <row r="35" spans="1:11" ht="21.75" customHeight="1" x14ac:dyDescent="0.2">
      <c r="A35" s="257" t="s">
        <v>60</v>
      </c>
      <c r="B35" s="189"/>
      <c r="C35" s="263"/>
      <c r="D35" s="264" t="s">
        <v>163</v>
      </c>
      <c r="E35" s="265"/>
      <c r="F35" s="266"/>
      <c r="G35" s="267"/>
      <c r="H35" s="268"/>
      <c r="I35" s="249">
        <f>(ROUND(SUM(I36:I38),2))</f>
        <v>11198.92</v>
      </c>
      <c r="J35" s="161">
        <f>I35/$I$28</f>
        <v>0.10615832652559014</v>
      </c>
      <c r="K35" s="636"/>
    </row>
    <row r="36" spans="1:11" ht="54.95" customHeight="1" x14ac:dyDescent="0.2">
      <c r="A36" s="147" t="s">
        <v>148</v>
      </c>
      <c r="B36" s="539" t="s">
        <v>215</v>
      </c>
      <c r="C36" s="539"/>
      <c r="D36" s="252" t="s">
        <v>339</v>
      </c>
      <c r="E36" s="253" t="s">
        <v>113</v>
      </c>
      <c r="F36" s="254">
        <f>'5. URB. '!C74</f>
        <v>2</v>
      </c>
      <c r="G36" s="261">
        <f>COMPOSIÇÕES!G90</f>
        <v>1828.1200000000001</v>
      </c>
      <c r="H36" s="262">
        <f t="shared" si="19"/>
        <v>2372.34</v>
      </c>
      <c r="I36" s="129">
        <f>ROUND((H36*F36),2)</f>
        <v>4744.68</v>
      </c>
      <c r="J36" s="145">
        <f>I36/$I$35</f>
        <v>0.42367299703900019</v>
      </c>
      <c r="K36" s="636"/>
    </row>
    <row r="37" spans="1:11" ht="54.95" customHeight="1" x14ac:dyDescent="0.2">
      <c r="A37" s="147" t="s">
        <v>337</v>
      </c>
      <c r="B37" s="539" t="s">
        <v>217</v>
      </c>
      <c r="C37" s="539"/>
      <c r="D37" s="252" t="s">
        <v>340</v>
      </c>
      <c r="E37" s="253" t="s">
        <v>113</v>
      </c>
      <c r="F37" s="254">
        <f>'5. URB. '!C78</f>
        <v>2</v>
      </c>
      <c r="G37" s="261">
        <f>COMPOSIÇÕES!G100</f>
        <v>1284.95</v>
      </c>
      <c r="H37" s="262">
        <f t="shared" ref="H37:H38" si="23">ROUND((G37*(1+$G$5)),2)</f>
        <v>1667.47</v>
      </c>
      <c r="I37" s="129">
        <f t="shared" ref="I37:I38" si="24">ROUND((H37*F37),2)</f>
        <v>3334.94</v>
      </c>
      <c r="J37" s="145">
        <f t="shared" ref="J37:J38" si="25">I37/$I$35</f>
        <v>0.29779121558150251</v>
      </c>
      <c r="K37" s="636"/>
    </row>
    <row r="38" spans="1:11" ht="54.95" customHeight="1" x14ac:dyDescent="0.2">
      <c r="A38" s="147" t="s">
        <v>338</v>
      </c>
      <c r="B38" s="539" t="s">
        <v>224</v>
      </c>
      <c r="C38" s="539"/>
      <c r="D38" s="252" t="s">
        <v>341</v>
      </c>
      <c r="E38" s="253" t="s">
        <v>113</v>
      </c>
      <c r="F38" s="254">
        <f>'5. URB. '!C82</f>
        <v>2</v>
      </c>
      <c r="G38" s="261">
        <f>COMPOSIÇÕES!G110</f>
        <v>1201.8600000000001</v>
      </c>
      <c r="H38" s="262">
        <f t="shared" si="23"/>
        <v>1559.65</v>
      </c>
      <c r="I38" s="129">
        <f t="shared" si="24"/>
        <v>3119.3</v>
      </c>
      <c r="J38" s="145">
        <f t="shared" si="25"/>
        <v>0.2785357873794973</v>
      </c>
      <c r="K38" s="636"/>
    </row>
    <row r="39" spans="1:11" ht="21.95" customHeight="1" x14ac:dyDescent="0.2">
      <c r="A39" s="257" t="s">
        <v>115</v>
      </c>
      <c r="B39" s="270"/>
      <c r="C39" s="271"/>
      <c r="D39" s="264" t="s">
        <v>120</v>
      </c>
      <c r="E39" s="265"/>
      <c r="F39" s="266"/>
      <c r="G39" s="267"/>
      <c r="H39" s="268"/>
      <c r="I39" s="249">
        <f>(ROUND(SUM(I40:I40),2))</f>
        <v>836.87</v>
      </c>
      <c r="J39" s="161">
        <f>I39/$I$28</f>
        <v>7.9329719936806955E-3</v>
      </c>
      <c r="K39" s="636"/>
    </row>
    <row r="40" spans="1:11" ht="40.5" customHeight="1" x14ac:dyDescent="0.2">
      <c r="A40" s="43" t="s">
        <v>121</v>
      </c>
      <c r="B40" s="251" t="s">
        <v>11</v>
      </c>
      <c r="C40" s="251">
        <v>102498</v>
      </c>
      <c r="D40" s="252" t="s">
        <v>142</v>
      </c>
      <c r="E40" s="253" t="s">
        <v>133</v>
      </c>
      <c r="F40" s="254">
        <f>'5. URB. '!C103</f>
        <v>394.75</v>
      </c>
      <c r="G40" s="261">
        <v>1.63</v>
      </c>
      <c r="H40" s="262">
        <f t="shared" si="19"/>
        <v>2.12</v>
      </c>
      <c r="I40" s="100">
        <f>ROUND((H40*F40),2)</f>
        <v>836.87</v>
      </c>
      <c r="J40" s="91">
        <f>I40/$I$39</f>
        <v>1</v>
      </c>
      <c r="K40" s="636"/>
    </row>
    <row r="41" spans="1:11" ht="21.95" customHeight="1" x14ac:dyDescent="0.2">
      <c r="A41" s="257" t="s">
        <v>116</v>
      </c>
      <c r="B41" s="276"/>
      <c r="C41" s="277"/>
      <c r="D41" s="278" t="s">
        <v>64</v>
      </c>
      <c r="E41" s="279"/>
      <c r="F41" s="280"/>
      <c r="G41" s="281"/>
      <c r="H41" s="282"/>
      <c r="I41" s="249">
        <f>I42</f>
        <v>19041.5</v>
      </c>
      <c r="J41" s="161">
        <f t="shared" ref="J41:J52" si="26">I41/$I$28</f>
        <v>0.18050077815869964</v>
      </c>
      <c r="K41" s="636"/>
    </row>
    <row r="42" spans="1:11" ht="98.25" customHeight="1" x14ac:dyDescent="0.2">
      <c r="A42" s="43" t="s">
        <v>143</v>
      </c>
      <c r="B42" s="540" t="s">
        <v>225</v>
      </c>
      <c r="C42" s="540"/>
      <c r="D42" s="284" t="str">
        <f>COMPOSIÇÕES!B114</f>
        <v>FORNECIMENTO E INSTALAÇÃO DE LIXEIRA COM PERFIL "U" ESTRUTURAL 100X40MM, CESTO EM TELA MOEDA E CHAPA METÁLICA Nº18 E ACABAMENTOS LATERAIS EM RIPA EM MADEIRA 10X2, INCLUINDO BLOCO DE FUNDAÇÃO EM CONCRETO CICLÓPICO, PINTURAS EM ESMALTE SINTÉTICO E ANTIFERRUGINOSA, E ACESSÓRIOS E FIXAÇÃO</v>
      </c>
      <c r="E42" s="253" t="s">
        <v>113</v>
      </c>
      <c r="F42" s="254">
        <f>'5. URB. '!C108</f>
        <v>10</v>
      </c>
      <c r="G42" s="261">
        <f>COMPOSIÇÕES!G132</f>
        <v>1467.33</v>
      </c>
      <c r="H42" s="262">
        <f t="shared" si="19"/>
        <v>1904.15</v>
      </c>
      <c r="I42" s="100">
        <f>ROUND((H42*F42),2)</f>
        <v>19041.5</v>
      </c>
      <c r="J42" s="134">
        <f t="shared" si="26"/>
        <v>0.18050077815869964</v>
      </c>
      <c r="K42" s="636"/>
    </row>
    <row r="43" spans="1:11" ht="15" x14ac:dyDescent="0.2">
      <c r="A43" s="257" t="s">
        <v>144</v>
      </c>
      <c r="B43" s="276"/>
      <c r="C43" s="277"/>
      <c r="D43" s="278" t="s">
        <v>304</v>
      </c>
      <c r="E43" s="279"/>
      <c r="F43" s="280"/>
      <c r="G43" s="281"/>
      <c r="H43" s="282"/>
      <c r="I43" s="249">
        <f>(ROUND(SUM(I44:I46),2))</f>
        <v>11137.66</v>
      </c>
      <c r="J43" s="161">
        <f t="shared" ref="J43" si="27">I43/$I$28</f>
        <v>0.10557762239671363</v>
      </c>
      <c r="K43" s="636"/>
    </row>
    <row r="44" spans="1:11" ht="84" customHeight="1" x14ac:dyDescent="0.2">
      <c r="A44" s="43" t="s">
        <v>157</v>
      </c>
      <c r="B44" s="540" t="s">
        <v>226</v>
      </c>
      <c r="C44" s="540"/>
      <c r="D44" s="355" t="s">
        <v>367</v>
      </c>
      <c r="E44" s="253" t="s">
        <v>113</v>
      </c>
      <c r="F44" s="254">
        <f>'5. URB. '!C113</f>
        <v>1</v>
      </c>
      <c r="G44" s="261">
        <f>COMPOSIÇÕES!G157</f>
        <v>3980.27</v>
      </c>
      <c r="H44" s="262">
        <f t="shared" ref="H44" si="28">ROUND((G44*(1+$G$5)),2)</f>
        <v>5165.17</v>
      </c>
      <c r="I44" s="100">
        <f>ROUND((H44*F44),2)</f>
        <v>5165.17</v>
      </c>
      <c r="J44" s="91">
        <f>I44/$I$43</f>
        <v>0.46375719854978514</v>
      </c>
      <c r="K44" s="636"/>
    </row>
    <row r="45" spans="1:11" ht="48.75" customHeight="1" x14ac:dyDescent="0.2">
      <c r="A45" s="43" t="s">
        <v>300</v>
      </c>
      <c r="B45" s="540" t="s">
        <v>227</v>
      </c>
      <c r="C45" s="540"/>
      <c r="D45" s="284" t="s">
        <v>303</v>
      </c>
      <c r="E45" s="253" t="s">
        <v>113</v>
      </c>
      <c r="F45" s="254">
        <f>'5. URB. '!C117</f>
        <v>1</v>
      </c>
      <c r="G45" s="261">
        <f>COMPOSIÇÕES!G168</f>
        <v>2496.91</v>
      </c>
      <c r="H45" s="262">
        <f t="shared" ref="H45:H46" si="29">ROUND((G45*(1+$G$5)),2)</f>
        <v>3240.23</v>
      </c>
      <c r="I45" s="100">
        <f t="shared" ref="I45:I46" si="30">ROUND((H45*F45),2)</f>
        <v>3240.23</v>
      </c>
      <c r="J45" s="134">
        <f t="shared" ref="J45:J49" si="31">I45/$I$28</f>
        <v>3.071522917906485E-2</v>
      </c>
      <c r="K45" s="636"/>
    </row>
    <row r="46" spans="1:11" ht="28.5" customHeight="1" x14ac:dyDescent="0.2">
      <c r="A46" s="43" t="s">
        <v>301</v>
      </c>
      <c r="B46" s="292" t="s">
        <v>149</v>
      </c>
      <c r="C46" s="292" t="s">
        <v>305</v>
      </c>
      <c r="D46" s="284" t="s">
        <v>306</v>
      </c>
      <c r="E46" s="253" t="s">
        <v>108</v>
      </c>
      <c r="F46" s="254">
        <f>'5. URB. '!C124</f>
        <v>47.75</v>
      </c>
      <c r="G46" s="261">
        <v>44.09</v>
      </c>
      <c r="H46" s="262">
        <f t="shared" si="29"/>
        <v>57.22</v>
      </c>
      <c r="I46" s="100">
        <f t="shared" si="30"/>
        <v>2732.26</v>
      </c>
      <c r="J46" s="134">
        <f t="shared" si="31"/>
        <v>2.5900010825401817E-2</v>
      </c>
      <c r="K46" s="636"/>
    </row>
    <row r="47" spans="1:11" ht="23.25" customHeight="1" x14ac:dyDescent="0.2">
      <c r="A47" s="133" t="s">
        <v>260</v>
      </c>
      <c r="B47" s="542"/>
      <c r="C47" s="543"/>
      <c r="D47" s="275" t="s">
        <v>308</v>
      </c>
      <c r="E47" s="253"/>
      <c r="F47" s="254"/>
      <c r="G47" s="261"/>
      <c r="H47" s="262"/>
      <c r="I47" s="159">
        <f>I48</f>
        <v>13961.62</v>
      </c>
      <c r="J47" s="161">
        <f t="shared" si="31"/>
        <v>0.1323468883415731</v>
      </c>
      <c r="K47" s="636"/>
    </row>
    <row r="48" spans="1:11" ht="93.75" customHeight="1" x14ac:dyDescent="0.2">
      <c r="A48" s="43" t="s">
        <v>261</v>
      </c>
      <c r="B48" s="540" t="s">
        <v>233</v>
      </c>
      <c r="C48" s="540"/>
      <c r="D48" s="356" t="str">
        <f>COMPOSIÇÕES!B172</f>
        <v>CRUZEIRO EM CONCRETO ARMADO, BASE DE APOIO EM TRÊS DEGRAUS DE CONCRETO ARMADO, PINTURA DE ACABAMENTO COM TINTA LÁTEX ACRÍLICA PREMIUM, ILUMINAÇÃO COM CANALETA LED 10W/M 3000K BRANCO QUENTE COM FONTE E SPOT BALIZADOR LED EMBUTIDO NO PISO 30W BRANCO QUENTE - FORNECIMENTO E INSTALAÇÃO</v>
      </c>
      <c r="E48" s="253" t="s">
        <v>113</v>
      </c>
      <c r="F48" s="254">
        <f>'5. URB. '!C129</f>
        <v>1</v>
      </c>
      <c r="G48" s="261">
        <f>COMPOSIÇÕES!G189</f>
        <v>10758.789999999999</v>
      </c>
      <c r="H48" s="262">
        <f t="shared" ref="H48" si="32">ROUND((G48*(1+$G$5)),2)</f>
        <v>13961.62</v>
      </c>
      <c r="I48" s="100">
        <f t="shared" ref="I48" si="33">ROUND((H48*F48),2)</f>
        <v>13961.62</v>
      </c>
      <c r="J48" s="134">
        <f t="shared" ref="J48" si="34">I48/$I$28</f>
        <v>0.1323468883415731</v>
      </c>
      <c r="K48" s="636"/>
    </row>
    <row r="49" spans="1:22" ht="20.100000000000001" customHeight="1" x14ac:dyDescent="0.2">
      <c r="A49" s="133" t="s">
        <v>309</v>
      </c>
      <c r="B49" s="542"/>
      <c r="C49" s="543"/>
      <c r="D49" s="275" t="s">
        <v>343</v>
      </c>
      <c r="E49" s="253"/>
      <c r="F49" s="254"/>
      <c r="G49" s="261"/>
      <c r="H49" s="262"/>
      <c r="I49" s="159">
        <f>I50</f>
        <v>15490.91</v>
      </c>
      <c r="J49" s="161">
        <f t="shared" si="31"/>
        <v>0.14684354223072665</v>
      </c>
      <c r="K49" s="636"/>
    </row>
    <row r="50" spans="1:22" ht="97.5" customHeight="1" x14ac:dyDescent="0.2">
      <c r="A50" s="43" t="s">
        <v>310</v>
      </c>
      <c r="B50" s="540" t="s">
        <v>234</v>
      </c>
      <c r="C50" s="540"/>
      <c r="D50" s="355" t="s">
        <v>511</v>
      </c>
      <c r="E50" s="253" t="s">
        <v>113</v>
      </c>
      <c r="F50" s="254">
        <f>'5. URB. '!C134</f>
        <v>1</v>
      </c>
      <c r="G50" s="261">
        <f>COMPOSIÇÕES!G207</f>
        <v>11937.26</v>
      </c>
      <c r="H50" s="262">
        <f t="shared" ref="H50" si="35">ROUND((G50*(1+$G$5)),2)</f>
        <v>15490.91</v>
      </c>
      <c r="I50" s="100">
        <f t="shared" ref="I50" si="36">ROUND((H50*F50),2)</f>
        <v>15490.91</v>
      </c>
      <c r="J50" s="134">
        <f t="shared" ref="J50" si="37">I50/$I$28</f>
        <v>0.14684354223072665</v>
      </c>
      <c r="K50" s="636"/>
    </row>
    <row r="51" spans="1:22" ht="21.95" customHeight="1" x14ac:dyDescent="0.2">
      <c r="A51" s="133" t="s">
        <v>342</v>
      </c>
      <c r="B51" s="542"/>
      <c r="C51" s="543"/>
      <c r="D51" s="275" t="s">
        <v>165</v>
      </c>
      <c r="E51" s="43"/>
      <c r="F51" s="234"/>
      <c r="G51" s="183"/>
      <c r="H51" s="184"/>
      <c r="I51" s="159">
        <f>I52</f>
        <v>1014.51</v>
      </c>
      <c r="J51" s="161">
        <f t="shared" si="26"/>
        <v>9.6168812567172957E-3</v>
      </c>
      <c r="K51" s="636"/>
    </row>
    <row r="52" spans="1:22" ht="35.25" customHeight="1" x14ac:dyDescent="0.2">
      <c r="A52" s="43" t="s">
        <v>346</v>
      </c>
      <c r="B52" s="540" t="s">
        <v>344</v>
      </c>
      <c r="C52" s="540"/>
      <c r="D52" s="283" t="s">
        <v>232</v>
      </c>
      <c r="E52" s="259" t="s">
        <v>113</v>
      </c>
      <c r="F52" s="260">
        <f>'5. URB. '!C139</f>
        <v>1</v>
      </c>
      <c r="G52" s="269">
        <f>COMPOSIÇÕES!G216</f>
        <v>781.78000000000009</v>
      </c>
      <c r="H52" s="250">
        <f t="shared" si="19"/>
        <v>1014.51</v>
      </c>
      <c r="I52" s="100">
        <f>ROUND((H52*F52),2)</f>
        <v>1014.51</v>
      </c>
      <c r="J52" s="134">
        <f t="shared" si="26"/>
        <v>9.6168812567172957E-3</v>
      </c>
      <c r="K52" s="636"/>
    </row>
    <row r="53" spans="1:22" s="39" customFormat="1" ht="21" customHeight="1" x14ac:dyDescent="0.25">
      <c r="A53" s="181">
        <v>6</v>
      </c>
      <c r="B53" s="536"/>
      <c r="C53" s="537"/>
      <c r="D53" s="561" t="s">
        <v>322</v>
      </c>
      <c r="E53" s="561"/>
      <c r="F53" s="561"/>
      <c r="G53" s="561"/>
      <c r="H53" s="561"/>
      <c r="I53" s="248">
        <f>I54+I57+I61+I76</f>
        <v>77313.239999999991</v>
      </c>
      <c r="J53" s="120">
        <f>J54+J57+J61+J76</f>
        <v>1</v>
      </c>
      <c r="K53" s="636">
        <f>I53/$I$86</f>
        <v>0.22610549503988145</v>
      </c>
      <c r="L53" s="14"/>
      <c r="M53" s="14"/>
      <c r="N53" s="14"/>
      <c r="O53" s="14"/>
      <c r="P53" s="14"/>
      <c r="Q53" s="14"/>
      <c r="R53" s="14"/>
      <c r="S53" s="14"/>
      <c r="T53" s="14"/>
      <c r="U53" s="14"/>
      <c r="V53" s="14"/>
    </row>
    <row r="54" spans="1:22" s="39" customFormat="1" ht="21" customHeight="1" x14ac:dyDescent="0.25">
      <c r="A54" s="133" t="s">
        <v>20</v>
      </c>
      <c r="B54" s="542"/>
      <c r="C54" s="543"/>
      <c r="D54" s="487" t="s">
        <v>410</v>
      </c>
      <c r="E54" s="488"/>
      <c r="F54" s="488"/>
      <c r="G54" s="488"/>
      <c r="H54" s="489"/>
      <c r="I54" s="249">
        <f>(ROUND(SUM(I55:I56),2))</f>
        <v>50213.68</v>
      </c>
      <c r="J54" s="161">
        <f>I54/$I$53</f>
        <v>0.6494835813374269</v>
      </c>
      <c r="K54" s="636"/>
      <c r="L54" s="14"/>
      <c r="M54" s="14"/>
      <c r="N54" s="14"/>
      <c r="O54" s="14"/>
      <c r="P54" s="14"/>
      <c r="Q54" s="14"/>
      <c r="R54" s="14"/>
      <c r="S54" s="14"/>
      <c r="T54" s="14"/>
      <c r="U54" s="14"/>
      <c r="V54" s="14"/>
    </row>
    <row r="55" spans="1:22" s="39" customFormat="1" ht="80.25" customHeight="1" x14ac:dyDescent="0.25">
      <c r="A55" s="362" t="s">
        <v>408</v>
      </c>
      <c r="B55" s="541" t="s">
        <v>345</v>
      </c>
      <c r="C55" s="541"/>
      <c r="D55" s="305" t="s">
        <v>405</v>
      </c>
      <c r="E55" s="43" t="s">
        <v>113</v>
      </c>
      <c r="F55" s="306">
        <f>'6. INST. ELE'!C13</f>
        <v>8</v>
      </c>
      <c r="G55" s="169">
        <f>COMPOSIÇÕES!G242</f>
        <v>4523.4699999999993</v>
      </c>
      <c r="H55" s="100">
        <f t="shared" ref="H55" si="38">ROUND((G55*(1+$G$5)),2)</f>
        <v>5870.08</v>
      </c>
      <c r="I55" s="100">
        <f>ROUND((H55*F55),2)</f>
        <v>46960.639999999999</v>
      </c>
      <c r="J55" s="91">
        <f t="shared" ref="J55" si="39">I55/$I$53</f>
        <v>0.60740747639084847</v>
      </c>
      <c r="K55" s="636"/>
      <c r="L55" s="299"/>
      <c r="M55" s="293"/>
      <c r="N55" s="293"/>
      <c r="O55" s="300"/>
      <c r="P55" s="301"/>
      <c r="Q55" s="302"/>
      <c r="R55" s="303"/>
      <c r="S55" s="303"/>
      <c r="T55" s="303"/>
      <c r="U55" s="304"/>
      <c r="V55" s="14"/>
    </row>
    <row r="56" spans="1:22" s="39" customFormat="1" ht="49.5" customHeight="1" x14ac:dyDescent="0.25">
      <c r="A56" s="382" t="s">
        <v>409</v>
      </c>
      <c r="B56" s="541" t="s">
        <v>425</v>
      </c>
      <c r="C56" s="541"/>
      <c r="D56" s="305" t="s">
        <v>381</v>
      </c>
      <c r="E56" s="362" t="s">
        <v>113</v>
      </c>
      <c r="F56" s="306">
        <f>'6. INST. ELE'!C17</f>
        <v>8</v>
      </c>
      <c r="G56" s="169">
        <f>COMPOSIÇÕES!G263</f>
        <v>313.34999999999997</v>
      </c>
      <c r="H56" s="100">
        <f t="shared" ref="H56" si="40">ROUND((G56*(1+$G$5)),2)</f>
        <v>406.63</v>
      </c>
      <c r="I56" s="100">
        <f>ROUND((H56*F56),2)</f>
        <v>3253.04</v>
      </c>
      <c r="J56" s="91">
        <f t="shared" ref="J56:J75" si="41">I56/$I$53</f>
        <v>4.2076104946578367E-2</v>
      </c>
      <c r="K56" s="636"/>
      <c r="L56" s="299"/>
      <c r="M56" s="293"/>
      <c r="N56" s="293"/>
      <c r="O56" s="300"/>
      <c r="P56" s="301"/>
      <c r="Q56" s="302"/>
      <c r="R56" s="303"/>
      <c r="S56" s="303"/>
      <c r="T56" s="303"/>
      <c r="U56" s="304"/>
      <c r="V56" s="14"/>
    </row>
    <row r="57" spans="1:22" s="39" customFormat="1" ht="24.95" customHeight="1" x14ac:dyDescent="0.25">
      <c r="A57" s="133" t="s">
        <v>13</v>
      </c>
      <c r="B57" s="542"/>
      <c r="C57" s="543"/>
      <c r="D57" s="487" t="s">
        <v>493</v>
      </c>
      <c r="E57" s="488"/>
      <c r="F57" s="488"/>
      <c r="G57" s="488"/>
      <c r="H57" s="489"/>
      <c r="I57" s="249">
        <f>(ROUND(SUM(I58:I60),2))</f>
        <v>689.77</v>
      </c>
      <c r="J57" s="161">
        <f>I57/$I$53</f>
        <v>8.9217577739595447E-3</v>
      </c>
      <c r="K57" s="636"/>
      <c r="L57" s="299"/>
      <c r="M57" s="293"/>
      <c r="N57" s="293"/>
      <c r="O57" s="300"/>
      <c r="P57" s="301"/>
      <c r="Q57" s="302"/>
      <c r="R57" s="303"/>
      <c r="S57" s="303"/>
      <c r="T57" s="303"/>
      <c r="U57" s="304"/>
      <c r="V57" s="14"/>
    </row>
    <row r="58" spans="1:22" s="39" customFormat="1" ht="36.75" customHeight="1" x14ac:dyDescent="0.25">
      <c r="A58" s="382" t="s">
        <v>412</v>
      </c>
      <c r="B58" s="541" t="s">
        <v>432</v>
      </c>
      <c r="C58" s="541"/>
      <c r="D58" s="305" t="s">
        <v>426</v>
      </c>
      <c r="E58" s="382" t="s">
        <v>113</v>
      </c>
      <c r="F58" s="392">
        <f>'6. INST. ELE'!C22</f>
        <v>1</v>
      </c>
      <c r="G58" s="169">
        <f>COMPOSIÇÕES!G274</f>
        <v>380.08000000000004</v>
      </c>
      <c r="H58" s="100">
        <f>ROUND((G58*(1+$G$5)),2)</f>
        <v>493.23</v>
      </c>
      <c r="I58" s="100">
        <f>ROUND((H58*F58),2)</f>
        <v>493.23</v>
      </c>
      <c r="J58" s="91">
        <f t="shared" si="41"/>
        <v>6.3796317422475128E-3</v>
      </c>
      <c r="K58" s="636"/>
      <c r="L58" s="299"/>
      <c r="M58" s="293"/>
      <c r="N58" s="293"/>
      <c r="O58" s="300"/>
      <c r="P58" s="301"/>
      <c r="Q58" s="302"/>
      <c r="R58" s="303"/>
      <c r="S58" s="303"/>
      <c r="T58" s="303"/>
      <c r="U58" s="304"/>
      <c r="V58" s="14"/>
    </row>
    <row r="59" spans="1:22" s="39" customFormat="1" ht="24.95" customHeight="1" x14ac:dyDescent="0.25">
      <c r="A59" s="382" t="s">
        <v>413</v>
      </c>
      <c r="B59" s="382" t="s">
        <v>149</v>
      </c>
      <c r="C59" s="382" t="s">
        <v>423</v>
      </c>
      <c r="D59" s="305" t="s">
        <v>424</v>
      </c>
      <c r="E59" s="382" t="s">
        <v>113</v>
      </c>
      <c r="F59" s="306">
        <f>'6. INST. ELE'!C26</f>
        <v>1</v>
      </c>
      <c r="G59" s="169">
        <v>133.27000000000001</v>
      </c>
      <c r="H59" s="100">
        <f>ROUND((G59*(1+$G$5)),2)</f>
        <v>172.94</v>
      </c>
      <c r="I59" s="100">
        <f>ROUND((H59*F59),2)</f>
        <v>172.94</v>
      </c>
      <c r="J59" s="91">
        <f t="shared" si="41"/>
        <v>2.2368743050996186E-3</v>
      </c>
      <c r="K59" s="636"/>
      <c r="L59" s="299"/>
      <c r="M59" s="293"/>
      <c r="N59" s="293"/>
      <c r="O59" s="300"/>
      <c r="P59" s="301"/>
      <c r="Q59" s="302"/>
      <c r="R59" s="303"/>
      <c r="S59" s="303"/>
      <c r="T59" s="303"/>
      <c r="U59" s="304"/>
      <c r="V59" s="14"/>
    </row>
    <row r="60" spans="1:22" s="39" customFormat="1" ht="24.95" customHeight="1" x14ac:dyDescent="0.25">
      <c r="A60" s="382" t="s">
        <v>414</v>
      </c>
      <c r="B60" s="382" t="s">
        <v>149</v>
      </c>
      <c r="C60" s="382" t="s">
        <v>501</v>
      </c>
      <c r="D60" s="305" t="s">
        <v>502</v>
      </c>
      <c r="E60" s="382" t="s">
        <v>113</v>
      </c>
      <c r="F60" s="306">
        <f>'6. INST. ELE'!C30</f>
        <v>2</v>
      </c>
      <c r="G60" s="169">
        <v>9.09</v>
      </c>
      <c r="H60" s="100">
        <f>ROUND((G60*(1+$G$5)),2)</f>
        <v>11.8</v>
      </c>
      <c r="I60" s="100">
        <f>ROUND((H60*F60),2)</f>
        <v>23.6</v>
      </c>
      <c r="J60" s="91">
        <f t="shared" si="41"/>
        <v>3.052517266124147E-4</v>
      </c>
      <c r="K60" s="636"/>
      <c r="L60" s="299"/>
      <c r="M60" s="293"/>
      <c r="N60" s="293"/>
      <c r="O60" s="300"/>
      <c r="P60" s="301"/>
      <c r="Q60" s="302"/>
      <c r="R60" s="303"/>
      <c r="S60" s="303"/>
      <c r="T60" s="303"/>
      <c r="U60" s="304"/>
      <c r="V60" s="14"/>
    </row>
    <row r="61" spans="1:22" s="39" customFormat="1" ht="24" customHeight="1" x14ac:dyDescent="0.25">
      <c r="A61" s="133" t="s">
        <v>21</v>
      </c>
      <c r="B61" s="542"/>
      <c r="C61" s="543"/>
      <c r="D61" s="487" t="s">
        <v>411</v>
      </c>
      <c r="E61" s="488"/>
      <c r="F61" s="488"/>
      <c r="G61" s="488"/>
      <c r="H61" s="489"/>
      <c r="I61" s="249">
        <f>(ROUND(SUM(I62:I75),2))</f>
        <v>24205.200000000001</v>
      </c>
      <c r="J61" s="161">
        <f>I61/$I$53</f>
        <v>0.31307962258469574</v>
      </c>
      <c r="K61" s="636"/>
      <c r="L61" s="299"/>
      <c r="M61" s="293"/>
      <c r="N61" s="293"/>
      <c r="O61" s="300"/>
      <c r="P61" s="301"/>
      <c r="Q61" s="302"/>
      <c r="R61" s="303"/>
      <c r="S61" s="303"/>
      <c r="T61" s="303"/>
      <c r="U61" s="304"/>
      <c r="V61" s="14"/>
    </row>
    <row r="62" spans="1:22" s="39" customFormat="1" ht="24.95" customHeight="1" x14ac:dyDescent="0.25">
      <c r="A62" s="382" t="s">
        <v>415</v>
      </c>
      <c r="B62" s="382" t="s">
        <v>149</v>
      </c>
      <c r="C62" s="382" t="s">
        <v>437</v>
      </c>
      <c r="D62" s="305" t="s">
        <v>438</v>
      </c>
      <c r="E62" s="382" t="s">
        <v>12</v>
      </c>
      <c r="F62" s="306">
        <f>'6. INST. ELE'!C35</f>
        <v>3</v>
      </c>
      <c r="G62" s="169">
        <v>36.94</v>
      </c>
      <c r="H62" s="100">
        <f t="shared" ref="H62:H74" si="42">ROUND((G62*(1+$G$5)),2)</f>
        <v>47.94</v>
      </c>
      <c r="I62" s="100">
        <f t="shared" ref="I62:I74" si="43">ROUND((H62*F62),2)</f>
        <v>143.82</v>
      </c>
      <c r="J62" s="91">
        <f t="shared" si="41"/>
        <v>1.8602247170083676E-3</v>
      </c>
      <c r="K62" s="636"/>
      <c r="L62" s="299"/>
      <c r="M62" s="293"/>
      <c r="N62" s="293"/>
      <c r="O62" s="300"/>
      <c r="P62" s="301"/>
      <c r="Q62" s="302"/>
      <c r="R62" s="303"/>
      <c r="S62" s="303"/>
      <c r="T62" s="303"/>
      <c r="U62" s="304"/>
      <c r="V62" s="14"/>
    </row>
    <row r="63" spans="1:22" s="39" customFormat="1" ht="24.95" customHeight="1" x14ac:dyDescent="0.25">
      <c r="A63" s="384" t="s">
        <v>416</v>
      </c>
      <c r="B63" s="382" t="s">
        <v>149</v>
      </c>
      <c r="C63" s="382" t="s">
        <v>439</v>
      </c>
      <c r="D63" s="305" t="s">
        <v>440</v>
      </c>
      <c r="E63" s="382" t="s">
        <v>12</v>
      </c>
      <c r="F63" s="306">
        <f>'6. INST. ELE'!C39</f>
        <v>3</v>
      </c>
      <c r="G63" s="169">
        <v>24.56</v>
      </c>
      <c r="H63" s="100">
        <f t="shared" si="42"/>
        <v>31.87</v>
      </c>
      <c r="I63" s="100">
        <f t="shared" si="43"/>
        <v>95.61</v>
      </c>
      <c r="J63" s="91">
        <f t="shared" si="41"/>
        <v>1.2366575246361426E-3</v>
      </c>
      <c r="K63" s="636"/>
      <c r="L63" s="299"/>
      <c r="M63" s="293"/>
      <c r="N63" s="293"/>
      <c r="O63" s="300"/>
      <c r="P63" s="301"/>
      <c r="Q63" s="302"/>
      <c r="R63" s="303"/>
      <c r="S63" s="303"/>
      <c r="T63" s="303"/>
      <c r="U63" s="304"/>
      <c r="V63" s="14"/>
    </row>
    <row r="64" spans="1:22" s="39" customFormat="1" ht="52.5" customHeight="1" x14ac:dyDescent="0.25">
      <c r="A64" s="384" t="s">
        <v>418</v>
      </c>
      <c r="B64" s="382" t="s">
        <v>11</v>
      </c>
      <c r="C64" s="382" t="s">
        <v>441</v>
      </c>
      <c r="D64" s="305" t="s">
        <v>442</v>
      </c>
      <c r="E64" s="382" t="s">
        <v>133</v>
      </c>
      <c r="F64" s="306">
        <f>'6. INST. ELE'!C43</f>
        <v>100</v>
      </c>
      <c r="G64" s="169">
        <v>12.46</v>
      </c>
      <c r="H64" s="100">
        <f t="shared" si="42"/>
        <v>16.170000000000002</v>
      </c>
      <c r="I64" s="100">
        <f t="shared" si="43"/>
        <v>1617</v>
      </c>
      <c r="J64" s="91">
        <f t="shared" si="41"/>
        <v>2.0914917031028581E-2</v>
      </c>
      <c r="K64" s="636"/>
      <c r="L64" s="299"/>
      <c r="M64" s="293"/>
      <c r="N64" s="293"/>
      <c r="O64" s="300"/>
      <c r="P64" s="301"/>
      <c r="Q64" s="302"/>
      <c r="R64" s="303"/>
      <c r="S64" s="303"/>
      <c r="T64" s="303"/>
      <c r="U64" s="304"/>
      <c r="V64" s="14"/>
    </row>
    <row r="65" spans="1:22" s="39" customFormat="1" ht="54" customHeight="1" x14ac:dyDescent="0.25">
      <c r="A65" s="384" t="s">
        <v>419</v>
      </c>
      <c r="B65" s="541" t="s">
        <v>434</v>
      </c>
      <c r="C65" s="541"/>
      <c r="D65" s="305" t="s">
        <v>445</v>
      </c>
      <c r="E65" s="382" t="s">
        <v>133</v>
      </c>
      <c r="F65" s="306">
        <f>'6. INST. ELE'!C47</f>
        <v>60</v>
      </c>
      <c r="G65" s="169">
        <f>COMPOSIÇÕES!G283</f>
        <v>11.780000000000001</v>
      </c>
      <c r="H65" s="100">
        <f t="shared" si="42"/>
        <v>15.29</v>
      </c>
      <c r="I65" s="100">
        <f t="shared" si="43"/>
        <v>917.4</v>
      </c>
      <c r="J65" s="91">
        <f t="shared" si="41"/>
        <v>1.1866014152297847E-2</v>
      </c>
      <c r="K65" s="636"/>
      <c r="L65" s="299"/>
      <c r="M65" s="293"/>
      <c r="N65" s="293"/>
      <c r="O65" s="300"/>
      <c r="P65" s="301"/>
      <c r="Q65" s="302"/>
      <c r="R65" s="303"/>
      <c r="S65" s="303"/>
      <c r="T65" s="303"/>
      <c r="U65" s="304"/>
      <c r="V65" s="14"/>
    </row>
    <row r="66" spans="1:22" s="39" customFormat="1" ht="51.75" customHeight="1" x14ac:dyDescent="0.25">
      <c r="A66" s="384" t="s">
        <v>420</v>
      </c>
      <c r="B66" s="541" t="s">
        <v>435</v>
      </c>
      <c r="C66" s="541"/>
      <c r="D66" s="305" t="s">
        <v>446</v>
      </c>
      <c r="E66" s="382" t="s">
        <v>133</v>
      </c>
      <c r="F66" s="306">
        <f>'6. INST. ELE'!C51</f>
        <v>60</v>
      </c>
      <c r="G66" s="169">
        <f>COMPOSIÇÕES!G292</f>
        <v>11.46</v>
      </c>
      <c r="H66" s="100">
        <f t="shared" si="42"/>
        <v>14.87</v>
      </c>
      <c r="I66" s="100">
        <f t="shared" si="43"/>
        <v>892.2</v>
      </c>
      <c r="J66" s="91">
        <f t="shared" si="41"/>
        <v>1.1540067393372728E-2</v>
      </c>
      <c r="K66" s="636"/>
      <c r="L66" s="299"/>
      <c r="M66" s="293"/>
      <c r="N66" s="293"/>
      <c r="O66" s="300"/>
      <c r="P66" s="301"/>
      <c r="Q66" s="302"/>
      <c r="R66" s="303"/>
      <c r="S66" s="303"/>
      <c r="T66" s="303"/>
      <c r="U66" s="304"/>
      <c r="V66" s="14"/>
    </row>
    <row r="67" spans="1:22" s="39" customFormat="1" ht="24.95" customHeight="1" x14ac:dyDescent="0.25">
      <c r="A67" s="384" t="s">
        <v>421</v>
      </c>
      <c r="B67" s="382" t="s">
        <v>149</v>
      </c>
      <c r="C67" s="382" t="s">
        <v>449</v>
      </c>
      <c r="D67" s="305" t="s">
        <v>450</v>
      </c>
      <c r="E67" s="382" t="s">
        <v>113</v>
      </c>
      <c r="F67" s="306">
        <f>'6. INST. ELE'!C55</f>
        <v>1</v>
      </c>
      <c r="G67" s="169">
        <v>25.71</v>
      </c>
      <c r="H67" s="100">
        <f t="shared" si="42"/>
        <v>33.36</v>
      </c>
      <c r="I67" s="100">
        <f t="shared" si="43"/>
        <v>33.36</v>
      </c>
      <c r="J67" s="91">
        <f t="shared" si="41"/>
        <v>4.3149142371992177E-4</v>
      </c>
      <c r="K67" s="636"/>
      <c r="L67" s="299"/>
      <c r="M67" s="293"/>
      <c r="N67" s="293"/>
      <c r="O67" s="300"/>
      <c r="P67" s="301"/>
      <c r="Q67" s="302"/>
      <c r="R67" s="303"/>
      <c r="S67" s="303"/>
      <c r="T67" s="303"/>
      <c r="U67" s="304"/>
      <c r="V67" s="14"/>
    </row>
    <row r="68" spans="1:22" s="39" customFormat="1" ht="24.95" customHeight="1" x14ac:dyDescent="0.25">
      <c r="A68" s="384" t="s">
        <v>422</v>
      </c>
      <c r="B68" s="382" t="s">
        <v>149</v>
      </c>
      <c r="C68" s="382" t="s">
        <v>451</v>
      </c>
      <c r="D68" s="305" t="s">
        <v>452</v>
      </c>
      <c r="E68" s="382" t="s">
        <v>113</v>
      </c>
      <c r="F68" s="306">
        <f>'6. INST. ELE'!C59</f>
        <v>1</v>
      </c>
      <c r="G68" s="169">
        <v>21.53</v>
      </c>
      <c r="H68" s="100">
        <f t="shared" si="42"/>
        <v>27.94</v>
      </c>
      <c r="I68" s="100">
        <f t="shared" si="43"/>
        <v>27.94</v>
      </c>
      <c r="J68" s="91">
        <f t="shared" si="41"/>
        <v>3.6138700176062996E-4</v>
      </c>
      <c r="K68" s="636"/>
      <c r="L68" s="299"/>
      <c r="M68" s="293"/>
      <c r="N68" s="293"/>
      <c r="O68" s="300"/>
      <c r="P68" s="301"/>
      <c r="Q68" s="302"/>
      <c r="R68" s="303"/>
      <c r="S68" s="303"/>
      <c r="T68" s="303"/>
      <c r="U68" s="304"/>
      <c r="V68" s="14"/>
    </row>
    <row r="69" spans="1:22" s="39" customFormat="1" ht="24.95" customHeight="1" x14ac:dyDescent="0.25">
      <c r="A69" s="384" t="s">
        <v>486</v>
      </c>
      <c r="B69" s="382" t="s">
        <v>149</v>
      </c>
      <c r="C69" s="382" t="s">
        <v>453</v>
      </c>
      <c r="D69" s="305" t="s">
        <v>454</v>
      </c>
      <c r="E69" s="382" t="s">
        <v>113</v>
      </c>
      <c r="F69" s="306">
        <f>'6. INST. ELE'!C63</f>
        <v>2</v>
      </c>
      <c r="G69" s="169">
        <v>11.28</v>
      </c>
      <c r="H69" s="100">
        <f t="shared" si="42"/>
        <v>14.64</v>
      </c>
      <c r="I69" s="100">
        <f t="shared" si="43"/>
        <v>29.28</v>
      </c>
      <c r="J69" s="91">
        <f t="shared" si="41"/>
        <v>3.7871909132252129E-4</v>
      </c>
      <c r="K69" s="636"/>
      <c r="L69" s="299"/>
      <c r="M69" s="293"/>
      <c r="N69" s="293"/>
      <c r="O69" s="300"/>
      <c r="P69" s="301"/>
      <c r="Q69" s="302"/>
      <c r="R69" s="303"/>
      <c r="S69" s="303"/>
      <c r="T69" s="303"/>
      <c r="U69" s="304"/>
      <c r="V69" s="14"/>
    </row>
    <row r="70" spans="1:22" s="39" customFormat="1" ht="24.95" customHeight="1" x14ac:dyDescent="0.25">
      <c r="A70" s="384" t="s">
        <v>487</v>
      </c>
      <c r="B70" s="382" t="s">
        <v>149</v>
      </c>
      <c r="C70" s="382" t="s">
        <v>455</v>
      </c>
      <c r="D70" s="305" t="s">
        <v>456</v>
      </c>
      <c r="E70" s="382" t="s">
        <v>113</v>
      </c>
      <c r="F70" s="306">
        <f>'6. INST. ELE'!C67</f>
        <v>2</v>
      </c>
      <c r="G70" s="169">
        <v>7.03</v>
      </c>
      <c r="H70" s="100">
        <f t="shared" si="42"/>
        <v>9.1199999999999992</v>
      </c>
      <c r="I70" s="100">
        <f t="shared" si="43"/>
        <v>18.239999999999998</v>
      </c>
      <c r="J70" s="91">
        <f t="shared" si="41"/>
        <v>2.3592336836484928E-4</v>
      </c>
      <c r="K70" s="636"/>
      <c r="L70" s="299"/>
      <c r="M70" s="293"/>
      <c r="N70" s="293"/>
      <c r="O70" s="300"/>
      <c r="P70" s="301"/>
      <c r="Q70" s="302"/>
      <c r="R70" s="303"/>
      <c r="S70" s="303"/>
      <c r="T70" s="303"/>
      <c r="U70" s="304"/>
      <c r="V70" s="14"/>
    </row>
    <row r="71" spans="1:22" s="39" customFormat="1" ht="45" customHeight="1" x14ac:dyDescent="0.25">
      <c r="A71" s="384" t="s">
        <v>488</v>
      </c>
      <c r="B71" s="382" t="s">
        <v>11</v>
      </c>
      <c r="C71" s="382" t="s">
        <v>461</v>
      </c>
      <c r="D71" s="305" t="s">
        <v>462</v>
      </c>
      <c r="E71" s="382" t="s">
        <v>133</v>
      </c>
      <c r="F71" s="306">
        <f>'6. INST. ELE'!C71</f>
        <v>2000</v>
      </c>
      <c r="G71" s="169">
        <v>6.54</v>
      </c>
      <c r="H71" s="100">
        <f t="shared" ref="H71" si="44">ROUND((G71*(1+$G$5)),2)</f>
        <v>8.49</v>
      </c>
      <c r="I71" s="100">
        <f t="shared" ref="I71" si="45">ROUND((H71*F71),2)</f>
        <v>16980</v>
      </c>
      <c r="J71" s="91">
        <f t="shared" si="41"/>
        <v>0.21962603041859327</v>
      </c>
      <c r="K71" s="636"/>
      <c r="L71" s="299"/>
      <c r="M71" s="293"/>
      <c r="N71" s="293"/>
      <c r="O71" s="300"/>
      <c r="P71" s="301"/>
      <c r="Q71" s="302"/>
      <c r="R71" s="303"/>
      <c r="S71" s="303"/>
      <c r="T71" s="303"/>
      <c r="U71" s="304"/>
      <c r="V71" s="14"/>
    </row>
    <row r="72" spans="1:22" s="39" customFormat="1" ht="48" customHeight="1" x14ac:dyDescent="0.25">
      <c r="A72" s="384" t="s">
        <v>489</v>
      </c>
      <c r="B72" s="382" t="s">
        <v>11</v>
      </c>
      <c r="C72" s="382" t="s">
        <v>459</v>
      </c>
      <c r="D72" s="305" t="s">
        <v>460</v>
      </c>
      <c r="E72" s="382" t="s">
        <v>133</v>
      </c>
      <c r="F72" s="306">
        <f>'6. INST. ELE'!C75</f>
        <v>5</v>
      </c>
      <c r="G72" s="169">
        <v>16.440000000000001</v>
      </c>
      <c r="H72" s="100">
        <f t="shared" si="42"/>
        <v>21.33</v>
      </c>
      <c r="I72" s="100">
        <f t="shared" si="43"/>
        <v>106.65</v>
      </c>
      <c r="J72" s="91">
        <f t="shared" si="41"/>
        <v>1.3794532475938147E-3</v>
      </c>
      <c r="K72" s="636"/>
      <c r="L72" s="299"/>
      <c r="M72" s="293"/>
      <c r="N72" s="293"/>
      <c r="O72" s="300"/>
      <c r="P72" s="301"/>
      <c r="Q72" s="302"/>
      <c r="R72" s="303"/>
      <c r="S72" s="303"/>
      <c r="T72" s="303"/>
      <c r="U72" s="304"/>
      <c r="V72" s="14"/>
    </row>
    <row r="73" spans="1:22" s="39" customFormat="1" ht="48" customHeight="1" x14ac:dyDescent="0.25">
      <c r="A73" s="384" t="s">
        <v>490</v>
      </c>
      <c r="B73" s="382" t="s">
        <v>11</v>
      </c>
      <c r="C73" s="382" t="s">
        <v>457</v>
      </c>
      <c r="D73" s="305" t="s">
        <v>458</v>
      </c>
      <c r="E73" s="382" t="s">
        <v>133</v>
      </c>
      <c r="F73" s="306">
        <f>'6. INST. ELE'!C79</f>
        <v>15</v>
      </c>
      <c r="G73" s="169">
        <v>10.36</v>
      </c>
      <c r="H73" s="100">
        <f t="shared" si="42"/>
        <v>13.44</v>
      </c>
      <c r="I73" s="100">
        <f t="shared" si="43"/>
        <v>201.6</v>
      </c>
      <c r="J73" s="91">
        <f t="shared" si="41"/>
        <v>2.607574071400966E-3</v>
      </c>
      <c r="K73" s="636"/>
      <c r="L73" s="299"/>
      <c r="M73" s="293"/>
      <c r="N73" s="293"/>
      <c r="O73" s="300"/>
      <c r="P73" s="301"/>
      <c r="Q73" s="302"/>
      <c r="R73" s="303"/>
      <c r="S73" s="303"/>
      <c r="T73" s="303"/>
      <c r="U73" s="304"/>
      <c r="V73" s="14"/>
    </row>
    <row r="74" spans="1:22" s="39" customFormat="1" ht="24.95" customHeight="1" x14ac:dyDescent="0.25">
      <c r="A74" s="384" t="s">
        <v>491</v>
      </c>
      <c r="B74" s="541" t="s">
        <v>436</v>
      </c>
      <c r="C74" s="541"/>
      <c r="D74" s="305" t="s">
        <v>463</v>
      </c>
      <c r="E74" s="382" t="s">
        <v>133</v>
      </c>
      <c r="F74" s="306">
        <f>'6. INST. ELE'!C83</f>
        <v>10</v>
      </c>
      <c r="G74" s="169">
        <f>COMPOSIÇÕES!G301</f>
        <v>13.51</v>
      </c>
      <c r="H74" s="100">
        <f t="shared" si="42"/>
        <v>17.53</v>
      </c>
      <c r="I74" s="100">
        <f t="shared" si="43"/>
        <v>175.3</v>
      </c>
      <c r="J74" s="91">
        <f t="shared" si="41"/>
        <v>2.2673994777608602E-3</v>
      </c>
      <c r="K74" s="636"/>
      <c r="L74" s="299"/>
      <c r="M74" s="293"/>
      <c r="N74" s="293"/>
      <c r="O74" s="300"/>
      <c r="P74" s="301"/>
      <c r="Q74" s="302"/>
      <c r="R74" s="303"/>
      <c r="S74" s="303"/>
      <c r="T74" s="303"/>
      <c r="U74" s="304"/>
      <c r="V74" s="14"/>
    </row>
    <row r="75" spans="1:22" s="39" customFormat="1" ht="24.95" customHeight="1" x14ac:dyDescent="0.25">
      <c r="A75" s="384" t="s">
        <v>492</v>
      </c>
      <c r="B75" s="382" t="s">
        <v>149</v>
      </c>
      <c r="C75" s="382" t="s">
        <v>465</v>
      </c>
      <c r="D75" s="305" t="s">
        <v>466</v>
      </c>
      <c r="E75" s="382" t="s">
        <v>113</v>
      </c>
      <c r="F75" s="306">
        <f>'6. INST. ELE'!C87</f>
        <v>10</v>
      </c>
      <c r="G75" s="169">
        <v>228.62</v>
      </c>
      <c r="H75" s="100">
        <f t="shared" ref="H75" si="46">ROUND((G75*(1+$G$5)),2)</f>
        <v>296.68</v>
      </c>
      <c r="I75" s="100">
        <f t="shared" ref="I75" si="47">ROUND((H75*F75),2)</f>
        <v>2966.8</v>
      </c>
      <c r="J75" s="91">
        <f t="shared" si="41"/>
        <v>3.8373763665835253E-2</v>
      </c>
      <c r="K75" s="636"/>
      <c r="L75" s="299"/>
      <c r="M75" s="293"/>
      <c r="N75" s="293"/>
      <c r="O75" s="300"/>
      <c r="P75" s="301"/>
      <c r="Q75" s="302"/>
      <c r="R75" s="303"/>
      <c r="S75" s="303"/>
      <c r="T75" s="303"/>
      <c r="U75" s="304"/>
      <c r="V75" s="14"/>
    </row>
    <row r="76" spans="1:22" s="39" customFormat="1" ht="27.75" customHeight="1" x14ac:dyDescent="0.25">
      <c r="A76" s="133" t="s">
        <v>40</v>
      </c>
      <c r="B76" s="542"/>
      <c r="C76" s="543"/>
      <c r="D76" s="487" t="s">
        <v>417</v>
      </c>
      <c r="E76" s="488"/>
      <c r="F76" s="488"/>
      <c r="G76" s="488"/>
      <c r="H76" s="489"/>
      <c r="I76" s="249">
        <f>(ROUND(SUM(I77:I83),2))</f>
        <v>2204.59</v>
      </c>
      <c r="J76" s="161">
        <f>I76/$I$53</f>
        <v>2.8515038303917935E-2</v>
      </c>
      <c r="K76" s="636"/>
      <c r="L76" s="299"/>
      <c r="M76" s="293"/>
      <c r="N76" s="293"/>
      <c r="O76" s="300"/>
      <c r="P76" s="301"/>
      <c r="Q76" s="302"/>
      <c r="R76" s="303"/>
      <c r="S76" s="303"/>
      <c r="T76" s="303"/>
      <c r="U76" s="304"/>
      <c r="V76" s="14"/>
    </row>
    <row r="77" spans="1:22" s="39" customFormat="1" ht="39.950000000000003" customHeight="1" x14ac:dyDescent="0.25">
      <c r="A77" s="377" t="s">
        <v>494</v>
      </c>
      <c r="B77" s="541" t="s">
        <v>443</v>
      </c>
      <c r="C77" s="541"/>
      <c r="D77" s="305" t="s">
        <v>467</v>
      </c>
      <c r="E77" s="382" t="s">
        <v>113</v>
      </c>
      <c r="F77" s="306">
        <f>'6. INST. ELE'!C92</f>
        <v>1</v>
      </c>
      <c r="G77" s="169">
        <f>COMPOSIÇÕES!G311</f>
        <v>248.35</v>
      </c>
      <c r="H77" s="100">
        <f>ROUND((G77*(1+$G$5)),2)</f>
        <v>322.27999999999997</v>
      </c>
      <c r="I77" s="100">
        <f>ROUND((H77*F77),2)</f>
        <v>322.27999999999997</v>
      </c>
      <c r="J77" s="91">
        <f>I77/$I$53</f>
        <v>4.1684968835868216E-3</v>
      </c>
      <c r="K77" s="636"/>
      <c r="L77" s="299"/>
      <c r="M77" s="293"/>
      <c r="N77" s="293"/>
      <c r="O77" s="300"/>
      <c r="P77" s="301"/>
      <c r="Q77" s="302"/>
      <c r="R77" s="303"/>
      <c r="S77" s="303"/>
      <c r="T77" s="303"/>
      <c r="U77" s="304"/>
      <c r="V77" s="14"/>
    </row>
    <row r="78" spans="1:22" s="39" customFormat="1" ht="65.25" customHeight="1" x14ac:dyDescent="0.25">
      <c r="A78" s="382" t="s">
        <v>495</v>
      </c>
      <c r="B78" s="541" t="s">
        <v>444</v>
      </c>
      <c r="C78" s="541"/>
      <c r="D78" s="305" t="s">
        <v>474</v>
      </c>
      <c r="E78" s="382" t="s">
        <v>113</v>
      </c>
      <c r="F78" s="306">
        <f>'6. INST. ELE'!C96</f>
        <v>1</v>
      </c>
      <c r="G78" s="169">
        <f>COMPOSIÇÕES!G321</f>
        <v>473.9</v>
      </c>
      <c r="H78" s="100">
        <f>ROUND((G78*(1+$G$5)),2)</f>
        <v>614.98</v>
      </c>
      <c r="I78" s="100">
        <f>ROUND((H78*F78),2)</f>
        <v>614.98</v>
      </c>
      <c r="J78" s="91">
        <f>I78/$I$53</f>
        <v>7.9543943572924908E-3</v>
      </c>
      <c r="K78" s="636"/>
      <c r="L78" s="299"/>
      <c r="M78" s="293"/>
      <c r="N78" s="293"/>
      <c r="O78" s="300"/>
      <c r="P78" s="301"/>
      <c r="Q78" s="302"/>
      <c r="R78" s="303"/>
      <c r="S78" s="303"/>
      <c r="T78" s="303"/>
      <c r="U78" s="304"/>
      <c r="V78" s="14"/>
    </row>
    <row r="79" spans="1:22" s="39" customFormat="1" ht="39.950000000000003" customHeight="1" x14ac:dyDescent="0.25">
      <c r="A79" s="382" t="s">
        <v>496</v>
      </c>
      <c r="B79" s="382" t="s">
        <v>11</v>
      </c>
      <c r="C79" s="382" t="s">
        <v>478</v>
      </c>
      <c r="D79" s="305" t="s">
        <v>479</v>
      </c>
      <c r="E79" s="382" t="s">
        <v>395</v>
      </c>
      <c r="F79" s="306">
        <f>'6. INST. ELE'!C100</f>
        <v>3</v>
      </c>
      <c r="G79" s="169">
        <v>56.15</v>
      </c>
      <c r="H79" s="100">
        <f t="shared" ref="H79" si="48">ROUND((G79*(1+$G$5)),2)</f>
        <v>72.87</v>
      </c>
      <c r="I79" s="100">
        <f t="shared" ref="I79" si="49">ROUND((H79*F79),2)</f>
        <v>218.61</v>
      </c>
      <c r="J79" s="91">
        <f t="shared" ref="J79" si="50">I79/$I$53</f>
        <v>2.8275881336754225E-3</v>
      </c>
      <c r="K79" s="636"/>
      <c r="L79" s="299"/>
      <c r="M79" s="293"/>
      <c r="N79" s="293"/>
      <c r="O79" s="300"/>
      <c r="P79" s="301"/>
      <c r="Q79" s="302"/>
      <c r="R79" s="303"/>
      <c r="S79" s="303"/>
      <c r="T79" s="303"/>
      <c r="U79" s="304"/>
      <c r="V79" s="14"/>
    </row>
    <row r="80" spans="1:22" s="39" customFormat="1" ht="39.950000000000003" customHeight="1" x14ac:dyDescent="0.25">
      <c r="A80" s="382" t="s">
        <v>497</v>
      </c>
      <c r="B80" s="382" t="s">
        <v>11</v>
      </c>
      <c r="C80" s="382" t="s">
        <v>480</v>
      </c>
      <c r="D80" s="305" t="s">
        <v>481</v>
      </c>
      <c r="E80" s="382" t="s">
        <v>395</v>
      </c>
      <c r="F80" s="306">
        <f>'6. INST. ELE'!C104</f>
        <v>2</v>
      </c>
      <c r="G80" s="169">
        <v>57.3</v>
      </c>
      <c r="H80" s="100">
        <f t="shared" ref="H80:H82" si="51">ROUND((G80*(1+$G$5)),2)</f>
        <v>74.36</v>
      </c>
      <c r="I80" s="100">
        <f t="shared" ref="I80:I82" si="52">ROUND((H80*F80),2)</f>
        <v>148.72</v>
      </c>
      <c r="J80" s="91">
        <f t="shared" ref="J80:J82" si="53">I80/$I$53</f>
        <v>1.9236032534660301E-3</v>
      </c>
      <c r="K80" s="636"/>
      <c r="L80" s="299"/>
      <c r="M80" s="293"/>
      <c r="N80" s="293"/>
      <c r="O80" s="300"/>
      <c r="P80" s="301"/>
      <c r="Q80" s="302"/>
      <c r="R80" s="303"/>
      <c r="S80" s="303"/>
      <c r="T80" s="303"/>
      <c r="U80" s="304"/>
      <c r="V80" s="14"/>
    </row>
    <row r="81" spans="1:22" s="39" customFormat="1" ht="39.950000000000003" customHeight="1" x14ac:dyDescent="0.25">
      <c r="A81" s="382" t="s">
        <v>498</v>
      </c>
      <c r="B81" s="382" t="s">
        <v>11</v>
      </c>
      <c r="C81" s="382" t="s">
        <v>482</v>
      </c>
      <c r="D81" s="305" t="s">
        <v>483</v>
      </c>
      <c r="E81" s="382" t="s">
        <v>395</v>
      </c>
      <c r="F81" s="306">
        <f>'6. INST. ELE'!C108</f>
        <v>2</v>
      </c>
      <c r="G81" s="169">
        <v>65.81</v>
      </c>
      <c r="H81" s="100">
        <f t="shared" si="51"/>
        <v>85.4</v>
      </c>
      <c r="I81" s="100">
        <f t="shared" si="52"/>
        <v>170.8</v>
      </c>
      <c r="J81" s="91">
        <f t="shared" si="53"/>
        <v>2.2091946993813743E-3</v>
      </c>
      <c r="K81" s="636"/>
      <c r="L81" s="299"/>
      <c r="M81" s="293"/>
      <c r="N81" s="293"/>
      <c r="O81" s="300"/>
      <c r="P81" s="301"/>
      <c r="Q81" s="302"/>
      <c r="R81" s="303"/>
      <c r="S81" s="303"/>
      <c r="T81" s="303"/>
      <c r="U81" s="304"/>
      <c r="V81" s="14"/>
    </row>
    <row r="82" spans="1:22" s="39" customFormat="1" ht="39.950000000000003" customHeight="1" x14ac:dyDescent="0.25">
      <c r="A82" s="382" t="s">
        <v>499</v>
      </c>
      <c r="B82" s="541" t="s">
        <v>509</v>
      </c>
      <c r="C82" s="541"/>
      <c r="D82" s="305" t="s">
        <v>476</v>
      </c>
      <c r="E82" s="382" t="s">
        <v>113</v>
      </c>
      <c r="F82" s="306">
        <f>'6. INST. ELE'!C112</f>
        <v>1</v>
      </c>
      <c r="G82" s="169">
        <f>COMPOSIÇÕES!G330</f>
        <v>290.31</v>
      </c>
      <c r="H82" s="100">
        <f t="shared" si="51"/>
        <v>376.73</v>
      </c>
      <c r="I82" s="100">
        <f t="shared" si="52"/>
        <v>376.73</v>
      </c>
      <c r="J82" s="91">
        <f t="shared" si="53"/>
        <v>4.872774701978601E-3</v>
      </c>
      <c r="K82" s="636"/>
      <c r="L82" s="299"/>
      <c r="M82" s="293"/>
      <c r="N82" s="293"/>
      <c r="O82" s="300"/>
      <c r="P82" s="301"/>
      <c r="Q82" s="302"/>
      <c r="R82" s="303"/>
      <c r="S82" s="303"/>
      <c r="T82" s="303"/>
      <c r="U82" s="304"/>
      <c r="V82" s="14"/>
    </row>
    <row r="83" spans="1:22" s="39" customFormat="1" ht="24.95" customHeight="1" x14ac:dyDescent="0.25">
      <c r="A83" s="382" t="s">
        <v>500</v>
      </c>
      <c r="B83" s="382" t="s">
        <v>149</v>
      </c>
      <c r="C83" s="382" t="s">
        <v>484</v>
      </c>
      <c r="D83" s="305" t="s">
        <v>485</v>
      </c>
      <c r="E83" s="382" t="s">
        <v>113</v>
      </c>
      <c r="F83" s="306">
        <f>'6. INST. ELE'!C116</f>
        <v>3</v>
      </c>
      <c r="G83" s="169">
        <v>90.54</v>
      </c>
      <c r="H83" s="100">
        <f t="shared" ref="H83" si="54">ROUND((G83*(1+$G$5)),2)</f>
        <v>117.49</v>
      </c>
      <c r="I83" s="100">
        <f t="shared" ref="I83" si="55">ROUND((H83*F83),2)</f>
        <v>352.47</v>
      </c>
      <c r="J83" s="91">
        <f t="shared" ref="J83" si="56">I83/$I$53</f>
        <v>4.5589862745371952E-3</v>
      </c>
      <c r="K83" s="636"/>
      <c r="L83" s="299"/>
      <c r="M83" s="293"/>
      <c r="N83" s="293"/>
      <c r="O83" s="300"/>
      <c r="P83" s="301"/>
      <c r="Q83" s="302"/>
      <c r="R83" s="303"/>
      <c r="S83" s="303"/>
      <c r="T83" s="303"/>
      <c r="U83" s="304"/>
      <c r="V83" s="14"/>
    </row>
    <row r="84" spans="1:22" ht="21" customHeight="1" x14ac:dyDescent="0.2">
      <c r="A84" s="181">
        <v>7</v>
      </c>
      <c r="B84" s="531"/>
      <c r="C84" s="532"/>
      <c r="D84" s="560" t="s">
        <v>7</v>
      </c>
      <c r="E84" s="560"/>
      <c r="F84" s="560"/>
      <c r="G84" s="560"/>
      <c r="H84" s="560"/>
      <c r="I84" s="121">
        <f>I85</f>
        <v>12486.39</v>
      </c>
      <c r="J84" s="120">
        <f>I85/I84</f>
        <v>1</v>
      </c>
      <c r="K84" s="559">
        <f>I84/I86</f>
        <v>3.6516919898985291E-2</v>
      </c>
      <c r="P84" s="39"/>
    </row>
    <row r="85" spans="1:22" ht="27.75" customHeight="1" x14ac:dyDescent="0.2">
      <c r="A85" s="43" t="s">
        <v>114</v>
      </c>
      <c r="B85" s="542" t="s">
        <v>510</v>
      </c>
      <c r="C85" s="543"/>
      <c r="D85" s="185" t="s">
        <v>58</v>
      </c>
      <c r="E85" s="43" t="s">
        <v>5</v>
      </c>
      <c r="F85" s="183">
        <f>'7. SER.FINAIS'!C17</f>
        <v>1205.25</v>
      </c>
      <c r="G85" s="186">
        <f>COMPOSIÇÕES!G337</f>
        <v>7.98</v>
      </c>
      <c r="H85" s="100">
        <f t="shared" ref="H85" si="57">ROUND((G85*(1+$G$5)),2)</f>
        <v>10.36</v>
      </c>
      <c r="I85" s="100">
        <f>ROUND((H85*F85),2)</f>
        <v>12486.39</v>
      </c>
      <c r="J85" s="145">
        <f>I85/I84</f>
        <v>1</v>
      </c>
      <c r="K85" s="559"/>
      <c r="P85" s="39"/>
    </row>
    <row r="86" spans="1:22" ht="25.5" customHeight="1" x14ac:dyDescent="0.2">
      <c r="A86" s="182"/>
      <c r="B86" s="533" t="s">
        <v>8</v>
      </c>
      <c r="C86" s="534"/>
      <c r="D86" s="534"/>
      <c r="E86" s="534"/>
      <c r="F86" s="534"/>
      <c r="G86" s="534"/>
      <c r="H86" s="535"/>
      <c r="I86" s="121">
        <f>(I13+I22+I28+I84+I17+I11+I53)</f>
        <v>341934.37</v>
      </c>
      <c r="J86" s="187"/>
      <c r="K86" s="127">
        <f>SUM(K11:K85)</f>
        <v>1</v>
      </c>
      <c r="O86" s="47"/>
      <c r="P86" s="47"/>
    </row>
    <row r="87" spans="1:22" ht="22.5" customHeight="1" x14ac:dyDescent="0.2">
      <c r="O87" s="47"/>
      <c r="P87" s="47"/>
    </row>
    <row r="88" spans="1:22" x14ac:dyDescent="0.2">
      <c r="K88" s="48"/>
    </row>
    <row r="89" spans="1:22" x14ac:dyDescent="0.2">
      <c r="K89" s="47"/>
    </row>
  </sheetData>
  <mergeCells count="82">
    <mergeCell ref="K22:K27"/>
    <mergeCell ref="K53:K83"/>
    <mergeCell ref="K17:K21"/>
    <mergeCell ref="A1:K1"/>
    <mergeCell ref="D13:H13"/>
    <mergeCell ref="B32:C32"/>
    <mergeCell ref="D28:H28"/>
    <mergeCell ref="B12:C12"/>
    <mergeCell ref="D22:H22"/>
    <mergeCell ref="K11:K12"/>
    <mergeCell ref="D17:H17"/>
    <mergeCell ref="D11:H11"/>
    <mergeCell ref="K13:K16"/>
    <mergeCell ref="A8:K8"/>
    <mergeCell ref="A2:B2"/>
    <mergeCell ref="A3:B3"/>
    <mergeCell ref="A5:B5"/>
    <mergeCell ref="B30:C30"/>
    <mergeCell ref="B28:C28"/>
    <mergeCell ref="B29:C29"/>
    <mergeCell ref="B19:C19"/>
    <mergeCell ref="B20:C20"/>
    <mergeCell ref="B27:C27"/>
    <mergeCell ref="B82:C82"/>
    <mergeCell ref="B57:C57"/>
    <mergeCell ref="D57:H57"/>
    <mergeCell ref="B58:C58"/>
    <mergeCell ref="B33:C33"/>
    <mergeCell ref="D76:H76"/>
    <mergeCell ref="B65:C65"/>
    <mergeCell ref="B66:C66"/>
    <mergeCell ref="B74:C74"/>
    <mergeCell ref="B77:C77"/>
    <mergeCell ref="K84:K85"/>
    <mergeCell ref="D84:H84"/>
    <mergeCell ref="D53:H53"/>
    <mergeCell ref="B42:C42"/>
    <mergeCell ref="K28:K52"/>
    <mergeCell ref="B36:C36"/>
    <mergeCell ref="B55:C55"/>
    <mergeCell ref="B52:C52"/>
    <mergeCell ref="B49:C49"/>
    <mergeCell ref="B85:C85"/>
    <mergeCell ref="B44:C44"/>
    <mergeCell ref="B51:C51"/>
    <mergeCell ref="B45:C45"/>
    <mergeCell ref="B47:C47"/>
    <mergeCell ref="B48:C48"/>
    <mergeCell ref="E2:F2"/>
    <mergeCell ref="E5:F5"/>
    <mergeCell ref="E6:F6"/>
    <mergeCell ref="E3:F4"/>
    <mergeCell ref="G2:K2"/>
    <mergeCell ref="G3:K3"/>
    <mergeCell ref="G4:K4"/>
    <mergeCell ref="G5:K5"/>
    <mergeCell ref="G6:K6"/>
    <mergeCell ref="B11:C11"/>
    <mergeCell ref="B17:C17"/>
    <mergeCell ref="A4:B4"/>
    <mergeCell ref="C2:D2"/>
    <mergeCell ref="C3:D3"/>
    <mergeCell ref="C4:D4"/>
    <mergeCell ref="C6:D6"/>
    <mergeCell ref="C5:D5"/>
    <mergeCell ref="A6:B6"/>
    <mergeCell ref="B84:C84"/>
    <mergeCell ref="B86:H86"/>
    <mergeCell ref="B53:C53"/>
    <mergeCell ref="B22:C22"/>
    <mergeCell ref="B13:C13"/>
    <mergeCell ref="B34:C34"/>
    <mergeCell ref="B37:C37"/>
    <mergeCell ref="B38:C38"/>
    <mergeCell ref="B50:C50"/>
    <mergeCell ref="B56:C56"/>
    <mergeCell ref="B54:C54"/>
    <mergeCell ref="B61:C61"/>
    <mergeCell ref="B76:C76"/>
    <mergeCell ref="D61:H61"/>
    <mergeCell ref="D54:H54"/>
    <mergeCell ref="B78:C78"/>
  </mergeCells>
  <phoneticPr fontId="17" type="noConversion"/>
  <pageMargins left="0.51181102362204722" right="0.51181102362204722" top="0.78740157480314965" bottom="0.78740157480314965" header="0.31496062992125984" footer="0.31496062992125984"/>
  <pageSetup paperSize="9" scale="43" fitToHeight="0" orientation="portrait" horizontalDpi="360" verticalDpi="360" r:id="rId1"/>
  <ignoredErrors>
    <ignoredError sqref="I84 I4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4"/>
  <sheetViews>
    <sheetView view="pageBreakPreview" topLeftCell="A7" zoomScale="115" zoomScaleNormal="100" zoomScaleSheetLayoutView="115" workbookViewId="0">
      <selection activeCell="C3" sqref="C3:H3"/>
    </sheetView>
  </sheetViews>
  <sheetFormatPr defaultRowHeight="15" x14ac:dyDescent="0.25"/>
  <cols>
    <col min="1" max="1" width="8.7109375" customWidth="1"/>
    <col min="2" max="2" width="12.7109375" customWidth="1"/>
    <col min="3" max="8" width="10.7109375" customWidth="1"/>
    <col min="9" max="10" width="8.7109375" customWidth="1"/>
    <col min="11" max="13" width="9.7109375" customWidth="1"/>
  </cols>
  <sheetData>
    <row r="1" spans="1:17" ht="60" customHeight="1" thickBot="1" x14ac:dyDescent="0.3">
      <c r="A1" s="579" t="str">
        <f>ORÇAMENTO!$A$1</f>
        <v>GOVERNO DO ESTADO DO PARÁ
PREFEITURA MUNICIPAL DE OURÉM
CNPJ 05.149.133/0001-48</v>
      </c>
      <c r="B1" s="579"/>
      <c r="C1" s="579"/>
      <c r="D1" s="579"/>
      <c r="E1" s="579"/>
      <c r="F1" s="579"/>
      <c r="G1" s="579"/>
      <c r="H1" s="579"/>
      <c r="I1" s="579"/>
      <c r="J1" s="579"/>
      <c r="K1" s="579"/>
      <c r="L1" s="579"/>
      <c r="M1" s="579"/>
      <c r="N1" s="38"/>
      <c r="O1" s="38"/>
      <c r="P1" s="38"/>
    </row>
    <row r="2" spans="1:17" ht="24.95" customHeight="1" x14ac:dyDescent="0.25">
      <c r="A2" s="580" t="str">
        <f>ORÇAMENTO!A2</f>
        <v>Proponente:</v>
      </c>
      <c r="B2" s="581"/>
      <c r="C2" s="582" t="str">
        <f>ORÇAMENTO!C2</f>
        <v>PREFEITURA MUNICIPAL DE OURÉM</v>
      </c>
      <c r="D2" s="582"/>
      <c r="E2" s="582"/>
      <c r="F2" s="582"/>
      <c r="G2" s="582"/>
      <c r="H2" s="582"/>
      <c r="I2" s="581" t="str">
        <f>ORÇAMENTO!E2</f>
        <v>Município/UF:</v>
      </c>
      <c r="J2" s="581"/>
      <c r="K2" s="583" t="str">
        <f>ORÇAMENTO!G2</f>
        <v>OURÉM/PA</v>
      </c>
      <c r="L2" s="584"/>
      <c r="M2" s="585"/>
      <c r="N2" s="38"/>
      <c r="O2" s="38"/>
      <c r="P2" s="38"/>
    </row>
    <row r="3" spans="1:17" ht="30" customHeight="1" x14ac:dyDescent="0.25">
      <c r="A3" s="586" t="str">
        <f>ORÇAMENTO!A3</f>
        <v>Objeto:</v>
      </c>
      <c r="B3" s="587"/>
      <c r="C3" s="588" t="str">
        <f>ORÇAMENTO!C3</f>
        <v>RECONSTRUÇÃO DA PRAÇA PURAQUEQUARINHA NO MUNICÍPIO DE OURÉM/PA</v>
      </c>
      <c r="D3" s="588"/>
      <c r="E3" s="588"/>
      <c r="F3" s="588"/>
      <c r="G3" s="588"/>
      <c r="H3" s="588"/>
      <c r="I3" s="587" t="str">
        <f>ORÇAMENTO!E3</f>
        <v>Data Base:</v>
      </c>
      <c r="J3" s="587"/>
      <c r="K3" s="589" t="str">
        <f>ORÇAMENTO!G3</f>
        <v>SINAPI JANEIRO 2024 - DESONERADO</v>
      </c>
      <c r="L3" s="589"/>
      <c r="M3" s="590"/>
      <c r="N3" s="38"/>
      <c r="O3" s="38"/>
      <c r="P3" s="38"/>
    </row>
    <row r="4" spans="1:17" ht="30" customHeight="1" x14ac:dyDescent="0.25">
      <c r="A4" s="586" t="str">
        <f>ORÇAMENTO!A4</f>
        <v>Endereço Da Obra:</v>
      </c>
      <c r="B4" s="587"/>
      <c r="C4" s="588" t="str">
        <f>ORÇAMENTO!C4</f>
        <v>AV. PRINCIPAL, S/N, VILA PURAQUEQUARINHA, OURÉM, PA</v>
      </c>
      <c r="D4" s="588"/>
      <c r="E4" s="588"/>
      <c r="F4" s="588"/>
      <c r="G4" s="588"/>
      <c r="H4" s="588"/>
      <c r="I4" s="587"/>
      <c r="J4" s="587"/>
      <c r="K4" s="589" t="str">
        <f>ORÇAMENTO!G4</f>
        <v>SEOP FEVEREIRO 2024 - DESONERADO</v>
      </c>
      <c r="L4" s="589"/>
      <c r="M4" s="590"/>
      <c r="N4" s="38"/>
      <c r="O4" s="38"/>
      <c r="P4" s="38"/>
    </row>
    <row r="5" spans="1:17" ht="24.95" customHeight="1" x14ac:dyDescent="0.25">
      <c r="A5" s="600" t="str">
        <f>ORÇAMENTO!A5</f>
        <v>Valor:</v>
      </c>
      <c r="B5" s="601"/>
      <c r="C5" s="602">
        <f>ORÇAMENTO!C5</f>
        <v>341934.37</v>
      </c>
      <c r="D5" s="602"/>
      <c r="E5" s="602"/>
      <c r="F5" s="602"/>
      <c r="G5" s="602"/>
      <c r="H5" s="602"/>
      <c r="I5" s="594" t="str">
        <f>ORÇAMENTO!E5</f>
        <v>BDI - Serviços</v>
      </c>
      <c r="J5" s="594"/>
      <c r="K5" s="596">
        <f>ORÇAMENTO!G5</f>
        <v>0.29769428939090381</v>
      </c>
      <c r="L5" s="596"/>
      <c r="M5" s="597"/>
      <c r="N5" s="38"/>
      <c r="O5" s="38"/>
      <c r="P5" s="38"/>
    </row>
    <row r="6" spans="1:17" ht="30" customHeight="1" thickBot="1" x14ac:dyDescent="0.3">
      <c r="A6" s="603" t="str">
        <f>ORÇAMENTO!A6</f>
        <v xml:space="preserve">Responsável Técnico:    </v>
      </c>
      <c r="B6" s="604"/>
      <c r="C6" s="605" t="str">
        <f>ORÇAMENTO!C6</f>
        <v>MARUZA BAPTISTA</v>
      </c>
      <c r="D6" s="605"/>
      <c r="E6" s="605"/>
      <c r="F6" s="605"/>
      <c r="G6" s="605"/>
      <c r="H6" s="605"/>
      <c r="I6" s="595" t="str">
        <f>ORÇAMENTO!E6</f>
        <v xml:space="preserve">Registro Profissional:  </v>
      </c>
      <c r="J6" s="595"/>
      <c r="K6" s="598" t="str">
        <f>ORÇAMENTO!G6</f>
        <v>CAU: 28510-2 A</v>
      </c>
      <c r="L6" s="598"/>
      <c r="M6" s="599"/>
      <c r="N6" s="38"/>
      <c r="O6" s="38"/>
      <c r="P6" s="38"/>
    </row>
    <row r="7" spans="1:17" ht="20.100000000000001" customHeight="1" thickBot="1" x14ac:dyDescent="0.3">
      <c r="A7" s="156"/>
      <c r="B7" s="156"/>
      <c r="C7" s="156"/>
      <c r="D7" s="156"/>
      <c r="E7" s="156"/>
      <c r="F7" s="156"/>
      <c r="G7" s="156"/>
      <c r="H7" s="156"/>
      <c r="I7" s="156"/>
      <c r="J7" s="156"/>
      <c r="K7" s="156"/>
      <c r="L7" s="156"/>
      <c r="M7" s="156"/>
      <c r="N7" s="38"/>
      <c r="O7" s="38"/>
      <c r="P7" s="38"/>
    </row>
    <row r="8" spans="1:17" ht="15" customHeight="1" thickBot="1" x14ac:dyDescent="0.3">
      <c r="A8" s="591" t="s">
        <v>195</v>
      </c>
      <c r="B8" s="592"/>
      <c r="C8" s="592"/>
      <c r="D8" s="592"/>
      <c r="E8" s="592"/>
      <c r="F8" s="592"/>
      <c r="G8" s="592"/>
      <c r="H8" s="592"/>
      <c r="I8" s="592"/>
      <c r="J8" s="592"/>
      <c r="K8" s="592"/>
      <c r="L8" s="592"/>
      <c r="M8" s="593"/>
      <c r="N8" s="38"/>
      <c r="O8" s="38"/>
      <c r="P8" s="38"/>
    </row>
    <row r="9" spans="1:17" ht="20.100000000000001" customHeight="1" x14ac:dyDescent="0.25">
      <c r="A9" s="209"/>
      <c r="B9" s="209"/>
      <c r="C9" s="209"/>
      <c r="D9" s="209"/>
      <c r="E9" s="209"/>
      <c r="F9" s="209"/>
      <c r="G9" s="209"/>
      <c r="H9" s="209"/>
      <c r="I9" s="209"/>
      <c r="J9" s="209"/>
      <c r="K9" s="209"/>
      <c r="L9" s="209"/>
      <c r="M9" s="209"/>
      <c r="N9" s="38"/>
      <c r="O9" s="38"/>
      <c r="P9" s="38"/>
    </row>
    <row r="10" spans="1:17" ht="20.100000000000001" customHeight="1" x14ac:dyDescent="0.25">
      <c r="A10" s="192">
        <f>ORÇAMENTO!A11</f>
        <v>1</v>
      </c>
      <c r="B10" s="93" t="str">
        <f>ORÇAMENTO!D11</f>
        <v>ADMINISTRAÇÃO LOCAL</v>
      </c>
      <c r="C10" s="38"/>
      <c r="D10" s="38"/>
      <c r="E10" s="38"/>
      <c r="F10" s="38"/>
      <c r="G10" s="38"/>
      <c r="H10" s="38"/>
      <c r="I10" s="38"/>
      <c r="J10" s="38"/>
      <c r="K10" s="38"/>
      <c r="L10" s="38"/>
      <c r="M10" s="38"/>
      <c r="N10" s="38"/>
      <c r="O10" s="38"/>
      <c r="P10" s="38"/>
    </row>
    <row r="11" spans="1:17" x14ac:dyDescent="0.25">
      <c r="A11" s="8" t="str">
        <f>ORÇAMENTO!A12</f>
        <v>1.1</v>
      </c>
      <c r="B11" s="4" t="str">
        <f>ORÇAMENTO!D12</f>
        <v>ADMINISTRAÇÃO LOCAL (ENGENHEIRO CIVIL E ENCARREGADO)</v>
      </c>
      <c r="C11" s="8"/>
      <c r="D11" s="4"/>
      <c r="E11" s="8"/>
      <c r="F11" s="8"/>
      <c r="G11" s="4"/>
      <c r="H11" s="8"/>
      <c r="I11" s="8"/>
      <c r="J11" s="4"/>
      <c r="K11" s="8"/>
      <c r="L11" s="8"/>
      <c r="M11" s="4"/>
      <c r="N11" s="8"/>
      <c r="O11" s="8"/>
      <c r="P11" s="4"/>
    </row>
    <row r="12" spans="1:17" x14ac:dyDescent="0.25">
      <c r="A12" s="207"/>
      <c r="B12" s="207"/>
      <c r="C12" s="207"/>
      <c r="D12" s="207"/>
      <c r="E12" s="207"/>
      <c r="F12" s="207"/>
      <c r="G12" s="207"/>
      <c r="H12" s="207"/>
      <c r="I12" s="207"/>
      <c r="J12" s="207"/>
      <c r="K12" s="207"/>
      <c r="L12" s="207"/>
      <c r="M12" s="207"/>
    </row>
    <row r="13" spans="1:17" x14ac:dyDescent="0.25">
      <c r="A13" s="98"/>
      <c r="B13" s="576" t="s">
        <v>99</v>
      </c>
      <c r="C13" s="577"/>
      <c r="D13" s="577"/>
      <c r="E13" s="577"/>
      <c r="F13" s="577"/>
      <c r="G13" s="577"/>
      <c r="H13" s="577"/>
      <c r="I13" s="577"/>
      <c r="J13" s="578"/>
      <c r="K13" s="98"/>
      <c r="L13" s="98"/>
      <c r="M13" s="98"/>
      <c r="N13" s="97"/>
      <c r="O13" s="98"/>
      <c r="P13" s="98"/>
      <c r="Q13" s="98"/>
    </row>
    <row r="14" spans="1:17" x14ac:dyDescent="0.25">
      <c r="A14" s="98"/>
      <c r="B14" s="210"/>
      <c r="C14" s="98"/>
      <c r="D14" s="98"/>
      <c r="E14" s="98"/>
      <c r="F14" s="98"/>
      <c r="G14" s="98"/>
      <c r="H14" s="98"/>
      <c r="I14" s="98"/>
      <c r="J14" s="211"/>
      <c r="K14" s="98"/>
      <c r="L14" s="98"/>
      <c r="M14" s="98"/>
      <c r="N14" s="97"/>
      <c r="O14" s="98"/>
      <c r="P14" s="98"/>
      <c r="Q14" s="98"/>
    </row>
    <row r="15" spans="1:17" x14ac:dyDescent="0.25">
      <c r="A15" s="98"/>
      <c r="B15" s="210" t="s">
        <v>91</v>
      </c>
      <c r="C15" s="98"/>
      <c r="D15" s="98"/>
      <c r="E15" s="98"/>
      <c r="F15" s="98"/>
      <c r="G15" s="98"/>
      <c r="H15" s="98"/>
      <c r="I15" s="98"/>
      <c r="J15" s="211"/>
      <c r="K15" s="98"/>
      <c r="L15" s="98"/>
      <c r="M15" s="98"/>
      <c r="N15" s="97"/>
      <c r="O15" s="98"/>
      <c r="P15" s="98"/>
      <c r="Q15" s="98"/>
    </row>
    <row r="16" spans="1:17" x14ac:dyDescent="0.25">
      <c r="A16" s="98"/>
      <c r="B16" s="210"/>
      <c r="C16" s="98" t="s">
        <v>94</v>
      </c>
      <c r="D16" s="98"/>
      <c r="E16" s="98" t="s">
        <v>95</v>
      </c>
      <c r="F16" s="98"/>
      <c r="G16" s="98" t="s">
        <v>96</v>
      </c>
      <c r="H16" s="98"/>
      <c r="I16" s="98"/>
      <c r="J16" s="211"/>
      <c r="K16" s="98"/>
      <c r="L16" s="98"/>
      <c r="M16" s="98"/>
      <c r="N16" s="97"/>
      <c r="O16" s="98"/>
      <c r="P16" s="98"/>
      <c r="Q16" s="98"/>
    </row>
    <row r="17" spans="1:17" x14ac:dyDescent="0.25">
      <c r="A17" s="98"/>
      <c r="B17" s="212" t="s">
        <v>51</v>
      </c>
      <c r="C17" s="98">
        <v>1</v>
      </c>
      <c r="D17" s="98" t="s">
        <v>18</v>
      </c>
      <c r="E17" s="98">
        <v>15</v>
      </c>
      <c r="F17" s="98" t="s">
        <v>18</v>
      </c>
      <c r="G17" s="98">
        <v>2</v>
      </c>
      <c r="H17" s="98" t="s">
        <v>19</v>
      </c>
      <c r="I17" s="98">
        <f>ROUND((C17*E17*G17),2)</f>
        <v>30</v>
      </c>
      <c r="J17" s="211" t="s">
        <v>54</v>
      </c>
      <c r="K17" s="98"/>
      <c r="L17" s="98"/>
      <c r="M17" s="98"/>
      <c r="N17" s="97"/>
      <c r="O17" s="98"/>
      <c r="P17" s="98"/>
      <c r="Q17" s="98"/>
    </row>
    <row r="18" spans="1:17" x14ac:dyDescent="0.25">
      <c r="A18" s="98"/>
      <c r="B18" s="210"/>
      <c r="C18" s="98"/>
      <c r="D18" s="98"/>
      <c r="E18" s="98"/>
      <c r="F18" s="98"/>
      <c r="G18" s="98"/>
      <c r="H18" s="98"/>
      <c r="I18" s="98"/>
      <c r="J18" s="211"/>
      <c r="K18" s="98"/>
      <c r="L18" s="98"/>
      <c r="M18" s="98"/>
      <c r="N18" s="97"/>
      <c r="O18" s="98"/>
      <c r="P18" s="98"/>
      <c r="Q18" s="98"/>
    </row>
    <row r="19" spans="1:17" x14ac:dyDescent="0.25">
      <c r="A19" s="98"/>
      <c r="B19" s="210" t="s">
        <v>92</v>
      </c>
      <c r="C19" s="98"/>
      <c r="D19" s="98"/>
      <c r="E19" s="98"/>
      <c r="F19" s="98"/>
      <c r="G19" s="98"/>
      <c r="H19" s="98"/>
      <c r="I19" s="98"/>
      <c r="J19" s="211"/>
      <c r="K19" s="98"/>
      <c r="L19" s="98"/>
      <c r="M19" s="98"/>
      <c r="N19" s="97"/>
      <c r="O19" s="98"/>
      <c r="P19" s="98"/>
      <c r="Q19" s="98"/>
    </row>
    <row r="20" spans="1:17" x14ac:dyDescent="0.25">
      <c r="A20" s="98"/>
      <c r="B20" s="210"/>
      <c r="C20" s="98" t="s">
        <v>94</v>
      </c>
      <c r="D20" s="98"/>
      <c r="E20" s="98" t="s">
        <v>95</v>
      </c>
      <c r="F20" s="98"/>
      <c r="G20" s="98" t="s">
        <v>96</v>
      </c>
      <c r="H20" s="98"/>
      <c r="I20" s="98"/>
      <c r="J20" s="211"/>
      <c r="K20" s="98"/>
      <c r="L20" s="98"/>
      <c r="M20" s="98"/>
      <c r="N20" s="97"/>
      <c r="O20" s="98"/>
      <c r="P20" s="98"/>
      <c r="Q20" s="98"/>
    </row>
    <row r="21" spans="1:17" x14ac:dyDescent="0.25">
      <c r="A21" s="98"/>
      <c r="B21" s="213" t="s">
        <v>51</v>
      </c>
      <c r="C21" s="214">
        <v>8</v>
      </c>
      <c r="D21" s="214" t="s">
        <v>18</v>
      </c>
      <c r="E21" s="214">
        <v>22</v>
      </c>
      <c r="F21" s="214" t="s">
        <v>18</v>
      </c>
      <c r="G21" s="214">
        <v>2</v>
      </c>
      <c r="H21" s="214" t="s">
        <v>19</v>
      </c>
      <c r="I21" s="214">
        <f>ROUND((C21*E21*G21),2)</f>
        <v>352</v>
      </c>
      <c r="J21" s="215" t="s">
        <v>54</v>
      </c>
      <c r="K21" s="98"/>
      <c r="L21" s="98"/>
      <c r="M21" s="98"/>
      <c r="N21" s="97"/>
      <c r="O21" s="98"/>
      <c r="P21" s="98"/>
      <c r="Q21" s="98"/>
    </row>
    <row r="22" spans="1:17" ht="15.75" thickBot="1" x14ac:dyDescent="0.3">
      <c r="A22" s="98"/>
      <c r="B22" s="98"/>
      <c r="C22" s="216"/>
      <c r="D22" s="98"/>
      <c r="E22" s="98"/>
      <c r="F22" s="98"/>
      <c r="G22" s="98"/>
      <c r="H22" s="98"/>
      <c r="I22" s="98"/>
      <c r="J22" s="98"/>
      <c r="K22" s="98"/>
      <c r="L22" s="98"/>
      <c r="M22" s="98"/>
      <c r="N22" s="97"/>
      <c r="O22" s="98"/>
      <c r="P22" s="98"/>
      <c r="Q22" s="98"/>
    </row>
    <row r="23" spans="1:17" ht="15.75" thickBot="1" x14ac:dyDescent="0.3">
      <c r="A23" s="217"/>
      <c r="B23" s="204" t="s">
        <v>97</v>
      </c>
      <c r="C23" s="205">
        <v>1</v>
      </c>
      <c r="D23" s="206" t="s">
        <v>98</v>
      </c>
      <c r="E23" s="217"/>
      <c r="F23" s="98"/>
      <c r="G23" s="98"/>
      <c r="H23" s="98"/>
      <c r="I23" s="98"/>
      <c r="J23" s="98"/>
      <c r="K23" s="98"/>
      <c r="L23" s="98"/>
      <c r="M23" s="98"/>
      <c r="N23" s="97"/>
      <c r="O23" s="98"/>
      <c r="P23" s="98"/>
      <c r="Q23" s="98"/>
    </row>
    <row r="24" spans="1:17" x14ac:dyDescent="0.25">
      <c r="A24" s="207"/>
      <c r="B24" s="207"/>
      <c r="C24" s="207"/>
      <c r="D24" s="207"/>
      <c r="E24" s="207"/>
      <c r="F24" s="207"/>
      <c r="G24" s="207"/>
      <c r="H24" s="207"/>
      <c r="I24" s="207"/>
      <c r="J24" s="207"/>
      <c r="K24" s="207"/>
      <c r="L24" s="207"/>
      <c r="M24" s="207"/>
    </row>
  </sheetData>
  <mergeCells count="22">
    <mergeCell ref="K5:M5"/>
    <mergeCell ref="K6:M6"/>
    <mergeCell ref="A5:B5"/>
    <mergeCell ref="C5:H5"/>
    <mergeCell ref="A6:B6"/>
    <mergeCell ref="C6:H6"/>
    <mergeCell ref="B13:J13"/>
    <mergeCell ref="A1:M1"/>
    <mergeCell ref="A2:B2"/>
    <mergeCell ref="C2:H2"/>
    <mergeCell ref="I2:J2"/>
    <mergeCell ref="K2:M2"/>
    <mergeCell ref="A3:B3"/>
    <mergeCell ref="C3:H3"/>
    <mergeCell ref="I3:J4"/>
    <mergeCell ref="K3:M3"/>
    <mergeCell ref="A4:B4"/>
    <mergeCell ref="C4:H4"/>
    <mergeCell ref="K4:M4"/>
    <mergeCell ref="A8:M8"/>
    <mergeCell ref="I5:J5"/>
    <mergeCell ref="I6:J6"/>
  </mergeCells>
  <pageMargins left="0.511811024" right="0.511811024" top="0.78740157499999996" bottom="0.78740157499999996" header="0.31496062000000002" footer="0.31496062000000002"/>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2"/>
  <sheetViews>
    <sheetView view="pageBreakPreview" zoomScale="96" zoomScaleNormal="100" zoomScaleSheetLayoutView="96" workbookViewId="0">
      <selection activeCell="F32" sqref="F32"/>
    </sheetView>
  </sheetViews>
  <sheetFormatPr defaultRowHeight="15" x14ac:dyDescent="0.25"/>
  <cols>
    <col min="1" max="1" width="8.7109375" customWidth="1"/>
    <col min="2" max="2" width="12.7109375" customWidth="1"/>
    <col min="3" max="10" width="11.7109375" customWidth="1"/>
    <col min="11" max="13" width="10.7109375" customWidth="1"/>
  </cols>
  <sheetData>
    <row r="1" spans="1:16" ht="60" customHeight="1" thickBot="1" x14ac:dyDescent="0.3">
      <c r="A1" s="579" t="str">
        <f>ORÇAMENTO!A1</f>
        <v>GOVERNO DO ESTADO DO PARÁ
PREFEITURA MUNICIPAL DE OURÉM
CNPJ 05.149.133/0001-48</v>
      </c>
      <c r="B1" s="579"/>
      <c r="C1" s="579"/>
      <c r="D1" s="579"/>
      <c r="E1" s="579"/>
      <c r="F1" s="579"/>
      <c r="G1" s="579"/>
      <c r="H1" s="579"/>
      <c r="I1" s="579"/>
      <c r="J1" s="579"/>
      <c r="K1" s="579"/>
      <c r="L1" s="579"/>
      <c r="M1" s="579"/>
      <c r="N1" s="38"/>
      <c r="O1" s="38"/>
      <c r="P1" s="38"/>
    </row>
    <row r="2" spans="1:16" ht="24.95" customHeight="1" x14ac:dyDescent="0.25">
      <c r="A2" s="580" t="str">
        <f>ORÇAMENTO!A2</f>
        <v>Proponente:</v>
      </c>
      <c r="B2" s="581"/>
      <c r="C2" s="582" t="str">
        <f>ORÇAMENTO!C2</f>
        <v>PREFEITURA MUNICIPAL DE OURÉM</v>
      </c>
      <c r="D2" s="582"/>
      <c r="E2" s="582"/>
      <c r="F2" s="582"/>
      <c r="G2" s="582"/>
      <c r="H2" s="582"/>
      <c r="I2" s="581" t="str">
        <f>ORÇAMENTO!E2</f>
        <v>Município/UF:</v>
      </c>
      <c r="J2" s="581"/>
      <c r="K2" s="583" t="str">
        <f>ORÇAMENTO!G2</f>
        <v>OURÉM/PA</v>
      </c>
      <c r="L2" s="584"/>
      <c r="M2" s="585"/>
      <c r="N2" s="38"/>
      <c r="O2" s="38"/>
      <c r="P2" s="38"/>
    </row>
    <row r="3" spans="1:16" ht="30" customHeight="1" x14ac:dyDescent="0.25">
      <c r="A3" s="586" t="str">
        <f>ORÇAMENTO!A3</f>
        <v>Objeto:</v>
      </c>
      <c r="B3" s="587"/>
      <c r="C3" s="588" t="str">
        <f>ORÇAMENTO!C3</f>
        <v>RECONSTRUÇÃO DA PRAÇA PURAQUEQUARINHA NO MUNICÍPIO DE OURÉM/PA</v>
      </c>
      <c r="D3" s="588"/>
      <c r="E3" s="588"/>
      <c r="F3" s="588"/>
      <c r="G3" s="588"/>
      <c r="H3" s="588"/>
      <c r="I3" s="587" t="str">
        <f>ORÇAMENTO!E3</f>
        <v>Data Base:</v>
      </c>
      <c r="J3" s="587"/>
      <c r="K3" s="589" t="str">
        <f>ORÇAMENTO!G3</f>
        <v>SINAPI JANEIRO 2024 - DESONERADO</v>
      </c>
      <c r="L3" s="589"/>
      <c r="M3" s="590"/>
      <c r="N3" s="38"/>
      <c r="O3" s="38"/>
      <c r="P3" s="38"/>
    </row>
    <row r="4" spans="1:16" ht="30" customHeight="1" x14ac:dyDescent="0.25">
      <c r="A4" s="586" t="str">
        <f>ORÇAMENTO!A4</f>
        <v>Endereço Da Obra:</v>
      </c>
      <c r="B4" s="587"/>
      <c r="C4" s="588" t="str">
        <f>ORÇAMENTO!C4</f>
        <v>AV. PRINCIPAL, S/N, VILA PURAQUEQUARINHA, OURÉM, PA</v>
      </c>
      <c r="D4" s="588"/>
      <c r="E4" s="588"/>
      <c r="F4" s="588"/>
      <c r="G4" s="588"/>
      <c r="H4" s="588"/>
      <c r="I4" s="587"/>
      <c r="J4" s="587"/>
      <c r="K4" s="589" t="str">
        <f>ORÇAMENTO!G4</f>
        <v>SEOP FEVEREIRO 2024 - DESONERADO</v>
      </c>
      <c r="L4" s="589"/>
      <c r="M4" s="590"/>
      <c r="N4" s="38"/>
      <c r="O4" s="38"/>
      <c r="P4" s="38"/>
    </row>
    <row r="5" spans="1:16" ht="24.95" customHeight="1" x14ac:dyDescent="0.25">
      <c r="A5" s="600" t="str">
        <f>ORÇAMENTO!A5</f>
        <v>Valor:</v>
      </c>
      <c r="B5" s="601"/>
      <c r="C5" s="602">
        <f>ORÇAMENTO!C5</f>
        <v>341934.37</v>
      </c>
      <c r="D5" s="602"/>
      <c r="E5" s="602"/>
      <c r="F5" s="602"/>
      <c r="G5" s="602"/>
      <c r="H5" s="602"/>
      <c r="I5" s="594" t="str">
        <f>ORÇAMENTO!E5</f>
        <v>BDI - Serviços</v>
      </c>
      <c r="J5" s="594"/>
      <c r="K5" s="596">
        <f>ORÇAMENTO!G5</f>
        <v>0.29769428939090381</v>
      </c>
      <c r="L5" s="596"/>
      <c r="M5" s="597"/>
      <c r="N5" s="38"/>
      <c r="O5" s="38"/>
      <c r="P5" s="38"/>
    </row>
    <row r="6" spans="1:16" ht="24.95" customHeight="1" thickBot="1" x14ac:dyDescent="0.3">
      <c r="A6" s="603" t="str">
        <f>ORÇAMENTO!A6</f>
        <v xml:space="preserve">Responsável Técnico:    </v>
      </c>
      <c r="B6" s="604"/>
      <c r="C6" s="605" t="str">
        <f>ORÇAMENTO!C6</f>
        <v>MARUZA BAPTISTA</v>
      </c>
      <c r="D6" s="605"/>
      <c r="E6" s="605"/>
      <c r="F6" s="605"/>
      <c r="G6" s="605"/>
      <c r="H6" s="605"/>
      <c r="I6" s="595" t="str">
        <f>ORÇAMENTO!E6</f>
        <v xml:space="preserve">Registro Profissional:  </v>
      </c>
      <c r="J6" s="595"/>
      <c r="K6" s="598" t="str">
        <f>ORÇAMENTO!G6</f>
        <v>CAU: 28510-2 A</v>
      </c>
      <c r="L6" s="598"/>
      <c r="M6" s="599"/>
      <c r="N6" s="38"/>
      <c r="O6" s="38"/>
      <c r="P6" s="38"/>
    </row>
    <row r="7" spans="1:16" ht="15.75" thickBot="1" x14ac:dyDescent="0.3">
      <c r="A7" s="38"/>
      <c r="B7" s="38"/>
      <c r="C7" s="38"/>
      <c r="D7" s="38"/>
      <c r="E7" s="38"/>
      <c r="F7" s="38"/>
      <c r="G7" s="38"/>
      <c r="H7" s="38"/>
      <c r="I7" s="38"/>
      <c r="J7" s="38"/>
      <c r="K7" s="38"/>
      <c r="L7" s="38"/>
      <c r="M7" s="38"/>
      <c r="N7" s="38"/>
      <c r="O7" s="38"/>
      <c r="P7" s="38"/>
    </row>
    <row r="8" spans="1:16" ht="15" customHeight="1" thickBot="1" x14ac:dyDescent="0.3">
      <c r="A8" s="591" t="s">
        <v>67</v>
      </c>
      <c r="B8" s="592"/>
      <c r="C8" s="592"/>
      <c r="D8" s="592"/>
      <c r="E8" s="592"/>
      <c r="F8" s="592"/>
      <c r="G8" s="592"/>
      <c r="H8" s="592"/>
      <c r="I8" s="592"/>
      <c r="J8" s="592"/>
      <c r="K8" s="592"/>
      <c r="L8" s="592"/>
      <c r="M8" s="593"/>
      <c r="N8" s="38"/>
      <c r="O8" s="38"/>
      <c r="P8" s="38"/>
    </row>
    <row r="9" spans="1:16" x14ac:dyDescent="0.25">
      <c r="A9" s="38"/>
      <c r="B9" s="38"/>
      <c r="C9" s="38"/>
      <c r="D9" s="38"/>
      <c r="E9" s="38"/>
      <c r="F9" s="38"/>
      <c r="G9" s="38"/>
      <c r="H9" s="38"/>
      <c r="I9" s="38"/>
      <c r="J9" s="38"/>
      <c r="K9" s="38"/>
      <c r="L9" s="38"/>
      <c r="M9" s="38"/>
      <c r="N9" s="38"/>
      <c r="O9" s="38"/>
      <c r="P9" s="38"/>
    </row>
    <row r="10" spans="1:16" x14ac:dyDescent="0.25">
      <c r="A10" s="192">
        <f>ORÇAMENTO!A13</f>
        <v>2</v>
      </c>
      <c r="B10" s="606" t="str">
        <f>ORÇAMENTO!D13</f>
        <v>SERVIÇOS PRELIMINARES</v>
      </c>
      <c r="C10" s="606"/>
      <c r="D10" s="606"/>
      <c r="E10" s="606"/>
      <c r="F10" s="606"/>
      <c r="G10" s="606"/>
      <c r="H10" s="606"/>
      <c r="I10" s="606"/>
      <c r="J10" s="606"/>
      <c r="K10" s="606"/>
      <c r="L10" s="606"/>
      <c r="M10" s="606"/>
      <c r="N10" s="38"/>
      <c r="O10" s="38"/>
      <c r="P10" s="38"/>
    </row>
    <row r="11" spans="1:16" ht="20.100000000000001" customHeight="1" x14ac:dyDescent="0.25">
      <c r="A11" s="8" t="str">
        <f>ORÇAMENTO!A14</f>
        <v>2.1</v>
      </c>
      <c r="B11" s="607" t="str">
        <f>ORÇAMENTO!D14</f>
        <v>FORNECIMENTO E INSTALAÇÃO DE PLACA DE OBRA COM CHAPA GALVANIZADA E ESTRUTURA DE MADEIRA. AF_03/2022_PS</v>
      </c>
      <c r="C11" s="607"/>
      <c r="D11" s="607"/>
      <c r="E11" s="607"/>
      <c r="F11" s="607"/>
      <c r="G11" s="607"/>
      <c r="H11" s="607"/>
      <c r="I11" s="607"/>
      <c r="J11" s="607"/>
      <c r="K11" s="607"/>
      <c r="L11" s="607"/>
      <c r="M11" s="607"/>
      <c r="N11" s="8"/>
      <c r="O11" s="8"/>
      <c r="P11" s="4"/>
    </row>
    <row r="12" spans="1:16" ht="15" customHeight="1" x14ac:dyDescent="0.25">
      <c r="A12" s="8"/>
      <c r="B12" s="93"/>
      <c r="C12" s="38"/>
      <c r="D12" s="93"/>
      <c r="E12" s="38"/>
      <c r="F12" s="38"/>
      <c r="G12" s="93"/>
      <c r="H12" s="38"/>
      <c r="I12" s="38"/>
      <c r="J12" s="93"/>
      <c r="K12" s="38"/>
      <c r="L12" s="38"/>
      <c r="M12" s="93"/>
      <c r="N12" s="8"/>
      <c r="O12" s="8"/>
      <c r="P12" s="4"/>
    </row>
    <row r="13" spans="1:16" ht="15" customHeight="1" x14ac:dyDescent="0.25">
      <c r="A13" s="8"/>
      <c r="B13" s="218"/>
      <c r="C13" s="219" t="s">
        <v>75</v>
      </c>
      <c r="D13" s="219"/>
      <c r="E13" s="219" t="s">
        <v>61</v>
      </c>
      <c r="F13" s="294"/>
      <c r="G13" s="219" t="s">
        <v>101</v>
      </c>
      <c r="H13" s="38"/>
      <c r="I13" s="38"/>
      <c r="J13" s="93"/>
      <c r="K13" s="38"/>
      <c r="L13" s="38"/>
      <c r="M13" s="93"/>
      <c r="N13" s="8"/>
      <c r="O13" s="8"/>
      <c r="P13" s="4"/>
    </row>
    <row r="14" spans="1:16" ht="15" customHeight="1" x14ac:dyDescent="0.25">
      <c r="A14" s="8"/>
      <c r="B14" s="220" t="s">
        <v>137</v>
      </c>
      <c r="C14" s="220">
        <v>3</v>
      </c>
      <c r="D14" s="220" t="s">
        <v>18</v>
      </c>
      <c r="E14" s="220">
        <v>1.5</v>
      </c>
      <c r="F14" s="221" t="s">
        <v>19</v>
      </c>
      <c r="G14" s="220">
        <f>ROUND(C14*E14,2)</f>
        <v>4.5</v>
      </c>
      <c r="H14" s="222"/>
      <c r="I14" s="222"/>
      <c r="J14" s="223"/>
      <c r="K14" s="222"/>
      <c r="L14" s="222"/>
      <c r="M14" s="223"/>
      <c r="N14" s="3"/>
      <c r="O14" s="3"/>
      <c r="P14" s="9"/>
    </row>
    <row r="15" spans="1:16" ht="15" customHeight="1" thickBot="1" x14ac:dyDescent="0.3">
      <c r="A15" s="8"/>
      <c r="B15" s="222"/>
      <c r="C15" s="222"/>
      <c r="D15" s="222"/>
      <c r="E15" s="222"/>
      <c r="F15" s="224"/>
      <c r="G15" s="222"/>
      <c r="H15" s="222"/>
      <c r="I15" s="222"/>
      <c r="J15" s="223"/>
      <c r="K15" s="222"/>
      <c r="L15" s="222"/>
      <c r="M15" s="223"/>
      <c r="N15" s="3"/>
      <c r="O15" s="3"/>
      <c r="P15" s="9"/>
    </row>
    <row r="16" spans="1:16" ht="15" customHeight="1" thickBot="1" x14ac:dyDescent="0.3">
      <c r="A16" s="8"/>
      <c r="B16" s="225" t="s">
        <v>100</v>
      </c>
      <c r="C16" s="226">
        <f>G14</f>
        <v>4.5</v>
      </c>
      <c r="D16" s="227" t="s">
        <v>5</v>
      </c>
      <c r="E16" s="228"/>
      <c r="F16" s="222"/>
      <c r="G16" s="223"/>
      <c r="H16" s="222"/>
      <c r="I16" s="222"/>
      <c r="J16" s="223"/>
      <c r="K16" s="222"/>
      <c r="L16" s="222"/>
      <c r="M16" s="223"/>
      <c r="N16" s="3"/>
      <c r="O16" s="3"/>
      <c r="P16" s="9"/>
    </row>
    <row r="17" spans="1:16" ht="15" customHeight="1" x14ac:dyDescent="0.25">
      <c r="A17" s="207"/>
      <c r="B17" s="228"/>
      <c r="C17" s="228"/>
      <c r="D17" s="228"/>
      <c r="E17" s="228"/>
      <c r="F17" s="228"/>
      <c r="G17" s="228"/>
      <c r="H17" s="228"/>
      <c r="I17" s="228"/>
      <c r="J17" s="228"/>
      <c r="K17" s="228"/>
      <c r="L17" s="228"/>
      <c r="M17" s="223"/>
      <c r="N17" s="3"/>
      <c r="O17" s="3"/>
      <c r="P17" s="9"/>
    </row>
    <row r="18" spans="1:16" ht="15" customHeight="1" x14ac:dyDescent="0.25">
      <c r="A18" s="8" t="str">
        <f>ORÇAMENTO!A15</f>
        <v>2.2</v>
      </c>
      <c r="B18" s="607" t="str">
        <f>ORÇAMENTO!D15</f>
        <v>Barracão de madeira/Almoxarifado</v>
      </c>
      <c r="C18" s="607"/>
      <c r="D18" s="607"/>
      <c r="E18" s="607"/>
      <c r="F18" s="607"/>
      <c r="G18" s="607"/>
      <c r="H18" s="607"/>
      <c r="I18" s="607"/>
      <c r="J18" s="607"/>
      <c r="K18" s="607"/>
      <c r="L18" s="607"/>
      <c r="M18" s="607"/>
      <c r="N18" s="3"/>
      <c r="O18" s="3"/>
      <c r="P18" s="9"/>
    </row>
    <row r="19" spans="1:16" ht="15" customHeight="1" x14ac:dyDescent="0.25">
      <c r="A19" s="207"/>
      <c r="B19" s="228"/>
      <c r="C19" s="228"/>
      <c r="D19" s="228"/>
      <c r="E19" s="228"/>
      <c r="F19" s="228"/>
      <c r="G19" s="228"/>
      <c r="H19" s="228"/>
      <c r="I19" s="228"/>
      <c r="J19" s="228"/>
      <c r="K19" s="228"/>
      <c r="L19" s="228"/>
      <c r="M19" s="223"/>
      <c r="N19" s="3"/>
      <c r="O19" s="3"/>
      <c r="P19" s="9"/>
    </row>
    <row r="20" spans="1:16" ht="15" customHeight="1" x14ac:dyDescent="0.25">
      <c r="A20" s="207"/>
      <c r="B20" s="218"/>
      <c r="C20" s="219" t="s">
        <v>75</v>
      </c>
      <c r="D20" s="219"/>
      <c r="E20" s="219" t="s">
        <v>61</v>
      </c>
      <c r="F20" s="294"/>
      <c r="G20" s="219" t="s">
        <v>101</v>
      </c>
      <c r="H20" s="228"/>
      <c r="I20" s="228"/>
      <c r="J20" s="228"/>
      <c r="K20" s="228"/>
      <c r="L20" s="228"/>
      <c r="M20" s="223"/>
      <c r="N20" s="3"/>
      <c r="O20" s="3"/>
      <c r="P20" s="9"/>
    </row>
    <row r="21" spans="1:16" ht="15" customHeight="1" x14ac:dyDescent="0.25">
      <c r="A21" s="207"/>
      <c r="B21" s="220" t="s">
        <v>271</v>
      </c>
      <c r="C21" s="220">
        <v>3</v>
      </c>
      <c r="D21" s="220" t="s">
        <v>18</v>
      </c>
      <c r="E21" s="220">
        <v>4</v>
      </c>
      <c r="F21" s="221" t="s">
        <v>19</v>
      </c>
      <c r="G21" s="220">
        <f>ROUND(C21*E21,2)</f>
        <v>12</v>
      </c>
      <c r="H21" s="228"/>
      <c r="I21" s="228"/>
      <c r="J21" s="228"/>
      <c r="K21" s="228"/>
      <c r="L21" s="228"/>
      <c r="M21" s="223"/>
      <c r="N21" s="3"/>
      <c r="O21" s="3"/>
      <c r="P21" s="9"/>
    </row>
    <row r="22" spans="1:16" ht="15" customHeight="1" thickBot="1" x14ac:dyDescent="0.3">
      <c r="A22" s="207"/>
      <c r="B22" s="228"/>
      <c r="C22" s="228"/>
      <c r="D22" s="228"/>
      <c r="E22" s="228"/>
      <c r="F22" s="228"/>
      <c r="G22" s="228"/>
      <c r="H22" s="228"/>
      <c r="I22" s="228"/>
      <c r="J22" s="228"/>
      <c r="K22" s="228"/>
      <c r="L22" s="228"/>
      <c r="M22" s="223"/>
      <c r="N22" s="3"/>
      <c r="O22" s="3"/>
      <c r="P22" s="9"/>
    </row>
    <row r="23" spans="1:16" ht="15" customHeight="1" thickBot="1" x14ac:dyDescent="0.3">
      <c r="A23" s="207"/>
      <c r="B23" s="225" t="s">
        <v>100</v>
      </c>
      <c r="C23" s="226">
        <f>G21</f>
        <v>12</v>
      </c>
      <c r="D23" s="227" t="s">
        <v>5</v>
      </c>
      <c r="E23" s="228"/>
      <c r="F23" s="228"/>
      <c r="G23" s="228"/>
      <c r="H23" s="228"/>
      <c r="I23" s="228"/>
      <c r="J23" s="228"/>
      <c r="K23" s="228"/>
      <c r="L23" s="228"/>
      <c r="M23" s="223"/>
      <c r="N23" s="3"/>
      <c r="O23" s="3"/>
      <c r="P23" s="9"/>
    </row>
    <row r="24" spans="1:16" ht="15" customHeight="1" x14ac:dyDescent="0.25">
      <c r="A24" s="207"/>
      <c r="B24" s="228"/>
      <c r="C24" s="228"/>
      <c r="D24" s="228"/>
      <c r="E24" s="228"/>
      <c r="F24" s="228"/>
      <c r="G24" s="228"/>
      <c r="H24" s="228"/>
      <c r="I24" s="228"/>
      <c r="J24" s="228"/>
      <c r="K24" s="228"/>
      <c r="L24" s="228"/>
      <c r="M24" s="223"/>
      <c r="N24" s="3"/>
      <c r="O24" s="3"/>
      <c r="P24" s="9"/>
    </row>
    <row r="25" spans="1:16" ht="21" customHeight="1" x14ac:dyDescent="0.25">
      <c r="A25" s="8" t="str">
        <f>ORÇAMENTO!A16</f>
        <v>2.3</v>
      </c>
      <c r="B25" s="607" t="str">
        <f>ORÇAMENTO!D16</f>
        <v>Locação da obra a trena</v>
      </c>
      <c r="C25" s="607"/>
      <c r="D25" s="607"/>
      <c r="E25" s="607"/>
      <c r="F25" s="607"/>
      <c r="G25" s="607"/>
      <c r="H25" s="607"/>
      <c r="I25" s="607"/>
      <c r="J25" s="607"/>
      <c r="K25" s="607"/>
      <c r="L25" s="607"/>
      <c r="M25" s="607"/>
    </row>
    <row r="26" spans="1:16" ht="15" customHeight="1" x14ac:dyDescent="0.25">
      <c r="A26" s="207"/>
      <c r="B26" s="222"/>
      <c r="C26" s="222"/>
      <c r="D26" s="222"/>
      <c r="E26" s="222"/>
      <c r="F26" s="224"/>
      <c r="G26" s="222"/>
      <c r="H26" s="228"/>
      <c r="I26" s="228"/>
      <c r="J26" s="228"/>
      <c r="K26" s="228"/>
      <c r="L26" s="228"/>
      <c r="M26" s="228"/>
    </row>
    <row r="27" spans="1:16" ht="15" customHeight="1" x14ac:dyDescent="0.25">
      <c r="A27" s="207"/>
      <c r="B27" s="218"/>
      <c r="C27" s="219" t="s">
        <v>197</v>
      </c>
      <c r="D27" s="219"/>
      <c r="E27" s="219" t="s">
        <v>75</v>
      </c>
      <c r="F27" s="294"/>
      <c r="G27" s="219" t="s">
        <v>101</v>
      </c>
      <c r="H27" s="228"/>
      <c r="I27" s="228"/>
      <c r="J27" s="228"/>
      <c r="K27" s="228"/>
      <c r="L27" s="228"/>
      <c r="M27" s="228"/>
    </row>
    <row r="28" spans="1:16" ht="15" customHeight="1" x14ac:dyDescent="0.25">
      <c r="A28" s="207"/>
      <c r="B28" s="220" t="s">
        <v>263</v>
      </c>
      <c r="C28" s="220">
        <v>51.07</v>
      </c>
      <c r="D28" s="220" t="s">
        <v>18</v>
      </c>
      <c r="E28" s="220">
        <v>23.6</v>
      </c>
      <c r="F28" s="221" t="s">
        <v>19</v>
      </c>
      <c r="G28" s="220">
        <f>ROUND(C28*E28,2)</f>
        <v>1205.25</v>
      </c>
      <c r="H28" s="228"/>
      <c r="I28" s="228"/>
      <c r="J28" s="228"/>
      <c r="K28" s="228"/>
      <c r="L28" s="228"/>
      <c r="M28" s="228"/>
    </row>
    <row r="29" spans="1:16" ht="15" customHeight="1" thickBot="1" x14ac:dyDescent="0.3">
      <c r="A29" s="207"/>
      <c r="B29" s="222"/>
      <c r="C29" s="222"/>
      <c r="D29" s="222"/>
      <c r="E29" s="222"/>
      <c r="F29" s="224"/>
      <c r="G29" s="222"/>
      <c r="H29" s="228"/>
      <c r="I29" s="228"/>
      <c r="J29" s="228"/>
      <c r="K29" s="228"/>
      <c r="L29" s="228"/>
      <c r="M29" s="228"/>
    </row>
    <row r="30" spans="1:16" ht="20.100000000000001" customHeight="1" thickBot="1" x14ac:dyDescent="0.3">
      <c r="B30" s="225" t="s">
        <v>100</v>
      </c>
      <c r="C30" s="226">
        <f>G28</f>
        <v>1205.25</v>
      </c>
      <c r="D30" s="227" t="s">
        <v>5</v>
      </c>
      <c r="E30" s="229"/>
      <c r="F30" s="229"/>
      <c r="G30" s="229"/>
      <c r="H30" s="229"/>
      <c r="I30" s="229"/>
      <c r="J30" s="229"/>
      <c r="K30" s="229"/>
      <c r="L30" s="229"/>
      <c r="M30" s="229"/>
    </row>
    <row r="31" spans="1:16" ht="20.100000000000001" customHeight="1" x14ac:dyDescent="0.25">
      <c r="B31" s="229"/>
      <c r="C31" s="229"/>
      <c r="D31" s="229"/>
      <c r="E31" s="229"/>
      <c r="F31" s="229"/>
      <c r="G31" s="229"/>
      <c r="H31" s="229"/>
      <c r="I31" s="229"/>
      <c r="J31" s="229"/>
      <c r="K31" s="229"/>
      <c r="L31" s="229"/>
      <c r="M31" s="229"/>
    </row>
    <row r="32" spans="1:16" ht="20.100000000000001" customHeight="1" x14ac:dyDescent="0.25">
      <c r="B32" s="229"/>
      <c r="C32" s="229"/>
      <c r="D32" s="229"/>
      <c r="E32" s="229"/>
      <c r="F32" s="229"/>
      <c r="G32" s="229"/>
      <c r="H32" s="229"/>
      <c r="I32" s="229"/>
      <c r="J32" s="229"/>
      <c r="K32" s="229"/>
      <c r="L32" s="229"/>
      <c r="M32" s="229"/>
    </row>
  </sheetData>
  <mergeCells count="25">
    <mergeCell ref="A8:M8"/>
    <mergeCell ref="B10:M10"/>
    <mergeCell ref="B25:M25"/>
    <mergeCell ref="B11:M11"/>
    <mergeCell ref="A5:B5"/>
    <mergeCell ref="C5:H5"/>
    <mergeCell ref="I5:J5"/>
    <mergeCell ref="K5:M5"/>
    <mergeCell ref="A6:B6"/>
    <mergeCell ref="C6:H6"/>
    <mergeCell ref="I6:J6"/>
    <mergeCell ref="K6:M6"/>
    <mergeCell ref="B18:M18"/>
    <mergeCell ref="A3:B3"/>
    <mergeCell ref="C3:H3"/>
    <mergeCell ref="I3:J4"/>
    <mergeCell ref="K3:M3"/>
    <mergeCell ref="A4:B4"/>
    <mergeCell ref="C4:H4"/>
    <mergeCell ref="K4:M4"/>
    <mergeCell ref="A1:M1"/>
    <mergeCell ref="A2:B2"/>
    <mergeCell ref="C2:H2"/>
    <mergeCell ref="I2:J2"/>
    <mergeCell ref="K2:M2"/>
  </mergeCells>
  <pageMargins left="0.511811024" right="0.511811024" top="0.78740157499999996" bottom="0.78740157499999996" header="0.31496062000000002" footer="0.31496062000000002"/>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9"/>
  <sheetViews>
    <sheetView view="pageBreakPreview" topLeftCell="A13" zoomScale="96" zoomScaleNormal="100" zoomScaleSheetLayoutView="96" workbookViewId="0">
      <selection activeCell="B17" sqref="B17"/>
    </sheetView>
  </sheetViews>
  <sheetFormatPr defaultRowHeight="15" x14ac:dyDescent="0.25"/>
  <cols>
    <col min="1" max="1" width="7.7109375" customWidth="1"/>
    <col min="2" max="2" width="19.42578125" customWidth="1"/>
    <col min="3" max="9" width="12.7109375" customWidth="1"/>
    <col min="10" max="10" width="8.7109375" customWidth="1"/>
    <col min="11" max="13" width="7.7109375" customWidth="1"/>
  </cols>
  <sheetData>
    <row r="1" spans="1:16" ht="60" customHeight="1" thickBot="1" x14ac:dyDescent="0.3">
      <c r="A1" s="579" t="str">
        <f>ORÇAMENTO!A1</f>
        <v>GOVERNO DO ESTADO DO PARÁ
PREFEITURA MUNICIPAL DE OURÉM
CNPJ 05.149.133/0001-48</v>
      </c>
      <c r="B1" s="579"/>
      <c r="C1" s="579"/>
      <c r="D1" s="579"/>
      <c r="E1" s="579"/>
      <c r="F1" s="579"/>
      <c r="G1" s="579"/>
      <c r="H1" s="579"/>
      <c r="I1" s="579"/>
      <c r="J1" s="579"/>
      <c r="K1" s="579"/>
      <c r="L1" s="579"/>
      <c r="M1" s="579"/>
      <c r="N1" s="38"/>
      <c r="O1" s="38"/>
      <c r="P1" s="38"/>
    </row>
    <row r="2" spans="1:16" ht="24.95" customHeight="1" x14ac:dyDescent="0.25">
      <c r="A2" s="580" t="str">
        <f>ORÇAMENTO!A2</f>
        <v>Proponente:</v>
      </c>
      <c r="B2" s="581"/>
      <c r="C2" s="582" t="str">
        <f>ORÇAMENTO!C2</f>
        <v>PREFEITURA MUNICIPAL DE OURÉM</v>
      </c>
      <c r="D2" s="582"/>
      <c r="E2" s="582"/>
      <c r="F2" s="582"/>
      <c r="G2" s="582"/>
      <c r="H2" s="582"/>
      <c r="I2" s="581" t="str">
        <f>ORÇAMENTO!E2</f>
        <v>Município/UF:</v>
      </c>
      <c r="J2" s="581"/>
      <c r="K2" s="583" t="str">
        <f>ORÇAMENTO!G2</f>
        <v>OURÉM/PA</v>
      </c>
      <c r="L2" s="584"/>
      <c r="M2" s="585"/>
      <c r="N2" s="38"/>
      <c r="O2" s="38"/>
      <c r="P2" s="38"/>
    </row>
    <row r="3" spans="1:16" ht="30" customHeight="1" x14ac:dyDescent="0.25">
      <c r="A3" s="586" t="str">
        <f>ORÇAMENTO!A3</f>
        <v>Objeto:</v>
      </c>
      <c r="B3" s="587"/>
      <c r="C3" s="588" t="str">
        <f>ORÇAMENTO!C3</f>
        <v>RECONSTRUÇÃO DA PRAÇA PURAQUEQUARINHA NO MUNICÍPIO DE OURÉM/PA</v>
      </c>
      <c r="D3" s="588"/>
      <c r="E3" s="588"/>
      <c r="F3" s="588"/>
      <c r="G3" s="588"/>
      <c r="H3" s="588"/>
      <c r="I3" s="587" t="str">
        <f>ORÇAMENTO!E3</f>
        <v>Data Base:</v>
      </c>
      <c r="J3" s="587"/>
      <c r="K3" s="589" t="str">
        <f>ORÇAMENTO!G3</f>
        <v>SINAPI JANEIRO 2024 - DESONERADO</v>
      </c>
      <c r="L3" s="589"/>
      <c r="M3" s="590"/>
      <c r="N3" s="38"/>
      <c r="O3" s="38"/>
      <c r="P3" s="38"/>
    </row>
    <row r="4" spans="1:16" ht="30" customHeight="1" x14ac:dyDescent="0.25">
      <c r="A4" s="586" t="str">
        <f>ORÇAMENTO!A4</f>
        <v>Endereço Da Obra:</v>
      </c>
      <c r="B4" s="587"/>
      <c r="C4" s="588" t="str">
        <f>ORÇAMENTO!C4</f>
        <v>AV. PRINCIPAL, S/N, VILA PURAQUEQUARINHA, OURÉM, PA</v>
      </c>
      <c r="D4" s="588"/>
      <c r="E4" s="588"/>
      <c r="F4" s="588"/>
      <c r="G4" s="588"/>
      <c r="H4" s="588"/>
      <c r="I4" s="587"/>
      <c r="J4" s="587"/>
      <c r="K4" s="589" t="str">
        <f>ORÇAMENTO!G4</f>
        <v>SEOP FEVEREIRO 2024 - DESONERADO</v>
      </c>
      <c r="L4" s="589"/>
      <c r="M4" s="590"/>
      <c r="N4" s="38"/>
      <c r="O4" s="38"/>
      <c r="P4" s="38"/>
    </row>
    <row r="5" spans="1:16" ht="24.95" customHeight="1" x14ac:dyDescent="0.25">
      <c r="A5" s="600" t="str">
        <f>ORÇAMENTO!A5</f>
        <v>Valor:</v>
      </c>
      <c r="B5" s="601"/>
      <c r="C5" s="602">
        <f>ORÇAMENTO!C5</f>
        <v>341934.37</v>
      </c>
      <c r="D5" s="602"/>
      <c r="E5" s="602"/>
      <c r="F5" s="602"/>
      <c r="G5" s="602"/>
      <c r="H5" s="602"/>
      <c r="I5" s="594" t="str">
        <f>ORÇAMENTO!E5</f>
        <v>BDI - Serviços</v>
      </c>
      <c r="J5" s="594"/>
      <c r="K5" s="596">
        <f>ORÇAMENTO!G5</f>
        <v>0.29769428939090381</v>
      </c>
      <c r="L5" s="596"/>
      <c r="M5" s="597"/>
      <c r="N5" s="38"/>
      <c r="O5" s="38"/>
      <c r="P5" s="38"/>
    </row>
    <row r="6" spans="1:16" ht="24.95" customHeight="1" thickBot="1" x14ac:dyDescent="0.3">
      <c r="A6" s="603" t="str">
        <f>ORÇAMENTO!A6</f>
        <v xml:space="preserve">Responsável Técnico:    </v>
      </c>
      <c r="B6" s="604"/>
      <c r="C6" s="605" t="str">
        <f>ORÇAMENTO!C6</f>
        <v>MARUZA BAPTISTA</v>
      </c>
      <c r="D6" s="605"/>
      <c r="E6" s="605"/>
      <c r="F6" s="605"/>
      <c r="G6" s="605"/>
      <c r="H6" s="605"/>
      <c r="I6" s="595" t="str">
        <f>ORÇAMENTO!E6</f>
        <v xml:space="preserve">Registro Profissional:  </v>
      </c>
      <c r="J6" s="595"/>
      <c r="K6" s="598" t="str">
        <f>ORÇAMENTO!G6</f>
        <v>CAU: 28510-2 A</v>
      </c>
      <c r="L6" s="598"/>
      <c r="M6" s="599"/>
      <c r="N6" s="38"/>
      <c r="O6" s="38"/>
      <c r="P6" s="38"/>
    </row>
    <row r="7" spans="1:16" ht="15.75" thickBot="1" x14ac:dyDescent="0.3">
      <c r="A7" s="38"/>
      <c r="B7" s="38"/>
      <c r="C7" s="38"/>
      <c r="D7" s="38"/>
      <c r="E7" s="38"/>
      <c r="F7" s="38"/>
      <c r="G7" s="38"/>
      <c r="H7" s="38"/>
      <c r="I7" s="38"/>
      <c r="J7" s="38"/>
      <c r="K7" s="38"/>
      <c r="L7" s="38"/>
      <c r="M7" s="38"/>
      <c r="N7" s="38"/>
      <c r="O7" s="38"/>
      <c r="P7" s="38"/>
    </row>
    <row r="8" spans="1:16" ht="15" customHeight="1" thickBot="1" x14ac:dyDescent="0.3">
      <c r="A8" s="591" t="s">
        <v>68</v>
      </c>
      <c r="B8" s="592"/>
      <c r="C8" s="592"/>
      <c r="D8" s="592"/>
      <c r="E8" s="592"/>
      <c r="F8" s="592"/>
      <c r="G8" s="592"/>
      <c r="H8" s="592"/>
      <c r="I8" s="592"/>
      <c r="J8" s="592"/>
      <c r="K8" s="592"/>
      <c r="L8" s="592"/>
      <c r="M8" s="593"/>
      <c r="N8" s="38"/>
      <c r="O8" s="38"/>
      <c r="P8" s="38"/>
    </row>
    <row r="9" spans="1:16" x14ac:dyDescent="0.25">
      <c r="A9" s="38"/>
      <c r="B9" s="38"/>
      <c r="C9" s="38"/>
      <c r="D9" s="38"/>
      <c r="E9" s="38"/>
      <c r="F9" s="38"/>
      <c r="G9" s="38"/>
      <c r="H9" s="38"/>
      <c r="I9" s="38"/>
      <c r="J9" s="38"/>
      <c r="K9" s="38"/>
      <c r="L9" s="38"/>
      <c r="M9" s="38"/>
      <c r="N9" s="38"/>
      <c r="O9" s="38"/>
      <c r="P9" s="38"/>
    </row>
    <row r="10" spans="1:16" x14ac:dyDescent="0.25">
      <c r="A10" s="192">
        <f>ORÇAMENTO!A17</f>
        <v>3</v>
      </c>
      <c r="B10" s="606" t="str">
        <f>ORÇAMENTO!D17</f>
        <v>DEMOLIÇÕES E RETIRADAS</v>
      </c>
      <c r="C10" s="606"/>
      <c r="D10" s="606"/>
      <c r="E10" s="606"/>
      <c r="F10" s="606"/>
      <c r="G10" s="606"/>
      <c r="H10" s="606"/>
      <c r="I10" s="606"/>
      <c r="J10" s="606"/>
      <c r="K10" s="606"/>
      <c r="L10" s="606"/>
      <c r="M10" s="606"/>
      <c r="N10" s="38"/>
      <c r="O10" s="38"/>
      <c r="P10" s="38"/>
    </row>
    <row r="11" spans="1:16" ht="21.75" customHeight="1" x14ac:dyDescent="0.25">
      <c r="A11" s="192" t="str">
        <f>ORÇAMENTO!A18</f>
        <v>3.1</v>
      </c>
      <c r="B11" s="606" t="str">
        <f>ORÇAMENTO!D18</f>
        <v>Demolição manual de concreto simples - tento, calçada em concreto e base do cruzeiro</v>
      </c>
      <c r="C11" s="606"/>
      <c r="D11" s="606"/>
      <c r="E11" s="606"/>
      <c r="F11" s="606"/>
      <c r="G11" s="606"/>
      <c r="H11" s="606"/>
      <c r="I11" s="606"/>
      <c r="J11" s="606"/>
      <c r="K11" s="606"/>
      <c r="L11" s="606"/>
      <c r="M11" s="606"/>
      <c r="N11" s="38"/>
      <c r="O11" s="38"/>
      <c r="P11" s="38"/>
    </row>
    <row r="12" spans="1:16" x14ac:dyDescent="0.25">
      <c r="A12" s="192"/>
      <c r="B12" s="93"/>
      <c r="C12" s="93"/>
      <c r="D12" s="93"/>
      <c r="E12" s="93"/>
      <c r="F12" s="93"/>
      <c r="G12" s="93"/>
      <c r="H12" s="93"/>
      <c r="I12" s="93"/>
      <c r="J12" s="93"/>
      <c r="K12" s="93"/>
      <c r="L12" s="93"/>
      <c r="M12" s="93"/>
      <c r="N12" s="38"/>
      <c r="O12" s="38"/>
      <c r="P12" s="38"/>
    </row>
    <row r="13" spans="1:16" ht="20.100000000000001" customHeight="1" x14ac:dyDescent="0.25">
      <c r="A13" s="192"/>
      <c r="B13" s="219" t="s">
        <v>102</v>
      </c>
      <c r="C13" s="295" t="s">
        <v>197</v>
      </c>
      <c r="D13" s="219"/>
      <c r="E13" s="219" t="s">
        <v>75</v>
      </c>
      <c r="F13" s="219"/>
      <c r="G13" s="219" t="s">
        <v>272</v>
      </c>
      <c r="H13" s="298"/>
      <c r="I13" s="219" t="s">
        <v>104</v>
      </c>
      <c r="J13" s="93"/>
      <c r="K13" s="93"/>
      <c r="L13" s="93"/>
      <c r="M13" s="93"/>
      <c r="N13" s="38"/>
      <c r="O13" s="38"/>
      <c r="P13" s="38"/>
    </row>
    <row r="14" spans="1:16" ht="20.100000000000001" customHeight="1" x14ac:dyDescent="0.25">
      <c r="A14" s="192"/>
      <c r="B14" s="235" t="s">
        <v>275</v>
      </c>
      <c r="C14" s="220">
        <v>39</v>
      </c>
      <c r="D14" s="220" t="s">
        <v>18</v>
      </c>
      <c r="E14" s="220">
        <v>0.12</v>
      </c>
      <c r="F14" s="220" t="s">
        <v>18</v>
      </c>
      <c r="G14" s="220">
        <v>0.1</v>
      </c>
      <c r="H14" s="221" t="s">
        <v>19</v>
      </c>
      <c r="I14" s="220">
        <f>ROUND(C14*E14*G14,2)</f>
        <v>0.47</v>
      </c>
      <c r="J14" s="93"/>
      <c r="K14" s="93"/>
      <c r="L14" s="93"/>
      <c r="M14" s="93"/>
      <c r="N14" s="38"/>
      <c r="O14" s="38"/>
      <c r="P14" s="38"/>
    </row>
    <row r="15" spans="1:16" ht="20.100000000000001" customHeight="1" x14ac:dyDescent="0.25">
      <c r="A15" s="192"/>
      <c r="B15" s="235" t="s">
        <v>276</v>
      </c>
      <c r="C15" s="220">
        <v>18.920000000000002</v>
      </c>
      <c r="D15" s="220" t="s">
        <v>18</v>
      </c>
      <c r="E15" s="220">
        <v>0.12</v>
      </c>
      <c r="F15" s="220" t="s">
        <v>18</v>
      </c>
      <c r="G15" s="220">
        <v>0.1</v>
      </c>
      <c r="H15" s="221" t="s">
        <v>19</v>
      </c>
      <c r="I15" s="220">
        <f t="shared" ref="I15:I17" si="0">ROUND(C15*E15*G15,2)</f>
        <v>0.23</v>
      </c>
      <c r="J15" s="93"/>
      <c r="K15" s="93"/>
      <c r="L15" s="93"/>
      <c r="M15" s="93"/>
      <c r="N15" s="38"/>
      <c r="O15" s="38"/>
      <c r="P15" s="38"/>
    </row>
    <row r="16" spans="1:16" ht="20.100000000000001" customHeight="1" x14ac:dyDescent="0.25">
      <c r="A16" s="192"/>
      <c r="B16" s="235" t="s">
        <v>279</v>
      </c>
      <c r="C16" s="220">
        <v>18.920000000000002</v>
      </c>
      <c r="D16" s="220" t="s">
        <v>18</v>
      </c>
      <c r="E16" s="220">
        <v>0.12</v>
      </c>
      <c r="F16" s="220" t="s">
        <v>18</v>
      </c>
      <c r="G16" s="220">
        <v>0.1</v>
      </c>
      <c r="H16" s="221" t="s">
        <v>19</v>
      </c>
      <c r="I16" s="220">
        <f t="shared" si="0"/>
        <v>0.23</v>
      </c>
      <c r="J16" s="93"/>
      <c r="K16" s="93"/>
      <c r="L16" s="93"/>
      <c r="M16" s="93"/>
      <c r="N16" s="38"/>
      <c r="O16" s="38"/>
      <c r="P16" s="38"/>
    </row>
    <row r="17" spans="1:16" ht="20.100000000000001" customHeight="1" x14ac:dyDescent="0.25">
      <c r="A17" s="192"/>
      <c r="B17" s="235" t="s">
        <v>278</v>
      </c>
      <c r="C17" s="220">
        <v>39</v>
      </c>
      <c r="D17" s="220" t="s">
        <v>18</v>
      </c>
      <c r="E17" s="220">
        <v>0.12</v>
      </c>
      <c r="F17" s="220" t="s">
        <v>18</v>
      </c>
      <c r="G17" s="220">
        <v>0.1</v>
      </c>
      <c r="H17" s="221" t="s">
        <v>19</v>
      </c>
      <c r="I17" s="220">
        <f t="shared" si="0"/>
        <v>0.47</v>
      </c>
      <c r="J17" s="93"/>
      <c r="K17" s="93"/>
      <c r="L17" s="93"/>
      <c r="M17" s="93"/>
      <c r="N17" s="38"/>
      <c r="O17" s="38"/>
      <c r="P17" s="38"/>
    </row>
    <row r="18" spans="1:16" ht="20.100000000000001" customHeight="1" x14ac:dyDescent="0.25">
      <c r="A18" s="192"/>
      <c r="B18" s="235" t="s">
        <v>139</v>
      </c>
      <c r="C18" s="220">
        <f>10.5+1.57+4+1.57+10.5+1.57+4+1.57</f>
        <v>35.28</v>
      </c>
      <c r="D18" s="220" t="s">
        <v>18</v>
      </c>
      <c r="E18" s="220">
        <v>0.12</v>
      </c>
      <c r="F18" s="220" t="s">
        <v>18</v>
      </c>
      <c r="G18" s="220">
        <v>0.1</v>
      </c>
      <c r="H18" s="221" t="s">
        <v>19</v>
      </c>
      <c r="I18" s="220">
        <f>ROUND(C18*E18*G18,2)</f>
        <v>0.42</v>
      </c>
      <c r="J18" s="93"/>
      <c r="K18" s="93"/>
      <c r="L18" s="93"/>
      <c r="M18" s="93"/>
      <c r="N18" s="38"/>
      <c r="O18" s="38"/>
      <c r="P18" s="38"/>
    </row>
    <row r="19" spans="1:16" ht="20.100000000000001" customHeight="1" x14ac:dyDescent="0.25">
      <c r="A19" s="192"/>
      <c r="B19" s="235" t="s">
        <v>158</v>
      </c>
      <c r="C19" s="220">
        <f>6+1.57+2+1.57+6+1.57+2+1.57</f>
        <v>22.28</v>
      </c>
      <c r="D19" s="220" t="s">
        <v>18</v>
      </c>
      <c r="E19" s="220">
        <v>0.12</v>
      </c>
      <c r="F19" s="220" t="s">
        <v>18</v>
      </c>
      <c r="G19" s="220">
        <v>0.1</v>
      </c>
      <c r="H19" s="221" t="s">
        <v>19</v>
      </c>
      <c r="I19" s="220">
        <f t="shared" ref="I19:I23" si="1">ROUND(C19*E19*G19,2)</f>
        <v>0.27</v>
      </c>
      <c r="J19" s="93"/>
      <c r="K19" s="93"/>
      <c r="L19" s="93"/>
      <c r="M19" s="93"/>
      <c r="N19" s="38"/>
      <c r="O19" s="38"/>
      <c r="P19" s="38"/>
    </row>
    <row r="20" spans="1:16" ht="20.100000000000001" customHeight="1" x14ac:dyDescent="0.25">
      <c r="A20" s="192"/>
      <c r="B20" s="235" t="s">
        <v>159</v>
      </c>
      <c r="C20" s="220">
        <f>10.55+1.57+4+1.57+10.5+1.57+4+1.57</f>
        <v>35.330000000000005</v>
      </c>
      <c r="D20" s="220" t="s">
        <v>18</v>
      </c>
      <c r="E20" s="220">
        <v>0.12</v>
      </c>
      <c r="F20" s="220" t="s">
        <v>18</v>
      </c>
      <c r="G20" s="220">
        <v>0.1</v>
      </c>
      <c r="H20" s="221" t="s">
        <v>19</v>
      </c>
      <c r="I20" s="220">
        <f t="shared" si="1"/>
        <v>0.42</v>
      </c>
      <c r="J20" s="93"/>
      <c r="K20" s="93"/>
      <c r="L20" s="93"/>
      <c r="M20" s="93"/>
      <c r="N20" s="38"/>
      <c r="O20" s="38"/>
      <c r="P20" s="38"/>
    </row>
    <row r="21" spans="1:16" ht="20.100000000000001" customHeight="1" x14ac:dyDescent="0.25">
      <c r="A21" s="192"/>
      <c r="B21" s="235" t="s">
        <v>162</v>
      </c>
      <c r="C21" s="220">
        <f>10.5+1.57+5+1.57+10.5+1.57+5+1.57</f>
        <v>37.28</v>
      </c>
      <c r="D21" s="220" t="s">
        <v>18</v>
      </c>
      <c r="E21" s="220">
        <v>0.12</v>
      </c>
      <c r="F21" s="220" t="s">
        <v>18</v>
      </c>
      <c r="G21" s="220">
        <v>0.1</v>
      </c>
      <c r="H21" s="221" t="s">
        <v>19</v>
      </c>
      <c r="I21" s="220">
        <f t="shared" si="1"/>
        <v>0.45</v>
      </c>
      <c r="J21" s="93"/>
      <c r="K21" s="93"/>
      <c r="L21" s="93"/>
      <c r="M21" s="93"/>
      <c r="N21" s="38"/>
      <c r="O21" s="38"/>
      <c r="P21" s="38"/>
    </row>
    <row r="22" spans="1:16" ht="20.100000000000001" customHeight="1" x14ac:dyDescent="0.25">
      <c r="A22" s="192"/>
      <c r="B22" s="235" t="s">
        <v>273</v>
      </c>
      <c r="C22" s="220">
        <f>6+1.57+2+1.57+6+1.57+2+1.57</f>
        <v>22.28</v>
      </c>
      <c r="D22" s="220" t="s">
        <v>18</v>
      </c>
      <c r="E22" s="220">
        <v>0.12</v>
      </c>
      <c r="F22" s="220" t="s">
        <v>18</v>
      </c>
      <c r="G22" s="220">
        <v>0.1</v>
      </c>
      <c r="H22" s="221" t="s">
        <v>19</v>
      </c>
      <c r="I22" s="220">
        <f t="shared" si="1"/>
        <v>0.27</v>
      </c>
      <c r="J22" s="93"/>
      <c r="K22" s="93"/>
      <c r="L22" s="93"/>
      <c r="M22" s="93"/>
      <c r="N22" s="38"/>
      <c r="O22" s="38"/>
      <c r="P22" s="38"/>
    </row>
    <row r="23" spans="1:16" ht="20.100000000000001" customHeight="1" x14ac:dyDescent="0.25">
      <c r="A23" s="192"/>
      <c r="B23" s="235" t="s">
        <v>274</v>
      </c>
      <c r="C23" s="220">
        <f>10.5+1.57+5+1.57+10.5+1.57+5+1.57</f>
        <v>37.28</v>
      </c>
      <c r="D23" s="220" t="s">
        <v>18</v>
      </c>
      <c r="E23" s="220">
        <v>0.12</v>
      </c>
      <c r="F23" s="220" t="s">
        <v>18</v>
      </c>
      <c r="G23" s="220">
        <v>0.1</v>
      </c>
      <c r="H23" s="221"/>
      <c r="I23" s="220">
        <f t="shared" si="1"/>
        <v>0.45</v>
      </c>
      <c r="J23" s="93"/>
      <c r="K23" s="93"/>
      <c r="L23" s="93"/>
      <c r="M23" s="93"/>
      <c r="N23" s="38"/>
      <c r="O23" s="38"/>
      <c r="P23" s="38"/>
    </row>
    <row r="24" spans="1:16" ht="20.100000000000001" customHeight="1" x14ac:dyDescent="0.25">
      <c r="A24" s="192"/>
      <c r="B24" s="235" t="s">
        <v>280</v>
      </c>
      <c r="C24" s="220">
        <v>0.8</v>
      </c>
      <c r="D24" s="220" t="s">
        <v>18</v>
      </c>
      <c r="E24" s="220">
        <v>0.8</v>
      </c>
      <c r="F24" s="220" t="s">
        <v>18</v>
      </c>
      <c r="G24" s="220">
        <v>0.8</v>
      </c>
      <c r="H24" s="221"/>
      <c r="I24" s="220">
        <f t="shared" ref="I24" si="2">ROUND(C24*E24*G24,2)</f>
        <v>0.51</v>
      </c>
      <c r="J24" s="93"/>
      <c r="K24" s="93"/>
      <c r="L24" s="93"/>
      <c r="M24" s="93"/>
      <c r="N24" s="38"/>
      <c r="O24" s="38"/>
      <c r="P24" s="38"/>
    </row>
    <row r="25" spans="1:16" ht="20.100000000000001" customHeight="1" x14ac:dyDescent="0.25">
      <c r="A25" s="192"/>
      <c r="B25" s="608" t="s">
        <v>100</v>
      </c>
      <c r="C25" s="609"/>
      <c r="D25" s="609"/>
      <c r="E25" s="609"/>
      <c r="F25" s="609"/>
      <c r="G25" s="609"/>
      <c r="H25" s="610"/>
      <c r="I25" s="220">
        <f>ROUND(SUM(I14:I24),2)</f>
        <v>4.1900000000000004</v>
      </c>
      <c r="J25" s="93"/>
      <c r="K25" s="93"/>
      <c r="L25" s="93"/>
      <c r="M25" s="93"/>
      <c r="N25" s="38"/>
      <c r="O25" s="38"/>
      <c r="P25" s="38"/>
    </row>
    <row r="26" spans="1:16" ht="15.75" thickBot="1" x14ac:dyDescent="0.3">
      <c r="A26" s="192"/>
      <c r="B26" s="93"/>
      <c r="C26" s="93"/>
      <c r="D26" s="93"/>
      <c r="E26" s="93"/>
      <c r="F26" s="93"/>
      <c r="G26" s="93"/>
      <c r="H26" s="93"/>
      <c r="I26" s="93"/>
      <c r="J26" s="93"/>
      <c r="K26" s="93"/>
      <c r="L26" s="93"/>
      <c r="M26" s="93"/>
      <c r="N26" s="38"/>
      <c r="O26" s="38"/>
      <c r="P26" s="38"/>
    </row>
    <row r="27" spans="1:16" ht="15.75" thickBot="1" x14ac:dyDescent="0.3">
      <c r="A27" s="192"/>
      <c r="B27" s="225" t="s">
        <v>100</v>
      </c>
      <c r="C27" s="226">
        <f>I25</f>
        <v>4.1900000000000004</v>
      </c>
      <c r="D27" s="227" t="s">
        <v>6</v>
      </c>
      <c r="E27" s="93"/>
      <c r="F27" s="93"/>
      <c r="G27" s="93"/>
      <c r="H27" s="93"/>
      <c r="I27" s="93"/>
      <c r="J27" s="93"/>
      <c r="K27" s="93"/>
      <c r="L27" s="93"/>
      <c r="M27" s="93"/>
      <c r="N27" s="38"/>
      <c r="O27" s="38"/>
      <c r="P27" s="38"/>
    </row>
    <row r="28" spans="1:16" x14ac:dyDescent="0.25">
      <c r="A28" s="192"/>
      <c r="B28" s="93"/>
      <c r="C28" s="93"/>
      <c r="D28" s="93"/>
      <c r="E28" s="93"/>
      <c r="F28" s="93"/>
      <c r="G28" s="93"/>
      <c r="H28" s="93"/>
      <c r="I28" s="93"/>
      <c r="J28" s="93"/>
      <c r="K28" s="93"/>
      <c r="L28" s="93"/>
      <c r="M28" s="93"/>
      <c r="N28" s="38"/>
      <c r="O28" s="38"/>
      <c r="P28" s="38"/>
    </row>
    <row r="29" spans="1:16" x14ac:dyDescent="0.25">
      <c r="A29" s="192" t="str">
        <f>ORÇAMENTO!A19</f>
        <v>3.2</v>
      </c>
      <c r="B29" s="93" t="str">
        <f>ORÇAMENTO!D19</f>
        <v>REMOÇÃO DE PISO DE BLOCO INTERTRAVADO (SEXTAVADO), DE FORMA MANUAL, SEM REAPROVEITAMENTO</v>
      </c>
      <c r="C29" s="93"/>
      <c r="D29" s="93"/>
      <c r="E29" s="93"/>
      <c r="F29" s="93"/>
      <c r="G29" s="93"/>
      <c r="H29" s="93"/>
      <c r="I29" s="93"/>
      <c r="J29" s="93"/>
      <c r="K29" s="93"/>
      <c r="L29" s="93"/>
      <c r="M29" s="93"/>
      <c r="N29" s="38"/>
      <c r="O29" s="38"/>
      <c r="P29" s="38"/>
    </row>
    <row r="30" spans="1:16" x14ac:dyDescent="0.25">
      <c r="A30" s="192"/>
      <c r="B30" s="93"/>
      <c r="C30" s="93"/>
      <c r="D30" s="93"/>
      <c r="E30" s="93"/>
      <c r="F30" s="93"/>
      <c r="G30" s="93"/>
      <c r="H30" s="93"/>
      <c r="I30" s="93"/>
      <c r="J30" s="93"/>
      <c r="K30" s="93"/>
      <c r="L30" s="93"/>
      <c r="M30" s="93"/>
      <c r="N30" s="38"/>
      <c r="O30" s="38"/>
      <c r="P30" s="38"/>
    </row>
    <row r="31" spans="1:16" ht="20.100000000000001" customHeight="1" x14ac:dyDescent="0.25">
      <c r="A31" s="192"/>
      <c r="B31" s="219" t="s">
        <v>102</v>
      </c>
      <c r="C31" s="219" t="s">
        <v>105</v>
      </c>
      <c r="D31" s="324"/>
      <c r="E31" s="325"/>
      <c r="F31" s="228"/>
      <c r="G31" s="325"/>
      <c r="H31" s="93"/>
      <c r="I31" s="93"/>
      <c r="J31" s="93"/>
      <c r="K31" s="93"/>
      <c r="L31" s="93"/>
      <c r="M31" s="93"/>
      <c r="N31" s="38"/>
      <c r="O31" s="38"/>
      <c r="P31" s="38"/>
    </row>
    <row r="32" spans="1:16" ht="20.100000000000001" customHeight="1" x14ac:dyDescent="0.25">
      <c r="A32" s="192"/>
      <c r="B32" s="220" t="s">
        <v>275</v>
      </c>
      <c r="C32" s="220">
        <v>60.97</v>
      </c>
      <c r="D32" s="325"/>
      <c r="E32" s="325"/>
      <c r="F32" s="224"/>
      <c r="G32" s="325"/>
      <c r="H32" s="93"/>
      <c r="I32" s="93"/>
      <c r="J32" s="93"/>
      <c r="K32" s="93"/>
      <c r="L32" s="93"/>
      <c r="M32" s="93"/>
      <c r="N32" s="38"/>
      <c r="O32" s="38"/>
      <c r="P32" s="38"/>
    </row>
    <row r="33" spans="1:16" ht="20.100000000000001" customHeight="1" x14ac:dyDescent="0.25">
      <c r="A33" s="192"/>
      <c r="B33" s="220" t="s">
        <v>276</v>
      </c>
      <c r="C33" s="220">
        <v>8.7100000000000009</v>
      </c>
      <c r="D33" s="325"/>
      <c r="E33" s="325"/>
      <c r="F33" s="224"/>
      <c r="G33" s="325"/>
      <c r="H33" s="93"/>
      <c r="I33" s="93"/>
      <c r="J33" s="93"/>
      <c r="K33" s="93"/>
      <c r="L33" s="93"/>
      <c r="M33" s="93"/>
      <c r="N33" s="38"/>
      <c r="O33" s="38"/>
      <c r="P33" s="38"/>
    </row>
    <row r="34" spans="1:16" ht="20.100000000000001" customHeight="1" x14ac:dyDescent="0.25">
      <c r="A34" s="192"/>
      <c r="B34" s="220" t="s">
        <v>277</v>
      </c>
      <c r="C34" s="220">
        <v>6.42</v>
      </c>
      <c r="D34" s="325"/>
      <c r="E34" s="325"/>
      <c r="F34" s="224"/>
      <c r="G34" s="325"/>
      <c r="H34" s="93"/>
      <c r="I34" s="93"/>
      <c r="J34" s="93"/>
      <c r="K34" s="93"/>
      <c r="L34" s="93"/>
      <c r="M34" s="93"/>
      <c r="N34" s="38"/>
      <c r="O34" s="38"/>
      <c r="P34" s="38"/>
    </row>
    <row r="35" spans="1:16" ht="20.100000000000001" customHeight="1" x14ac:dyDescent="0.25">
      <c r="A35" s="192"/>
      <c r="B35" s="220" t="s">
        <v>278</v>
      </c>
      <c r="C35" s="220">
        <v>6.42</v>
      </c>
      <c r="D35" s="325"/>
      <c r="E35" s="325"/>
      <c r="F35" s="224"/>
      <c r="G35" s="325"/>
      <c r="H35" s="93"/>
      <c r="I35" s="93"/>
      <c r="J35" s="93"/>
      <c r="K35" s="93"/>
      <c r="L35" s="93"/>
      <c r="M35" s="93"/>
      <c r="N35" s="38"/>
      <c r="O35" s="38"/>
      <c r="P35" s="38"/>
    </row>
    <row r="36" spans="1:16" ht="20.100000000000001" customHeight="1" x14ac:dyDescent="0.25">
      <c r="A36" s="192"/>
      <c r="B36" s="220" t="s">
        <v>279</v>
      </c>
      <c r="C36" s="220">
        <v>8.7100000000000009</v>
      </c>
      <c r="D36" s="325"/>
      <c r="E36" s="325"/>
      <c r="F36" s="224"/>
      <c r="G36" s="325"/>
      <c r="H36" s="93"/>
      <c r="I36" s="93"/>
      <c r="J36" s="93"/>
      <c r="K36" s="93"/>
      <c r="L36" s="93"/>
      <c r="M36" s="93"/>
      <c r="N36" s="38"/>
      <c r="O36" s="38"/>
      <c r="P36" s="38"/>
    </row>
    <row r="37" spans="1:16" ht="20.100000000000001" customHeight="1" x14ac:dyDescent="0.25">
      <c r="A37" s="192"/>
      <c r="B37" s="220" t="s">
        <v>283</v>
      </c>
      <c r="C37" s="220">
        <v>100.34</v>
      </c>
      <c r="D37" s="325"/>
      <c r="E37" s="325"/>
      <c r="F37" s="224"/>
      <c r="G37" s="325"/>
      <c r="H37" s="93"/>
      <c r="I37" s="93"/>
      <c r="J37" s="93"/>
      <c r="K37" s="93"/>
      <c r="L37" s="93"/>
      <c r="M37" s="93"/>
      <c r="N37" s="38"/>
      <c r="O37" s="38"/>
      <c r="P37" s="38"/>
    </row>
    <row r="38" spans="1:16" ht="20.100000000000001" customHeight="1" x14ac:dyDescent="0.25">
      <c r="A38" s="192"/>
      <c r="B38" s="220" t="s">
        <v>284</v>
      </c>
      <c r="C38" s="220">
        <v>10.08</v>
      </c>
      <c r="D38" s="325"/>
      <c r="E38" s="325"/>
      <c r="F38" s="224"/>
      <c r="G38" s="325"/>
      <c r="H38" s="93"/>
      <c r="I38" s="93"/>
      <c r="J38" s="93"/>
      <c r="K38" s="93"/>
      <c r="L38" s="93"/>
      <c r="M38" s="93"/>
      <c r="N38" s="38"/>
      <c r="O38" s="38"/>
      <c r="P38" s="38"/>
    </row>
    <row r="39" spans="1:16" ht="20.100000000000001" customHeight="1" x14ac:dyDescent="0.25">
      <c r="A39" s="192"/>
      <c r="B39" s="220" t="s">
        <v>285</v>
      </c>
      <c r="C39" s="220">
        <v>6.42</v>
      </c>
      <c r="D39" s="325"/>
      <c r="E39" s="325"/>
      <c r="F39" s="224"/>
      <c r="G39" s="325"/>
      <c r="H39" s="93"/>
      <c r="I39" s="93"/>
      <c r="J39" s="93"/>
      <c r="K39" s="93"/>
      <c r="L39" s="93"/>
      <c r="M39" s="93"/>
      <c r="N39" s="38"/>
      <c r="O39" s="38"/>
      <c r="P39" s="38"/>
    </row>
    <row r="40" spans="1:16" ht="20.100000000000001" customHeight="1" x14ac:dyDescent="0.25">
      <c r="A40" s="192"/>
      <c r="B40" s="220" t="s">
        <v>286</v>
      </c>
      <c r="C40" s="220">
        <v>6.42</v>
      </c>
      <c r="D40" s="325"/>
      <c r="E40" s="325"/>
      <c r="F40" s="224"/>
      <c r="G40" s="325"/>
      <c r="H40" s="93"/>
      <c r="I40" s="93"/>
      <c r="J40" s="93"/>
      <c r="K40" s="93"/>
      <c r="L40" s="93"/>
      <c r="M40" s="93"/>
      <c r="N40" s="38"/>
      <c r="O40" s="38"/>
      <c r="P40" s="38"/>
    </row>
    <row r="41" spans="1:16" ht="20.100000000000001" customHeight="1" x14ac:dyDescent="0.25">
      <c r="A41" s="192"/>
      <c r="B41" s="220" t="s">
        <v>287</v>
      </c>
      <c r="C41" s="220">
        <v>10.08</v>
      </c>
      <c r="D41" s="325"/>
      <c r="E41" s="325"/>
      <c r="F41" s="224"/>
      <c r="G41" s="325"/>
      <c r="H41" s="93"/>
      <c r="I41" s="93"/>
      <c r="J41" s="93"/>
      <c r="K41" s="93"/>
      <c r="L41" s="93"/>
      <c r="M41" s="93"/>
      <c r="N41" s="38"/>
      <c r="O41" s="38"/>
      <c r="P41" s="38"/>
    </row>
    <row r="42" spans="1:16" ht="21.75" customHeight="1" x14ac:dyDescent="0.25">
      <c r="A42" s="192"/>
      <c r="B42" s="220" t="s">
        <v>100</v>
      </c>
      <c r="C42" s="220">
        <f>ROUND(SUM(C32:C41),2)</f>
        <v>224.57</v>
      </c>
      <c r="D42" s="93"/>
      <c r="E42" s="93"/>
      <c r="F42" s="93"/>
      <c r="G42" s="93"/>
      <c r="H42" s="93"/>
      <c r="I42" s="93"/>
      <c r="J42" s="93"/>
      <c r="K42" s="93"/>
      <c r="L42" s="93"/>
      <c r="M42" s="93"/>
      <c r="N42" s="38"/>
      <c r="O42" s="38"/>
      <c r="P42" s="38"/>
    </row>
    <row r="43" spans="1:16" ht="15.75" thickBot="1" x14ac:dyDescent="0.3">
      <c r="A43" s="192"/>
      <c r="B43" s="93"/>
      <c r="C43" s="93"/>
      <c r="D43" s="93"/>
      <c r="E43" s="93"/>
      <c r="F43" s="93"/>
      <c r="G43" s="93"/>
      <c r="H43" s="93"/>
      <c r="I43" s="93"/>
      <c r="J43" s="93"/>
      <c r="K43" s="93"/>
      <c r="L43" s="93"/>
      <c r="M43" s="93"/>
      <c r="N43" s="38"/>
      <c r="O43" s="38"/>
      <c r="P43" s="38"/>
    </row>
    <row r="44" spans="1:16" ht="15.75" thickBot="1" x14ac:dyDescent="0.3">
      <c r="A44" s="192"/>
      <c r="B44" s="225" t="s">
        <v>100</v>
      </c>
      <c r="C44" s="226">
        <f>C42</f>
        <v>224.57</v>
      </c>
      <c r="D44" s="227" t="s">
        <v>6</v>
      </c>
      <c r="E44" s="93"/>
      <c r="F44" s="93"/>
      <c r="G44" s="93"/>
      <c r="H44" s="93"/>
      <c r="I44" s="93"/>
      <c r="J44" s="93"/>
      <c r="K44" s="93"/>
      <c r="L44" s="93"/>
      <c r="M44" s="93"/>
      <c r="N44" s="38"/>
      <c r="O44" s="38"/>
      <c r="P44" s="38"/>
    </row>
    <row r="45" spans="1:16" x14ac:dyDescent="0.25">
      <c r="A45" s="192"/>
      <c r="B45" s="93"/>
      <c r="C45" s="93"/>
      <c r="D45" s="93"/>
      <c r="E45" s="93"/>
      <c r="F45" s="93"/>
      <c r="G45" s="93"/>
      <c r="H45" s="93"/>
      <c r="I45" s="93"/>
      <c r="J45" s="93"/>
      <c r="K45" s="93"/>
      <c r="L45" s="93"/>
      <c r="M45" s="93"/>
      <c r="N45" s="38"/>
      <c r="O45" s="38"/>
      <c r="P45" s="38"/>
    </row>
    <row r="46" spans="1:16" x14ac:dyDescent="0.25">
      <c r="A46" s="192" t="str">
        <f>ORÇAMENTO!A20</f>
        <v>3.3</v>
      </c>
      <c r="B46" s="93" t="str">
        <f>ORÇAMENTO!D20</f>
        <v>REMOÇÃO DE BANCO EM CONCRETO, SEM REAPROVEITAMENTO</v>
      </c>
      <c r="C46" s="93"/>
      <c r="D46" s="93"/>
      <c r="E46" s="93"/>
      <c r="F46" s="93"/>
      <c r="G46" s="93"/>
      <c r="H46" s="93"/>
      <c r="I46" s="93"/>
      <c r="J46" s="93"/>
      <c r="K46" s="93"/>
      <c r="L46" s="93"/>
      <c r="M46" s="93"/>
      <c r="N46" s="38"/>
      <c r="O46" s="38"/>
      <c r="P46" s="38"/>
    </row>
    <row r="47" spans="1:16" ht="15.75" thickBot="1" x14ac:dyDescent="0.3">
      <c r="A47" s="192"/>
      <c r="B47" s="93"/>
      <c r="C47" s="93"/>
      <c r="D47" s="93"/>
      <c r="E47" s="93"/>
      <c r="F47" s="93"/>
      <c r="G47" s="93"/>
      <c r="H47" s="93"/>
      <c r="I47" s="93"/>
      <c r="J47" s="93"/>
      <c r="K47" s="93"/>
      <c r="L47" s="93"/>
      <c r="M47" s="93"/>
      <c r="N47" s="38"/>
      <c r="O47" s="38"/>
      <c r="P47" s="38"/>
    </row>
    <row r="48" spans="1:16" ht="15.75" thickBot="1" x14ac:dyDescent="0.3">
      <c r="A48" s="192"/>
      <c r="B48" s="225" t="s">
        <v>100</v>
      </c>
      <c r="C48" s="226">
        <v>8</v>
      </c>
      <c r="D48" s="227" t="s">
        <v>10</v>
      </c>
      <c r="E48" s="93"/>
      <c r="F48" s="93"/>
      <c r="G48" s="93"/>
      <c r="H48" s="93"/>
      <c r="I48" s="93"/>
      <c r="J48" s="93"/>
      <c r="K48" s="93"/>
      <c r="L48" s="93"/>
      <c r="M48" s="93"/>
      <c r="N48" s="38"/>
      <c r="O48" s="38"/>
      <c r="P48" s="38"/>
    </row>
    <row r="49" spans="1:16" ht="15" customHeight="1" x14ac:dyDescent="0.25">
      <c r="A49" s="207"/>
      <c r="B49" s="228"/>
      <c r="C49" s="228"/>
      <c r="D49" s="228"/>
      <c r="E49" s="228"/>
      <c r="F49" s="228"/>
      <c r="G49" s="228"/>
      <c r="H49" s="228"/>
      <c r="I49" s="228"/>
      <c r="J49" s="228"/>
      <c r="K49" s="228"/>
      <c r="L49" s="228"/>
      <c r="M49" s="223"/>
      <c r="N49" s="3"/>
      <c r="O49" s="3"/>
      <c r="P49" s="9"/>
    </row>
    <row r="50" spans="1:16" ht="20.100000000000001" customHeight="1" x14ac:dyDescent="0.25">
      <c r="A50" s="38" t="str">
        <f>ORÇAMENTO!A21</f>
        <v>3.4</v>
      </c>
      <c r="B50" s="607" t="str">
        <f>ORÇAMENTO!D21</f>
        <v>LIMPEZA MANUAL DE VEGETAÇÃO EM TERRENO COM ENXADA.AF_05/2018</v>
      </c>
      <c r="C50" s="607"/>
      <c r="D50" s="607"/>
      <c r="E50" s="607"/>
      <c r="F50" s="607"/>
      <c r="G50" s="607"/>
      <c r="H50" s="607"/>
      <c r="I50" s="607"/>
      <c r="J50" s="607"/>
      <c r="K50" s="607"/>
      <c r="L50" s="607"/>
      <c r="M50" s="607"/>
    </row>
    <row r="51" spans="1:16" ht="13.5" customHeight="1" x14ac:dyDescent="0.25">
      <c r="B51" s="229"/>
      <c r="C51" s="229"/>
      <c r="D51" s="229"/>
      <c r="E51" s="229"/>
      <c r="F51" s="229"/>
      <c r="G51" s="229"/>
      <c r="H51" s="229"/>
      <c r="I51" s="229"/>
      <c r="J51" s="229"/>
      <c r="K51" s="229"/>
      <c r="L51" s="229"/>
      <c r="M51" s="229"/>
    </row>
    <row r="52" spans="1:16" ht="20.100000000000001" customHeight="1" x14ac:dyDescent="0.25">
      <c r="B52" s="219" t="s">
        <v>102</v>
      </c>
      <c r="C52" s="295" t="s">
        <v>161</v>
      </c>
      <c r="D52" s="324"/>
      <c r="E52" s="324"/>
      <c r="F52" s="342"/>
      <c r="G52" s="324"/>
      <c r="H52" s="229"/>
      <c r="I52" s="229"/>
      <c r="J52" s="229"/>
      <c r="K52" s="229"/>
      <c r="L52" s="229"/>
      <c r="M52" s="229"/>
    </row>
    <row r="53" spans="1:16" x14ac:dyDescent="0.25">
      <c r="B53" s="235" t="s">
        <v>288</v>
      </c>
      <c r="C53" s="220">
        <v>209.17</v>
      </c>
      <c r="D53" s="325"/>
      <c r="E53" s="325"/>
      <c r="F53" s="224"/>
      <c r="G53" s="325"/>
    </row>
    <row r="54" spans="1:16" x14ac:dyDescent="0.25">
      <c r="B54" s="235" t="s">
        <v>289</v>
      </c>
      <c r="C54" s="220">
        <v>47.89</v>
      </c>
      <c r="D54" s="325"/>
      <c r="E54" s="325"/>
      <c r="F54" s="224"/>
      <c r="G54" s="325"/>
    </row>
    <row r="55" spans="1:16" x14ac:dyDescent="0.25">
      <c r="B55" s="235" t="s">
        <v>290</v>
      </c>
      <c r="C55" s="220">
        <v>91.9</v>
      </c>
      <c r="D55" s="325"/>
      <c r="E55" s="325"/>
      <c r="F55" s="224"/>
      <c r="G55" s="325"/>
    </row>
    <row r="56" spans="1:16" x14ac:dyDescent="0.25">
      <c r="B56" s="235" t="s">
        <v>100</v>
      </c>
      <c r="C56" s="220">
        <f>ROUND(SUM(C53:C55),2)</f>
        <v>348.96</v>
      </c>
      <c r="D56" s="325"/>
      <c r="E56" s="325"/>
      <c r="F56" s="224"/>
      <c r="G56" s="325"/>
    </row>
    <row r="57" spans="1:16" ht="15.75" thickBot="1" x14ac:dyDescent="0.3"/>
    <row r="58" spans="1:16" ht="15.75" thickBot="1" x14ac:dyDescent="0.3">
      <c r="B58" s="225" t="s">
        <v>100</v>
      </c>
      <c r="C58" s="226">
        <f>C56</f>
        <v>348.96</v>
      </c>
      <c r="D58" s="227" t="s">
        <v>5</v>
      </c>
    </row>
    <row r="59" spans="1:16" x14ac:dyDescent="0.25">
      <c r="D59" s="343"/>
    </row>
  </sheetData>
  <mergeCells count="25">
    <mergeCell ref="K6:M6"/>
    <mergeCell ref="A8:M8"/>
    <mergeCell ref="B10:M10"/>
    <mergeCell ref="B11:M11"/>
    <mergeCell ref="A1:M1"/>
    <mergeCell ref="A2:B2"/>
    <mergeCell ref="C2:H2"/>
    <mergeCell ref="I2:J2"/>
    <mergeCell ref="K2:M2"/>
    <mergeCell ref="B50:M50"/>
    <mergeCell ref="A3:B3"/>
    <mergeCell ref="C3:H3"/>
    <mergeCell ref="I3:J4"/>
    <mergeCell ref="K3:M3"/>
    <mergeCell ref="A4:B4"/>
    <mergeCell ref="C4:H4"/>
    <mergeCell ref="K4:M4"/>
    <mergeCell ref="A5:B5"/>
    <mergeCell ref="C5:H5"/>
    <mergeCell ref="I5:J5"/>
    <mergeCell ref="K5:M5"/>
    <mergeCell ref="A6:B6"/>
    <mergeCell ref="C6:H6"/>
    <mergeCell ref="B25:H25"/>
    <mergeCell ref="I6:J6"/>
  </mergeCells>
  <pageMargins left="0.511811024" right="0.511811024" top="0.78740157499999996" bottom="0.78740157499999996" header="0.31496062000000002" footer="0.31496062000000002"/>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84"/>
  <sheetViews>
    <sheetView view="pageBreakPreview" topLeftCell="A43" zoomScale="96" zoomScaleNormal="100" zoomScaleSheetLayoutView="96" workbookViewId="0">
      <selection activeCell="E14" sqref="E14"/>
    </sheetView>
  </sheetViews>
  <sheetFormatPr defaultRowHeight="15" x14ac:dyDescent="0.25"/>
  <cols>
    <col min="1" max="1" width="8.7109375" customWidth="1"/>
    <col min="2" max="2" width="20.5703125" customWidth="1"/>
    <col min="3" max="5" width="11.7109375" customWidth="1"/>
    <col min="6" max="6" width="10.28515625" customWidth="1"/>
    <col min="7" max="7" width="11.7109375" customWidth="1"/>
    <col min="8" max="8" width="8.7109375" customWidth="1"/>
    <col min="9" max="13" width="10.7109375" customWidth="1"/>
  </cols>
  <sheetData>
    <row r="1" spans="1:16" ht="60" customHeight="1" thickBot="1" x14ac:dyDescent="0.3">
      <c r="A1" s="579" t="str">
        <f>ORÇAMENTO!A1</f>
        <v>GOVERNO DO ESTADO DO PARÁ
PREFEITURA MUNICIPAL DE OURÉM
CNPJ 05.149.133/0001-48</v>
      </c>
      <c r="B1" s="579"/>
      <c r="C1" s="579"/>
      <c r="D1" s="579"/>
      <c r="E1" s="579"/>
      <c r="F1" s="579"/>
      <c r="G1" s="579"/>
      <c r="H1" s="579"/>
      <c r="I1" s="579"/>
      <c r="J1" s="579"/>
      <c r="K1" s="579"/>
      <c r="L1" s="579"/>
      <c r="M1" s="579"/>
      <c r="N1" s="38"/>
      <c r="O1" s="38"/>
      <c r="P1" s="38"/>
    </row>
    <row r="2" spans="1:16" ht="24.95" customHeight="1" x14ac:dyDescent="0.25">
      <c r="A2" s="580" t="str">
        <f>ORÇAMENTO!A2</f>
        <v>Proponente:</v>
      </c>
      <c r="B2" s="581"/>
      <c r="C2" s="582" t="str">
        <f>ORÇAMENTO!C2</f>
        <v>PREFEITURA MUNICIPAL DE OURÉM</v>
      </c>
      <c r="D2" s="582"/>
      <c r="E2" s="582"/>
      <c r="F2" s="582"/>
      <c r="G2" s="582"/>
      <c r="H2" s="582"/>
      <c r="I2" s="581" t="str">
        <f>ORÇAMENTO!E2</f>
        <v>Município/UF:</v>
      </c>
      <c r="J2" s="581"/>
      <c r="K2" s="583" t="str">
        <f>ORÇAMENTO!G2</f>
        <v>OURÉM/PA</v>
      </c>
      <c r="L2" s="584"/>
      <c r="M2" s="585"/>
      <c r="N2" s="38"/>
      <c r="O2" s="38"/>
      <c r="P2" s="38"/>
    </row>
    <row r="3" spans="1:16" ht="30" customHeight="1" x14ac:dyDescent="0.25">
      <c r="A3" s="586" t="str">
        <f>ORÇAMENTO!A3</f>
        <v>Objeto:</v>
      </c>
      <c r="B3" s="587"/>
      <c r="C3" s="588" t="str">
        <f>ORÇAMENTO!C3</f>
        <v>RECONSTRUÇÃO DA PRAÇA PURAQUEQUARINHA NO MUNICÍPIO DE OURÉM/PA</v>
      </c>
      <c r="D3" s="588"/>
      <c r="E3" s="588"/>
      <c r="F3" s="588"/>
      <c r="G3" s="588"/>
      <c r="H3" s="588"/>
      <c r="I3" s="587" t="str">
        <f>ORÇAMENTO!E3</f>
        <v>Data Base:</v>
      </c>
      <c r="J3" s="587"/>
      <c r="K3" s="589" t="str">
        <f>ORÇAMENTO!G3</f>
        <v>SINAPI JANEIRO 2024 - DESONERADO</v>
      </c>
      <c r="L3" s="589"/>
      <c r="M3" s="590"/>
      <c r="N3" s="38"/>
      <c r="O3" s="38"/>
      <c r="P3" s="38"/>
    </row>
    <row r="4" spans="1:16" ht="30" customHeight="1" x14ac:dyDescent="0.25">
      <c r="A4" s="586" t="str">
        <f>ORÇAMENTO!A4</f>
        <v>Endereço Da Obra:</v>
      </c>
      <c r="B4" s="587"/>
      <c r="C4" s="588" t="str">
        <f>ORÇAMENTO!C4</f>
        <v>AV. PRINCIPAL, S/N, VILA PURAQUEQUARINHA, OURÉM, PA</v>
      </c>
      <c r="D4" s="588"/>
      <c r="E4" s="588"/>
      <c r="F4" s="588"/>
      <c r="G4" s="588"/>
      <c r="H4" s="588"/>
      <c r="I4" s="587"/>
      <c r="J4" s="587"/>
      <c r="K4" s="589" t="str">
        <f>ORÇAMENTO!G4</f>
        <v>SEOP FEVEREIRO 2024 - DESONERADO</v>
      </c>
      <c r="L4" s="589"/>
      <c r="M4" s="590"/>
      <c r="N4" s="38"/>
      <c r="O4" s="38"/>
      <c r="P4" s="38"/>
    </row>
    <row r="5" spans="1:16" ht="24.95" customHeight="1" x14ac:dyDescent="0.25">
      <c r="A5" s="600" t="str">
        <f>ORÇAMENTO!A5</f>
        <v>Valor:</v>
      </c>
      <c r="B5" s="601"/>
      <c r="C5" s="602">
        <f>ORÇAMENTO!C5</f>
        <v>341934.37</v>
      </c>
      <c r="D5" s="602"/>
      <c r="E5" s="602"/>
      <c r="F5" s="602"/>
      <c r="G5" s="602"/>
      <c r="H5" s="602"/>
      <c r="I5" s="594" t="str">
        <f>ORÇAMENTO!E5</f>
        <v>BDI - Serviços</v>
      </c>
      <c r="J5" s="594"/>
      <c r="K5" s="596">
        <f>ORÇAMENTO!G5</f>
        <v>0.29769428939090381</v>
      </c>
      <c r="L5" s="596"/>
      <c r="M5" s="597"/>
      <c r="N5" s="38"/>
      <c r="O5" s="38"/>
      <c r="P5" s="38"/>
    </row>
    <row r="6" spans="1:16" ht="24.95" customHeight="1" thickBot="1" x14ac:dyDescent="0.3">
      <c r="A6" s="603" t="str">
        <f>ORÇAMENTO!A6</f>
        <v xml:space="preserve">Responsável Técnico:    </v>
      </c>
      <c r="B6" s="604"/>
      <c r="C6" s="605" t="str">
        <f>ORÇAMENTO!C6</f>
        <v>MARUZA BAPTISTA</v>
      </c>
      <c r="D6" s="605"/>
      <c r="E6" s="605"/>
      <c r="F6" s="605"/>
      <c r="G6" s="605"/>
      <c r="H6" s="605"/>
      <c r="I6" s="595" t="str">
        <f>ORÇAMENTO!E6</f>
        <v xml:space="preserve">Registro Profissional:  </v>
      </c>
      <c r="J6" s="595"/>
      <c r="K6" s="598" t="str">
        <f>ORÇAMENTO!G6</f>
        <v>CAU: 28510-2 A</v>
      </c>
      <c r="L6" s="598"/>
      <c r="M6" s="599"/>
      <c r="N6" s="38"/>
      <c r="O6" s="38"/>
      <c r="P6" s="38"/>
    </row>
    <row r="7" spans="1:16" ht="15.75" thickBot="1" x14ac:dyDescent="0.3">
      <c r="A7" s="38"/>
      <c r="B7" s="38"/>
      <c r="C7" s="38"/>
      <c r="D7" s="38"/>
      <c r="E7" s="38"/>
      <c r="F7" s="38"/>
      <c r="G7" s="38"/>
      <c r="H7" s="38"/>
      <c r="I7" s="38"/>
      <c r="J7" s="38"/>
      <c r="K7" s="38"/>
      <c r="L7" s="38"/>
      <c r="M7" s="38"/>
      <c r="N7" s="38"/>
      <c r="O7" s="38"/>
      <c r="P7" s="38"/>
    </row>
    <row r="8" spans="1:16" ht="15" customHeight="1" thickBot="1" x14ac:dyDescent="0.3">
      <c r="A8" s="591" t="s">
        <v>77</v>
      </c>
      <c r="B8" s="592"/>
      <c r="C8" s="592"/>
      <c r="D8" s="592"/>
      <c r="E8" s="592"/>
      <c r="F8" s="592"/>
      <c r="G8" s="592"/>
      <c r="H8" s="592"/>
      <c r="I8" s="592"/>
      <c r="J8" s="592"/>
      <c r="K8" s="592"/>
      <c r="L8" s="592"/>
      <c r="M8" s="593"/>
      <c r="N8" s="38"/>
      <c r="O8" s="38"/>
      <c r="P8" s="38"/>
    </row>
    <row r="9" spans="1:16" x14ac:dyDescent="0.25">
      <c r="A9" s="38"/>
      <c r="B9" s="38"/>
      <c r="C9" s="38"/>
      <c r="D9" s="38"/>
      <c r="E9" s="38"/>
      <c r="F9" s="38"/>
      <c r="G9" s="38"/>
      <c r="H9" s="38"/>
      <c r="I9" s="38"/>
      <c r="J9" s="38"/>
      <c r="K9" s="38"/>
      <c r="L9" s="38"/>
      <c r="M9" s="38"/>
      <c r="N9" s="38"/>
      <c r="O9" s="38"/>
      <c r="P9" s="38"/>
    </row>
    <row r="10" spans="1:16" x14ac:dyDescent="0.25">
      <c r="A10" s="192">
        <f>ORÇAMENTO!A22</f>
        <v>4</v>
      </c>
      <c r="B10" s="606" t="str">
        <f>ORÇAMENTO!D22</f>
        <v xml:space="preserve">PAVIMENTAÇÃO </v>
      </c>
      <c r="C10" s="606"/>
      <c r="D10" s="606"/>
      <c r="E10" s="606"/>
      <c r="F10" s="606"/>
      <c r="G10" s="606"/>
      <c r="H10" s="606"/>
      <c r="I10" s="606"/>
      <c r="J10" s="606"/>
      <c r="K10" s="606"/>
      <c r="L10" s="606"/>
      <c r="M10" s="606"/>
      <c r="N10" s="38"/>
      <c r="O10" s="38"/>
      <c r="P10" s="38"/>
    </row>
    <row r="11" spans="1:16" ht="31.5" customHeight="1" x14ac:dyDescent="0.25">
      <c r="A11" s="192" t="str">
        <f>ORÇAMENTO!A23</f>
        <v>4.1</v>
      </c>
      <c r="B11" s="607" t="str">
        <f>ORÇAMENTO!D23</f>
        <v>EXECUÇÃO DE PASSEIO (CALÇADA) OU PISO DE CONCRETO COM CONCRETO MOLDADO IN LOCO, FEITO EM OBRA, ACABAMENTO CONVENCIONAL, NÃO ARMADO. AF_08/2022</v>
      </c>
      <c r="C11" s="607"/>
      <c r="D11" s="607"/>
      <c r="E11" s="607"/>
      <c r="F11" s="607"/>
      <c r="G11" s="607"/>
      <c r="H11" s="607"/>
      <c r="I11" s="607"/>
      <c r="J11" s="607"/>
      <c r="K11" s="607"/>
      <c r="L11" s="607"/>
      <c r="M11" s="607"/>
      <c r="N11" s="3"/>
      <c r="O11" s="3"/>
      <c r="P11" s="9"/>
    </row>
    <row r="12" spans="1:16" ht="15" customHeight="1" x14ac:dyDescent="0.25">
      <c r="A12" s="207"/>
      <c r="B12" s="228"/>
      <c r="C12" s="228"/>
      <c r="D12" s="228"/>
      <c r="E12" s="228"/>
      <c r="F12" s="228"/>
      <c r="G12" s="228"/>
      <c r="H12" s="228"/>
      <c r="I12" s="228"/>
      <c r="J12" s="228"/>
      <c r="K12" s="228"/>
      <c r="L12" s="228"/>
      <c r="M12" s="223"/>
      <c r="N12" s="3"/>
      <c r="O12" s="3"/>
      <c r="P12" s="9"/>
    </row>
    <row r="13" spans="1:16" ht="20.100000000000001" customHeight="1" x14ac:dyDescent="0.25">
      <c r="A13" s="207"/>
      <c r="B13" s="219" t="s">
        <v>102</v>
      </c>
      <c r="C13" s="219" t="s">
        <v>105</v>
      </c>
      <c r="D13" s="219"/>
      <c r="E13" s="219" t="s">
        <v>200</v>
      </c>
      <c r="F13" s="294"/>
      <c r="G13" s="219" t="s">
        <v>104</v>
      </c>
      <c r="H13" s="228"/>
      <c r="I13" s="228"/>
      <c r="J13" s="228"/>
      <c r="K13" s="228"/>
      <c r="L13" s="228"/>
      <c r="M13" s="223"/>
      <c r="N13" s="3"/>
      <c r="O13" s="3"/>
      <c r="P13" s="9"/>
    </row>
    <row r="14" spans="1:16" ht="20.100000000000001" customHeight="1" x14ac:dyDescent="0.25">
      <c r="A14" s="207"/>
      <c r="B14" s="235" t="s">
        <v>275</v>
      </c>
      <c r="C14" s="220">
        <v>88.75</v>
      </c>
      <c r="D14" s="220" t="s">
        <v>18</v>
      </c>
      <c r="E14" s="220">
        <v>0.08</v>
      </c>
      <c r="F14" s="221" t="s">
        <v>19</v>
      </c>
      <c r="G14" s="220">
        <f>ROUND(C14*E14,2)</f>
        <v>7.1</v>
      </c>
      <c r="H14" s="228"/>
      <c r="I14" s="228"/>
      <c r="J14" s="228"/>
      <c r="K14" s="228"/>
      <c r="L14" s="228"/>
      <c r="M14" s="223"/>
      <c r="N14" s="3"/>
      <c r="O14" s="3"/>
      <c r="P14" s="9"/>
    </row>
    <row r="15" spans="1:16" ht="20.100000000000001" customHeight="1" x14ac:dyDescent="0.25">
      <c r="A15" s="207"/>
      <c r="B15" s="235" t="s">
        <v>276</v>
      </c>
      <c r="C15" s="220">
        <v>49.7</v>
      </c>
      <c r="D15" s="220" t="s">
        <v>18</v>
      </c>
      <c r="E15" s="220">
        <v>0.08</v>
      </c>
      <c r="F15" s="221" t="s">
        <v>19</v>
      </c>
      <c r="G15" s="220">
        <f t="shared" ref="G15:G23" si="0">ROUND(C15*E15,2)</f>
        <v>3.98</v>
      </c>
      <c r="H15" s="228"/>
      <c r="I15" s="228"/>
      <c r="J15" s="228"/>
      <c r="K15" s="228"/>
      <c r="L15" s="228"/>
      <c r="M15" s="223"/>
      <c r="N15" s="3"/>
      <c r="O15" s="3"/>
      <c r="P15" s="9"/>
    </row>
    <row r="16" spans="1:16" ht="20.100000000000001" customHeight="1" x14ac:dyDescent="0.25">
      <c r="A16" s="207"/>
      <c r="B16" s="235" t="s">
        <v>277</v>
      </c>
      <c r="C16" s="220">
        <v>107.64</v>
      </c>
      <c r="D16" s="220" t="s">
        <v>18</v>
      </c>
      <c r="E16" s="220">
        <v>0.08</v>
      </c>
      <c r="F16" s="221" t="s">
        <v>19</v>
      </c>
      <c r="G16" s="220">
        <f t="shared" si="0"/>
        <v>8.61</v>
      </c>
      <c r="H16" s="228"/>
      <c r="I16" s="228"/>
      <c r="J16" s="228"/>
      <c r="K16" s="228"/>
      <c r="L16" s="228"/>
      <c r="M16" s="223"/>
      <c r="N16" s="3"/>
      <c r="O16" s="3"/>
      <c r="P16" s="9"/>
    </row>
    <row r="17" spans="1:16" ht="20.100000000000001" customHeight="1" x14ac:dyDescent="0.25">
      <c r="A17" s="207"/>
      <c r="B17" s="235" t="s">
        <v>278</v>
      </c>
      <c r="C17" s="220">
        <v>134.66</v>
      </c>
      <c r="D17" s="220" t="s">
        <v>18</v>
      </c>
      <c r="E17" s="220">
        <v>0.08</v>
      </c>
      <c r="F17" s="221" t="s">
        <v>19</v>
      </c>
      <c r="G17" s="220">
        <f t="shared" si="0"/>
        <v>10.77</v>
      </c>
      <c r="H17" s="228"/>
      <c r="I17" s="228"/>
      <c r="J17" s="228"/>
      <c r="K17" s="228"/>
      <c r="L17" s="228"/>
      <c r="M17" s="223"/>
      <c r="N17" s="3"/>
      <c r="O17" s="3"/>
      <c r="P17" s="9"/>
    </row>
    <row r="18" spans="1:16" ht="20.100000000000001" customHeight="1" x14ac:dyDescent="0.25">
      <c r="A18" s="207"/>
      <c r="B18" s="235" t="s">
        <v>279</v>
      </c>
      <c r="C18" s="220">
        <v>98.21</v>
      </c>
      <c r="D18" s="220" t="s">
        <v>18</v>
      </c>
      <c r="E18" s="220">
        <v>0.08</v>
      </c>
      <c r="F18" s="221" t="s">
        <v>19</v>
      </c>
      <c r="G18" s="220">
        <f t="shared" si="0"/>
        <v>7.86</v>
      </c>
      <c r="H18" s="228"/>
      <c r="I18" s="228"/>
      <c r="J18" s="228"/>
      <c r="K18" s="228"/>
      <c r="L18" s="228"/>
      <c r="M18" s="223"/>
      <c r="N18" s="3"/>
      <c r="O18" s="3"/>
      <c r="P18" s="9"/>
    </row>
    <row r="19" spans="1:16" ht="20.100000000000001" customHeight="1" x14ac:dyDescent="0.25">
      <c r="A19" s="207"/>
      <c r="B19" s="235" t="s">
        <v>283</v>
      </c>
      <c r="C19" s="220">
        <v>50.97</v>
      </c>
      <c r="D19" s="220" t="s">
        <v>18</v>
      </c>
      <c r="E19" s="220">
        <v>0.08</v>
      </c>
      <c r="F19" s="221" t="s">
        <v>19</v>
      </c>
      <c r="G19" s="220">
        <f t="shared" si="0"/>
        <v>4.08</v>
      </c>
      <c r="H19" s="228"/>
      <c r="I19" s="228"/>
      <c r="J19" s="228"/>
      <c r="K19" s="228"/>
      <c r="L19" s="228"/>
      <c r="M19" s="223"/>
      <c r="N19" s="3"/>
      <c r="O19" s="3"/>
      <c r="P19" s="9"/>
    </row>
    <row r="20" spans="1:16" ht="20.100000000000001" customHeight="1" x14ac:dyDescent="0.25">
      <c r="A20" s="207"/>
      <c r="B20" s="235" t="s">
        <v>284</v>
      </c>
      <c r="C20" s="220">
        <v>100.11</v>
      </c>
      <c r="D20" s="220" t="s">
        <v>18</v>
      </c>
      <c r="E20" s="220">
        <v>0.08</v>
      </c>
      <c r="F20" s="221" t="s">
        <v>19</v>
      </c>
      <c r="G20" s="220">
        <f t="shared" si="0"/>
        <v>8.01</v>
      </c>
      <c r="H20" s="228"/>
      <c r="I20" s="228"/>
      <c r="J20" s="228"/>
      <c r="K20" s="228"/>
      <c r="L20" s="228"/>
      <c r="M20" s="223"/>
      <c r="N20" s="3"/>
      <c r="O20" s="3"/>
      <c r="P20" s="9"/>
    </row>
    <row r="21" spans="1:16" ht="20.100000000000001" customHeight="1" x14ac:dyDescent="0.25">
      <c r="A21" s="207"/>
      <c r="B21" s="235" t="s">
        <v>285</v>
      </c>
      <c r="C21" s="220">
        <v>70.61</v>
      </c>
      <c r="D21" s="220" t="s">
        <v>18</v>
      </c>
      <c r="E21" s="220">
        <v>0.08</v>
      </c>
      <c r="F21" s="221" t="s">
        <v>19</v>
      </c>
      <c r="G21" s="220">
        <f t="shared" si="0"/>
        <v>5.65</v>
      </c>
      <c r="H21" s="228"/>
      <c r="I21" s="228"/>
      <c r="J21" s="228"/>
      <c r="K21" s="228"/>
      <c r="L21" s="228"/>
      <c r="M21" s="223"/>
      <c r="N21" s="3"/>
      <c r="O21" s="3"/>
      <c r="P21" s="9"/>
    </row>
    <row r="22" spans="1:16" ht="20.100000000000001" customHeight="1" x14ac:dyDescent="0.25">
      <c r="A22" s="207"/>
      <c r="B22" s="235" t="s">
        <v>291</v>
      </c>
      <c r="C22" s="220">
        <v>6.2</v>
      </c>
      <c r="D22" s="220" t="s">
        <v>18</v>
      </c>
      <c r="E22" s="220">
        <v>0.08</v>
      </c>
      <c r="F22" s="221" t="s">
        <v>19</v>
      </c>
      <c r="G22" s="220">
        <f t="shared" si="0"/>
        <v>0.5</v>
      </c>
      <c r="H22" s="228"/>
      <c r="I22" s="228"/>
      <c r="J22" s="228"/>
      <c r="K22" s="228"/>
      <c r="L22" s="228"/>
      <c r="M22" s="223"/>
      <c r="N22" s="3"/>
      <c r="O22" s="3"/>
      <c r="P22" s="9"/>
    </row>
    <row r="23" spans="1:16" ht="20.100000000000001" customHeight="1" x14ac:dyDescent="0.25">
      <c r="A23" s="207"/>
      <c r="B23" s="235" t="s">
        <v>292</v>
      </c>
      <c r="C23" s="220">
        <v>26.85</v>
      </c>
      <c r="D23" s="220" t="s">
        <v>18</v>
      </c>
      <c r="E23" s="220">
        <v>0.08</v>
      </c>
      <c r="F23" s="221" t="s">
        <v>19</v>
      </c>
      <c r="G23" s="220">
        <f t="shared" si="0"/>
        <v>2.15</v>
      </c>
      <c r="H23" s="228"/>
      <c r="I23" s="228"/>
      <c r="J23" s="228"/>
      <c r="K23" s="228"/>
      <c r="L23" s="228"/>
      <c r="M23" s="223"/>
      <c r="N23" s="3"/>
      <c r="O23" s="3"/>
      <c r="P23" s="9"/>
    </row>
    <row r="24" spans="1:16" ht="20.100000000000001" customHeight="1" x14ac:dyDescent="0.25">
      <c r="A24" s="207"/>
      <c r="B24" s="235" t="s">
        <v>293</v>
      </c>
      <c r="C24" s="220">
        <v>11.14</v>
      </c>
      <c r="D24" s="220" t="s">
        <v>18</v>
      </c>
      <c r="E24" s="220">
        <v>0.08</v>
      </c>
      <c r="F24" s="221" t="s">
        <v>19</v>
      </c>
      <c r="G24" s="220">
        <f t="shared" ref="G24:G25" si="1">ROUND(C24*E24,2)</f>
        <v>0.89</v>
      </c>
      <c r="H24" s="228"/>
      <c r="I24" s="228"/>
      <c r="J24" s="228"/>
      <c r="K24" s="228"/>
      <c r="L24" s="228"/>
      <c r="M24" s="223"/>
      <c r="N24" s="3"/>
      <c r="O24" s="3"/>
      <c r="P24" s="9"/>
    </row>
    <row r="25" spans="1:16" ht="20.100000000000001" customHeight="1" x14ac:dyDescent="0.25">
      <c r="A25" s="207"/>
      <c r="B25" s="235" t="s">
        <v>294</v>
      </c>
      <c r="C25" s="220">
        <v>6.9</v>
      </c>
      <c r="D25" s="220" t="s">
        <v>18</v>
      </c>
      <c r="E25" s="220">
        <v>0.08</v>
      </c>
      <c r="F25" s="221" t="s">
        <v>19</v>
      </c>
      <c r="G25" s="220">
        <f t="shared" si="1"/>
        <v>0.55000000000000004</v>
      </c>
      <c r="H25" s="228"/>
      <c r="I25" s="228"/>
      <c r="J25" s="228"/>
      <c r="K25" s="228"/>
      <c r="L25" s="228"/>
      <c r="M25" s="223"/>
      <c r="N25" s="3"/>
      <c r="O25" s="3"/>
      <c r="P25" s="9"/>
    </row>
    <row r="26" spans="1:16" ht="20.100000000000001" customHeight="1" x14ac:dyDescent="0.25">
      <c r="A26" s="207"/>
      <c r="B26" s="235" t="s">
        <v>397</v>
      </c>
      <c r="C26" s="363">
        <v>2.25</v>
      </c>
      <c r="D26" s="363" t="s">
        <v>18</v>
      </c>
      <c r="E26" s="363">
        <v>0.08</v>
      </c>
      <c r="F26" s="221" t="s">
        <v>19</v>
      </c>
      <c r="G26" s="363">
        <f t="shared" ref="G26" si="2">ROUND(C26*E26,2)</f>
        <v>0.18</v>
      </c>
      <c r="H26" s="228"/>
      <c r="I26" s="228"/>
      <c r="J26" s="228"/>
      <c r="K26" s="228"/>
      <c r="L26" s="228"/>
      <c r="M26" s="223"/>
      <c r="N26" s="3"/>
      <c r="O26" s="3"/>
      <c r="P26" s="9"/>
    </row>
    <row r="27" spans="1:16" ht="20.100000000000001" customHeight="1" x14ac:dyDescent="0.25">
      <c r="A27" s="207"/>
      <c r="B27" s="611" t="s">
        <v>100</v>
      </c>
      <c r="C27" s="612"/>
      <c r="D27" s="612"/>
      <c r="E27" s="612"/>
      <c r="F27" s="613"/>
      <c r="G27" s="220">
        <f>ROUND(SUM(G14:G26),2)</f>
        <v>60.33</v>
      </c>
      <c r="H27" s="228"/>
      <c r="I27" s="236"/>
      <c r="J27" s="228"/>
      <c r="K27" s="228"/>
      <c r="L27" s="228"/>
      <c r="M27" s="223"/>
      <c r="N27" s="3"/>
      <c r="O27" s="3"/>
      <c r="P27" s="9"/>
    </row>
    <row r="28" spans="1:16" ht="15" customHeight="1" thickBot="1" x14ac:dyDescent="0.3">
      <c r="A28" s="207"/>
      <c r="B28" s="222"/>
      <c r="C28" s="222"/>
      <c r="D28" s="222"/>
      <c r="E28" s="222"/>
      <c r="F28" s="224"/>
      <c r="G28" s="222"/>
      <c r="H28" s="228"/>
      <c r="I28" s="228"/>
      <c r="J28" s="228"/>
      <c r="K28" s="228"/>
      <c r="L28" s="228"/>
      <c r="M28" s="223"/>
      <c r="N28" s="3"/>
      <c r="O28" s="3"/>
      <c r="P28" s="9"/>
    </row>
    <row r="29" spans="1:16" ht="15" customHeight="1" thickBot="1" x14ac:dyDescent="0.3">
      <c r="A29" s="8"/>
      <c r="B29" s="225" t="s">
        <v>100</v>
      </c>
      <c r="C29" s="226">
        <f>G27</f>
        <v>60.33</v>
      </c>
      <c r="D29" s="227" t="s">
        <v>6</v>
      </c>
      <c r="E29" s="228"/>
      <c r="F29" s="222"/>
      <c r="G29" s="223"/>
      <c r="H29" s="222"/>
      <c r="I29" s="222"/>
      <c r="J29" s="223"/>
      <c r="K29" s="222"/>
      <c r="L29" s="222"/>
      <c r="M29" s="223"/>
      <c r="N29" s="3"/>
      <c r="O29" s="3"/>
      <c r="P29" s="9"/>
    </row>
    <row r="30" spans="1:16" ht="15" customHeight="1" x14ac:dyDescent="0.25">
      <c r="A30" s="8"/>
      <c r="B30" s="222"/>
      <c r="C30" s="222"/>
      <c r="D30" s="223"/>
      <c r="E30" s="222"/>
      <c r="F30" s="208"/>
      <c r="G30" s="208"/>
      <c r="H30" s="208"/>
      <c r="I30" s="208"/>
      <c r="J30" s="208"/>
      <c r="K30" s="208"/>
      <c r="L30" s="222"/>
      <c r="M30" s="223"/>
      <c r="N30" s="3"/>
      <c r="O30" s="3"/>
      <c r="P30" s="9"/>
    </row>
    <row r="31" spans="1:16" ht="15" customHeight="1" x14ac:dyDescent="0.25">
      <c r="A31" s="192" t="str">
        <f>ORÇAMENTO!A24</f>
        <v>4.2</v>
      </c>
      <c r="B31" s="607" t="str">
        <f>ORÇAMENTO!D24</f>
        <v>GUIA (MEIO-FIO) CONCRETO, MOLDADA  IN LOCO  EM TRECHO RETO COM EXTRUSORA, 15 CM BASE X 30 CM ALTURA. AF_01/2024</v>
      </c>
      <c r="C31" s="607"/>
      <c r="D31" s="607"/>
      <c r="E31" s="607"/>
      <c r="F31" s="607"/>
      <c r="G31" s="607"/>
      <c r="H31" s="607"/>
      <c r="I31" s="607"/>
      <c r="J31" s="607"/>
      <c r="K31" s="607"/>
      <c r="L31" s="607"/>
      <c r="M31" s="607"/>
      <c r="N31" s="3"/>
      <c r="O31" s="3"/>
      <c r="P31" s="9"/>
    </row>
    <row r="32" spans="1:16" ht="15" customHeight="1" x14ac:dyDescent="0.25">
      <c r="A32" s="207"/>
      <c r="B32" s="228"/>
      <c r="C32" s="228"/>
      <c r="D32" s="228"/>
      <c r="E32" s="228"/>
      <c r="F32" s="228"/>
      <c r="G32" s="228"/>
      <c r="H32" s="228"/>
      <c r="I32" s="228"/>
      <c r="J32" s="228"/>
      <c r="K32" s="228"/>
      <c r="L32" s="228"/>
      <c r="M32" s="228"/>
      <c r="N32" s="3"/>
      <c r="O32" s="3"/>
      <c r="P32" s="9"/>
    </row>
    <row r="33" spans="1:16" ht="20.100000000000001" customHeight="1" x14ac:dyDescent="0.25">
      <c r="A33" s="207"/>
      <c r="B33" s="219" t="s">
        <v>102</v>
      </c>
      <c r="C33" s="615" t="s">
        <v>106</v>
      </c>
      <c r="D33" s="616"/>
      <c r="E33" s="616"/>
      <c r="F33" s="617"/>
      <c r="G33" s="219" t="s">
        <v>173</v>
      </c>
      <c r="H33" s="228"/>
      <c r="I33" s="228"/>
      <c r="J33" s="228"/>
      <c r="K33" s="228"/>
      <c r="L33" s="228"/>
      <c r="M33" s="228"/>
      <c r="N33" s="3"/>
      <c r="O33" s="3"/>
      <c r="P33" s="9"/>
    </row>
    <row r="34" spans="1:16" ht="20.100000000000001" customHeight="1" x14ac:dyDescent="0.25">
      <c r="A34" s="207"/>
      <c r="B34" s="220" t="s">
        <v>139</v>
      </c>
      <c r="C34" s="220">
        <v>15.38</v>
      </c>
      <c r="D34" s="220">
        <v>3.27</v>
      </c>
      <c r="E34" s="220">
        <v>3.56</v>
      </c>
      <c r="F34" s="220"/>
      <c r="G34" s="220">
        <f>ROUND(SUM(C34:F34),2)</f>
        <v>22.21</v>
      </c>
      <c r="H34" s="228"/>
      <c r="I34" s="228"/>
      <c r="J34" s="228"/>
      <c r="K34" s="228"/>
      <c r="L34" s="228"/>
      <c r="M34" s="228"/>
      <c r="N34" s="3"/>
      <c r="O34" s="3"/>
      <c r="P34" s="9"/>
    </row>
    <row r="35" spans="1:16" ht="20.100000000000001" customHeight="1" x14ac:dyDescent="0.25">
      <c r="A35" s="207"/>
      <c r="B35" s="220" t="s">
        <v>159</v>
      </c>
      <c r="C35" s="220">
        <v>14.22</v>
      </c>
      <c r="D35" s="220">
        <v>3.84</v>
      </c>
      <c r="E35" s="220">
        <v>4.83</v>
      </c>
      <c r="F35" s="220"/>
      <c r="G35" s="220">
        <f t="shared" ref="G35:G42" si="3">ROUND(SUM(C35:F35),2)</f>
        <v>22.89</v>
      </c>
      <c r="H35" s="228"/>
      <c r="I35" s="228"/>
      <c r="J35" s="228"/>
      <c r="K35" s="228"/>
      <c r="L35" s="228"/>
      <c r="M35" s="228"/>
      <c r="N35" s="3"/>
      <c r="O35" s="3"/>
      <c r="P35" s="9"/>
    </row>
    <row r="36" spans="1:16" ht="20.100000000000001" customHeight="1" x14ac:dyDescent="0.25">
      <c r="A36" s="207"/>
      <c r="B36" s="220" t="s">
        <v>162</v>
      </c>
      <c r="C36" s="220">
        <v>15.38</v>
      </c>
      <c r="D36" s="220">
        <v>3.27</v>
      </c>
      <c r="E36" s="220">
        <v>3.56</v>
      </c>
      <c r="F36" s="220"/>
      <c r="G36" s="220">
        <f t="shared" si="3"/>
        <v>22.21</v>
      </c>
      <c r="H36" s="228"/>
      <c r="I36" s="228"/>
      <c r="J36" s="228"/>
      <c r="K36" s="228"/>
      <c r="L36" s="228"/>
      <c r="M36" s="228"/>
      <c r="N36" s="3"/>
      <c r="O36" s="3"/>
      <c r="P36" s="9"/>
    </row>
    <row r="37" spans="1:16" ht="20.100000000000001" customHeight="1" x14ac:dyDescent="0.25">
      <c r="A37" s="207"/>
      <c r="B37" s="220" t="s">
        <v>274</v>
      </c>
      <c r="C37" s="220">
        <v>14.22</v>
      </c>
      <c r="D37" s="220">
        <v>3.84</v>
      </c>
      <c r="E37" s="220">
        <v>4.83</v>
      </c>
      <c r="F37" s="220"/>
      <c r="G37" s="220">
        <f t="shared" si="3"/>
        <v>22.89</v>
      </c>
      <c r="H37" s="228"/>
      <c r="I37" s="228"/>
      <c r="J37" s="228"/>
      <c r="K37" s="228"/>
      <c r="L37" s="228"/>
      <c r="M37" s="228"/>
      <c r="N37" s="3"/>
      <c r="O37" s="3"/>
      <c r="P37" s="9"/>
    </row>
    <row r="38" spans="1:16" ht="20.100000000000001" customHeight="1" x14ac:dyDescent="0.25">
      <c r="A38" s="207"/>
      <c r="B38" s="220" t="s">
        <v>297</v>
      </c>
      <c r="C38" s="220">
        <v>7.03</v>
      </c>
      <c r="D38" s="220">
        <v>2.2799999999999998</v>
      </c>
      <c r="E38" s="220"/>
      <c r="F38" s="220"/>
      <c r="G38" s="220">
        <f t="shared" si="3"/>
        <v>9.31</v>
      </c>
      <c r="H38" s="228"/>
      <c r="I38" s="228"/>
      <c r="J38" s="228"/>
      <c r="K38" s="228"/>
      <c r="L38" s="228"/>
      <c r="M38" s="228"/>
      <c r="N38" s="3"/>
      <c r="O38" s="3"/>
      <c r="P38" s="9"/>
    </row>
    <row r="39" spans="1:16" ht="20.100000000000001" customHeight="1" x14ac:dyDescent="0.25">
      <c r="A39" s="207"/>
      <c r="B39" s="220" t="s">
        <v>288</v>
      </c>
      <c r="C39" s="220">
        <v>1.38</v>
      </c>
      <c r="D39" s="220">
        <v>10.46</v>
      </c>
      <c r="E39" s="220">
        <v>1.38</v>
      </c>
      <c r="F39" s="220"/>
      <c r="G39" s="220">
        <f t="shared" si="3"/>
        <v>13.22</v>
      </c>
      <c r="H39" s="228"/>
      <c r="I39" s="228"/>
      <c r="J39" s="228"/>
      <c r="K39" s="228"/>
      <c r="L39" s="228"/>
      <c r="M39" s="228"/>
      <c r="N39" s="3"/>
      <c r="O39" s="3"/>
      <c r="P39" s="9"/>
    </row>
    <row r="40" spans="1:16" ht="20.100000000000001" customHeight="1" x14ac:dyDescent="0.25">
      <c r="A40" s="207"/>
      <c r="B40" s="220" t="s">
        <v>289</v>
      </c>
      <c r="C40" s="220">
        <v>14.22</v>
      </c>
      <c r="D40" s="220">
        <v>14.22</v>
      </c>
      <c r="E40" s="220">
        <v>3.18</v>
      </c>
      <c r="F40" s="220"/>
      <c r="G40" s="220">
        <f t="shared" si="3"/>
        <v>31.62</v>
      </c>
      <c r="H40" s="228"/>
      <c r="I40" s="228"/>
      <c r="J40" s="228"/>
      <c r="K40" s="228"/>
      <c r="L40" s="228"/>
      <c r="M40" s="228"/>
      <c r="N40" s="3"/>
      <c r="O40" s="3"/>
      <c r="P40" s="9"/>
    </row>
    <row r="41" spans="1:16" ht="20.100000000000001" customHeight="1" x14ac:dyDescent="0.25">
      <c r="A41" s="207"/>
      <c r="B41" s="220" t="s">
        <v>290</v>
      </c>
      <c r="C41" s="220">
        <v>21.97</v>
      </c>
      <c r="D41" s="220">
        <v>17.5</v>
      </c>
      <c r="E41" s="220">
        <v>9.58</v>
      </c>
      <c r="F41" s="220"/>
      <c r="G41" s="220">
        <f t="shared" si="3"/>
        <v>49.05</v>
      </c>
      <c r="H41" s="228"/>
      <c r="I41" s="228"/>
      <c r="J41" s="228"/>
      <c r="K41" s="228"/>
      <c r="L41" s="228"/>
      <c r="M41" s="228"/>
      <c r="N41" s="3"/>
      <c r="O41" s="3"/>
      <c r="P41" s="9"/>
    </row>
    <row r="42" spans="1:16" ht="20.100000000000001" customHeight="1" x14ac:dyDescent="0.25">
      <c r="A42" s="207"/>
      <c r="B42" s="220" t="s">
        <v>298</v>
      </c>
      <c r="C42" s="220">
        <v>5.72</v>
      </c>
      <c r="D42" s="220"/>
      <c r="E42" s="220"/>
      <c r="F42" s="220"/>
      <c r="G42" s="220">
        <f t="shared" si="3"/>
        <v>5.72</v>
      </c>
      <c r="H42" s="228"/>
      <c r="I42" s="228"/>
      <c r="J42" s="228"/>
      <c r="K42" s="228"/>
      <c r="L42" s="228"/>
      <c r="M42" s="228"/>
      <c r="N42" s="3"/>
      <c r="O42" s="3"/>
      <c r="P42" s="9"/>
    </row>
    <row r="43" spans="1:16" ht="20.100000000000001" customHeight="1" x14ac:dyDescent="0.25">
      <c r="A43" s="207"/>
      <c r="B43" s="614" t="s">
        <v>100</v>
      </c>
      <c r="C43" s="614"/>
      <c r="D43" s="614"/>
      <c r="E43" s="614"/>
      <c r="F43" s="614"/>
      <c r="G43" s="220">
        <f>ROUND(SUM(G34:G42),2)</f>
        <v>199.12</v>
      </c>
      <c r="H43" s="228"/>
      <c r="I43" s="228"/>
      <c r="J43" s="228"/>
      <c r="K43" s="228"/>
      <c r="L43" s="228"/>
      <c r="M43" s="228"/>
      <c r="N43" s="3"/>
      <c r="O43" s="3"/>
      <c r="P43" s="9"/>
    </row>
    <row r="44" spans="1:16" ht="15" customHeight="1" thickBot="1" x14ac:dyDescent="0.3">
      <c r="A44" s="207"/>
      <c r="B44" s="222"/>
      <c r="C44" s="222"/>
      <c r="D44" s="222"/>
      <c r="E44" s="222"/>
      <c r="F44" s="224"/>
      <c r="G44" s="222"/>
      <c r="H44" s="228"/>
      <c r="I44" s="228"/>
      <c r="J44" s="228"/>
      <c r="K44" s="228"/>
      <c r="L44" s="228"/>
      <c r="M44" s="228"/>
      <c r="N44" s="3"/>
      <c r="O44" s="3"/>
      <c r="P44" s="9"/>
    </row>
    <row r="45" spans="1:16" ht="15" customHeight="1" thickBot="1" x14ac:dyDescent="0.3">
      <c r="A45" s="207"/>
      <c r="B45" s="225" t="s">
        <v>100</v>
      </c>
      <c r="C45" s="226">
        <f>G43</f>
        <v>199.12</v>
      </c>
      <c r="D45" s="227" t="s">
        <v>12</v>
      </c>
      <c r="E45" s="228"/>
      <c r="F45" s="222"/>
      <c r="G45" s="223"/>
      <c r="H45" s="228"/>
      <c r="I45" s="228"/>
      <c r="J45" s="228"/>
      <c r="K45" s="228"/>
      <c r="L45" s="228"/>
      <c r="M45" s="228"/>
      <c r="N45" s="3"/>
      <c r="O45" s="3"/>
      <c r="P45" s="9"/>
    </row>
    <row r="46" spans="1:16" ht="15" customHeight="1" x14ac:dyDescent="0.25">
      <c r="A46" s="8"/>
      <c r="B46" s="222"/>
      <c r="C46" s="222"/>
      <c r="D46" s="223"/>
      <c r="E46" s="222"/>
      <c r="F46" s="208"/>
      <c r="G46" s="208"/>
      <c r="H46" s="208"/>
      <c r="I46" s="208"/>
      <c r="J46" s="208"/>
      <c r="K46" s="208"/>
      <c r="L46" s="222"/>
      <c r="M46" s="223"/>
      <c r="N46" s="3"/>
      <c r="O46" s="3"/>
      <c r="P46" s="9"/>
    </row>
    <row r="47" spans="1:16" ht="20.100000000000001" customHeight="1" x14ac:dyDescent="0.25">
      <c r="A47" s="192" t="str">
        <f>ORÇAMENTO!A25</f>
        <v>4.3</v>
      </c>
      <c r="B47" s="607" t="str">
        <f>ORÇAMENTO!D25</f>
        <v>GUIA (MEIO-FIO) CONCRETO, MOLDADA  IN LOCO  EM TRECHO CURVO COM EXTRUSORA, 15 CM BASE X 30 CM ALTURA. AF_01/2024</v>
      </c>
      <c r="C47" s="607"/>
      <c r="D47" s="607"/>
      <c r="E47" s="607"/>
      <c r="F47" s="607"/>
      <c r="G47" s="607"/>
      <c r="H47" s="607"/>
      <c r="I47" s="607"/>
      <c r="J47" s="607"/>
      <c r="K47" s="607"/>
      <c r="L47" s="607"/>
      <c r="M47" s="607"/>
    </row>
    <row r="48" spans="1:16" ht="13.5" customHeight="1" x14ac:dyDescent="0.25">
      <c r="A48" s="207"/>
      <c r="B48" s="228"/>
      <c r="C48" s="228"/>
      <c r="D48" s="228"/>
      <c r="E48" s="228"/>
      <c r="F48" s="228"/>
      <c r="G48" s="228"/>
      <c r="H48" s="228"/>
      <c r="I48" s="228"/>
      <c r="J48" s="228"/>
      <c r="K48" s="228"/>
      <c r="L48" s="228"/>
      <c r="M48" s="228"/>
    </row>
    <row r="49" spans="1:13" ht="20.100000000000001" customHeight="1" x14ac:dyDescent="0.25">
      <c r="A49" s="207"/>
      <c r="B49" s="219" t="s">
        <v>102</v>
      </c>
      <c r="C49" s="615" t="s">
        <v>106</v>
      </c>
      <c r="D49" s="616"/>
      <c r="E49" s="616"/>
      <c r="F49" s="617"/>
      <c r="G49" s="219" t="s">
        <v>173</v>
      </c>
      <c r="H49" s="228"/>
      <c r="I49" s="228"/>
      <c r="J49" s="228"/>
      <c r="K49" s="228"/>
      <c r="L49" s="228"/>
      <c r="M49" s="228"/>
    </row>
    <row r="50" spans="1:13" ht="20.100000000000001" customHeight="1" x14ac:dyDescent="0.25">
      <c r="A50" s="207"/>
      <c r="B50" s="220" t="s">
        <v>139</v>
      </c>
      <c r="C50" s="220">
        <v>6.67</v>
      </c>
      <c r="D50" s="220">
        <v>5.77</v>
      </c>
      <c r="E50" s="220">
        <v>4.3899999999999997</v>
      </c>
      <c r="F50" s="220"/>
      <c r="G50" s="220">
        <f>ROUND(SUM(C50:F50),2)</f>
        <v>16.829999999999998</v>
      </c>
      <c r="H50" s="228"/>
      <c r="I50" s="228"/>
      <c r="J50" s="228"/>
      <c r="K50" s="228"/>
      <c r="L50" s="228"/>
      <c r="M50" s="228"/>
    </row>
    <row r="51" spans="1:13" ht="20.100000000000001" customHeight="1" x14ac:dyDescent="0.25">
      <c r="A51" s="207"/>
      <c r="B51" s="220" t="s">
        <v>158</v>
      </c>
      <c r="C51" s="220">
        <v>7.03</v>
      </c>
      <c r="D51" s="220"/>
      <c r="E51" s="220"/>
      <c r="F51" s="220"/>
      <c r="G51" s="220">
        <f t="shared" ref="G51:G58" si="4">ROUND(SUM(C51:F51),2)</f>
        <v>7.03</v>
      </c>
      <c r="H51" s="228"/>
      <c r="I51" s="228"/>
      <c r="J51" s="228"/>
      <c r="K51" s="228"/>
      <c r="L51" s="228"/>
      <c r="M51" s="228"/>
    </row>
    <row r="52" spans="1:13" ht="20.100000000000001" customHeight="1" x14ac:dyDescent="0.25">
      <c r="A52" s="207"/>
      <c r="B52" s="220" t="s">
        <v>159</v>
      </c>
      <c r="C52" s="220">
        <v>5.69</v>
      </c>
      <c r="D52" s="220">
        <v>4.25</v>
      </c>
      <c r="E52" s="220">
        <v>5.17</v>
      </c>
      <c r="F52" s="220"/>
      <c r="G52" s="220">
        <f t="shared" si="4"/>
        <v>15.11</v>
      </c>
      <c r="H52" s="228"/>
      <c r="I52" s="228"/>
      <c r="J52" s="228"/>
      <c r="K52" s="228"/>
      <c r="L52" s="228"/>
      <c r="M52" s="228"/>
    </row>
    <row r="53" spans="1:13" ht="20.100000000000001" customHeight="1" x14ac:dyDescent="0.25">
      <c r="A53" s="207"/>
      <c r="B53" s="220" t="s">
        <v>162</v>
      </c>
      <c r="C53" s="220">
        <v>6.67</v>
      </c>
      <c r="D53" s="220">
        <v>5.77</v>
      </c>
      <c r="E53" s="220">
        <v>4.3899999999999997</v>
      </c>
      <c r="F53" s="220"/>
      <c r="G53" s="220">
        <f t="shared" si="4"/>
        <v>16.829999999999998</v>
      </c>
      <c r="H53" s="228"/>
      <c r="I53" s="228"/>
      <c r="J53" s="228"/>
      <c r="K53" s="228"/>
      <c r="L53" s="228"/>
      <c r="M53" s="228"/>
    </row>
    <row r="54" spans="1:13" ht="20.100000000000001" customHeight="1" x14ac:dyDescent="0.25">
      <c r="A54" s="207"/>
      <c r="B54" s="220" t="s">
        <v>273</v>
      </c>
      <c r="C54" s="220">
        <v>7.03</v>
      </c>
      <c r="D54" s="220"/>
      <c r="E54" s="220"/>
      <c r="F54" s="220"/>
      <c r="G54" s="220">
        <f t="shared" si="4"/>
        <v>7.03</v>
      </c>
      <c r="H54" s="228"/>
      <c r="I54" s="228"/>
      <c r="J54" s="228"/>
      <c r="K54" s="228"/>
      <c r="L54" s="228"/>
      <c r="M54" s="228"/>
    </row>
    <row r="55" spans="1:13" ht="20.100000000000001" customHeight="1" x14ac:dyDescent="0.25">
      <c r="A55" s="207"/>
      <c r="B55" s="220" t="s">
        <v>274</v>
      </c>
      <c r="C55" s="220">
        <v>5.69</v>
      </c>
      <c r="D55" s="220">
        <v>4.25</v>
      </c>
      <c r="E55" s="220">
        <v>5.17</v>
      </c>
      <c r="F55" s="220"/>
      <c r="G55" s="220">
        <f t="shared" si="4"/>
        <v>15.11</v>
      </c>
      <c r="H55" s="228"/>
      <c r="I55" s="228"/>
      <c r="J55" s="228"/>
      <c r="K55" s="228"/>
      <c r="L55" s="228"/>
      <c r="M55" s="228"/>
    </row>
    <row r="56" spans="1:13" ht="20.100000000000001" customHeight="1" x14ac:dyDescent="0.25">
      <c r="A56" s="207"/>
      <c r="B56" s="220" t="s">
        <v>289</v>
      </c>
      <c r="C56" s="220">
        <v>4.08</v>
      </c>
      <c r="D56" s="220"/>
      <c r="E56" s="220"/>
      <c r="F56" s="220"/>
      <c r="G56" s="220">
        <f t="shared" si="4"/>
        <v>4.08</v>
      </c>
      <c r="H56" s="228"/>
      <c r="I56" s="228"/>
      <c r="J56" s="228"/>
      <c r="K56" s="228"/>
      <c r="L56" s="228"/>
      <c r="M56" s="228"/>
    </row>
    <row r="57" spans="1:13" ht="20.100000000000001" customHeight="1" x14ac:dyDescent="0.25">
      <c r="A57" s="207"/>
      <c r="B57" s="220" t="s">
        <v>290</v>
      </c>
      <c r="C57" s="220">
        <v>4.08</v>
      </c>
      <c r="D57" s="220">
        <v>4.95</v>
      </c>
      <c r="E57" s="220"/>
      <c r="F57" s="220"/>
      <c r="G57" s="220">
        <f t="shared" si="4"/>
        <v>9.0299999999999994</v>
      </c>
      <c r="H57" s="228"/>
      <c r="I57" s="228"/>
      <c r="J57" s="228"/>
      <c r="K57" s="228"/>
      <c r="L57" s="228"/>
      <c r="M57" s="228"/>
    </row>
    <row r="58" spans="1:13" ht="20.100000000000001" customHeight="1" x14ac:dyDescent="0.25">
      <c r="A58" s="207"/>
      <c r="B58" s="220" t="s">
        <v>298</v>
      </c>
      <c r="C58" s="220">
        <v>4.95</v>
      </c>
      <c r="D58" s="220"/>
      <c r="E58" s="220"/>
      <c r="F58" s="220"/>
      <c r="G58" s="220">
        <f t="shared" si="4"/>
        <v>4.95</v>
      </c>
      <c r="H58" s="228"/>
      <c r="I58" s="228"/>
      <c r="J58" s="228"/>
      <c r="K58" s="228"/>
      <c r="L58" s="228"/>
      <c r="M58" s="228"/>
    </row>
    <row r="59" spans="1:13" ht="20.100000000000001" customHeight="1" x14ac:dyDescent="0.25">
      <c r="A59" s="207"/>
      <c r="B59" s="614" t="s">
        <v>100</v>
      </c>
      <c r="C59" s="614"/>
      <c r="D59" s="614"/>
      <c r="E59" s="614"/>
      <c r="F59" s="614"/>
      <c r="G59" s="220">
        <f>ROUND(SUM(G50:G58),2)</f>
        <v>96</v>
      </c>
      <c r="H59" s="228"/>
      <c r="I59" s="228"/>
      <c r="J59" s="228"/>
      <c r="K59" s="228"/>
      <c r="L59" s="228"/>
      <c r="M59" s="228"/>
    </row>
    <row r="60" spans="1:13" ht="16.5" customHeight="1" thickBot="1" x14ac:dyDescent="0.3">
      <c r="A60" s="207"/>
      <c r="B60" s="222"/>
      <c r="C60" s="222"/>
      <c r="D60" s="222"/>
      <c r="E60" s="222"/>
      <c r="F60" s="224"/>
      <c r="G60" s="222"/>
      <c r="H60" s="228"/>
      <c r="I60" s="228"/>
      <c r="J60" s="228"/>
      <c r="K60" s="228"/>
      <c r="L60" s="228"/>
      <c r="M60" s="228"/>
    </row>
    <row r="61" spans="1:13" ht="20.100000000000001" customHeight="1" thickBot="1" x14ac:dyDescent="0.3">
      <c r="A61" s="207"/>
      <c r="B61" s="225" t="s">
        <v>100</v>
      </c>
      <c r="C61" s="226">
        <f>G59</f>
        <v>96</v>
      </c>
      <c r="D61" s="227" t="s">
        <v>12</v>
      </c>
      <c r="E61" s="228"/>
      <c r="F61" s="222"/>
      <c r="G61" s="223"/>
      <c r="H61" s="228"/>
      <c r="I61" s="228"/>
      <c r="J61" s="228"/>
      <c r="K61" s="228"/>
      <c r="L61" s="228"/>
      <c r="M61" s="228"/>
    </row>
    <row r="62" spans="1:13" ht="15" customHeight="1" x14ac:dyDescent="0.25">
      <c r="A62" s="207"/>
      <c r="B62" s="228"/>
      <c r="C62" s="228"/>
      <c r="D62" s="228"/>
      <c r="E62" s="228"/>
      <c r="F62" s="228"/>
      <c r="G62" s="228"/>
      <c r="H62" s="228"/>
      <c r="I62" s="228"/>
      <c r="J62" s="228"/>
      <c r="K62" s="228"/>
      <c r="L62" s="228"/>
      <c r="M62" s="228"/>
    </row>
    <row r="63" spans="1:13" ht="27" customHeight="1" x14ac:dyDescent="0.25">
      <c r="A63" s="192" t="str">
        <f>ORÇAMENTO!A26</f>
        <v>4.4</v>
      </c>
      <c r="B63" s="607" t="str">
        <f>ORÇAMENTO!D26</f>
        <v>GUIA (MEIO-FIO) E SARJETA CONJUGADOS DE CONCRETO, MOLDADA  IN LOCO  EM TRECHO RETO COM EXTRUSORA, 45 CM BASE (15 CM BASE DA GUIA + 30 CM BASE DA SARJETA) X 22 CM ALTURA. AF_01/2024</v>
      </c>
      <c r="C63" s="607"/>
      <c r="D63" s="607"/>
      <c r="E63" s="607"/>
      <c r="F63" s="607"/>
      <c r="G63" s="607"/>
      <c r="H63" s="607"/>
      <c r="I63" s="607"/>
      <c r="J63" s="607"/>
      <c r="K63" s="607"/>
      <c r="L63" s="607"/>
      <c r="M63" s="607"/>
    </row>
    <row r="65" spans="1:13" x14ac:dyDescent="0.25">
      <c r="B65" s="219" t="s">
        <v>102</v>
      </c>
      <c r="C65" s="353" t="s">
        <v>336</v>
      </c>
      <c r="D65" s="351"/>
      <c r="E65" s="351"/>
      <c r="F65" s="351"/>
      <c r="G65" s="324"/>
    </row>
    <row r="66" spans="1:13" x14ac:dyDescent="0.25">
      <c r="B66" s="220" t="s">
        <v>275</v>
      </c>
      <c r="C66" s="220">
        <v>43.96</v>
      </c>
      <c r="D66" s="325"/>
      <c r="E66" s="325"/>
      <c r="F66" s="325"/>
      <c r="G66" s="325"/>
    </row>
    <row r="67" spans="1:13" x14ac:dyDescent="0.25">
      <c r="B67" s="618" t="s">
        <v>285</v>
      </c>
      <c r="C67" s="220">
        <v>51.07</v>
      </c>
      <c r="D67" s="325"/>
      <c r="E67" s="325"/>
      <c r="F67" s="325"/>
      <c r="G67" s="325"/>
    </row>
    <row r="68" spans="1:13" x14ac:dyDescent="0.25">
      <c r="B68" s="619"/>
      <c r="C68" s="220">
        <v>4.5999999999999996</v>
      </c>
      <c r="D68" s="325"/>
      <c r="E68" s="325"/>
      <c r="F68" s="325"/>
      <c r="G68" s="325"/>
    </row>
    <row r="69" spans="1:13" x14ac:dyDescent="0.25">
      <c r="B69" s="620"/>
      <c r="C69" s="363">
        <v>1.5</v>
      </c>
      <c r="D69" s="325"/>
      <c r="E69" s="325"/>
      <c r="F69" s="325"/>
      <c r="G69" s="325"/>
    </row>
    <row r="70" spans="1:13" x14ac:dyDescent="0.25">
      <c r="B70" s="363" t="s">
        <v>100</v>
      </c>
      <c r="C70" s="220">
        <f>ROUND(SUM(C66:C69),2)</f>
        <v>101.13</v>
      </c>
      <c r="D70" s="352"/>
      <c r="E70" s="352"/>
      <c r="F70" s="352"/>
      <c r="G70" s="325"/>
    </row>
    <row r="71" spans="1:13" ht="15.75" thickBot="1" x14ac:dyDescent="0.3">
      <c r="B71" s="222"/>
      <c r="C71" s="222"/>
      <c r="D71" s="222"/>
      <c r="E71" s="222"/>
      <c r="F71" s="224"/>
      <c r="G71" s="222"/>
    </row>
    <row r="72" spans="1:13" ht="15.75" thickBot="1" x14ac:dyDescent="0.3">
      <c r="B72" s="225" t="s">
        <v>100</v>
      </c>
      <c r="C72" s="226">
        <f>C70</f>
        <v>101.13</v>
      </c>
      <c r="D72" s="227" t="s">
        <v>12</v>
      </c>
      <c r="E72" s="228"/>
      <c r="F72" s="222"/>
      <c r="G72" s="223"/>
    </row>
    <row r="74" spans="1:13" ht="21.75" customHeight="1" x14ac:dyDescent="0.25">
      <c r="A74" s="192" t="str">
        <f>ORÇAMENTO!A27</f>
        <v>4.5</v>
      </c>
      <c r="B74" s="607" t="str">
        <f>ORÇAMENTO!D27</f>
        <v>PISO PODOTÁTIL 25X25, DIRECIONAL OU ALERTA,  EM CONCRETO E ASSENTADO COM ARGAMASSA - FORNECIMENTO E INSTALAÇÃO</v>
      </c>
      <c r="C74" s="607"/>
      <c r="D74" s="607"/>
      <c r="E74" s="607"/>
      <c r="F74" s="607"/>
      <c r="G74" s="607"/>
      <c r="H74" s="607"/>
      <c r="I74" s="607"/>
      <c r="J74" s="607"/>
      <c r="K74" s="607"/>
      <c r="L74" s="607"/>
      <c r="M74" s="607"/>
    </row>
    <row r="76" spans="1:13" x14ac:dyDescent="0.25">
      <c r="B76" s="219" t="s">
        <v>102</v>
      </c>
      <c r="C76" s="219" t="s">
        <v>197</v>
      </c>
      <c r="D76" s="219"/>
      <c r="E76" s="219" t="s">
        <v>75</v>
      </c>
      <c r="F76" s="219"/>
      <c r="G76" s="219" t="s">
        <v>103</v>
      </c>
      <c r="H76" s="294"/>
      <c r="I76" s="219" t="s">
        <v>101</v>
      </c>
    </row>
    <row r="77" spans="1:13" x14ac:dyDescent="0.25">
      <c r="B77" s="363" t="s">
        <v>376</v>
      </c>
      <c r="C77" s="363">
        <v>4.5</v>
      </c>
      <c r="D77" s="363" t="s">
        <v>18</v>
      </c>
      <c r="E77" s="363">
        <v>0.25</v>
      </c>
      <c r="F77" s="363" t="s">
        <v>18</v>
      </c>
      <c r="G77" s="363">
        <v>2</v>
      </c>
      <c r="H77" s="221" t="s">
        <v>19</v>
      </c>
      <c r="I77" s="363">
        <f>ROUND(C77*E77*G77,2)</f>
        <v>2.25</v>
      </c>
    </row>
    <row r="78" spans="1:13" x14ac:dyDescent="0.25">
      <c r="B78" s="363" t="s">
        <v>377</v>
      </c>
      <c r="C78" s="363">
        <v>10</v>
      </c>
      <c r="D78" s="363" t="s">
        <v>18</v>
      </c>
      <c r="E78" s="363">
        <v>0.25</v>
      </c>
      <c r="F78" s="363" t="s">
        <v>18</v>
      </c>
      <c r="G78" s="363">
        <v>2</v>
      </c>
      <c r="H78" s="221" t="s">
        <v>19</v>
      </c>
      <c r="I78" s="363">
        <f t="shared" ref="I78:I81" si="5">ROUND(C78*E78*G78,2)</f>
        <v>5</v>
      </c>
    </row>
    <row r="79" spans="1:13" x14ac:dyDescent="0.25">
      <c r="B79" s="363" t="s">
        <v>378</v>
      </c>
      <c r="C79" s="363">
        <v>3.5</v>
      </c>
      <c r="D79" s="363" t="s">
        <v>18</v>
      </c>
      <c r="E79" s="363">
        <v>0.25</v>
      </c>
      <c r="F79" s="363" t="s">
        <v>18</v>
      </c>
      <c r="G79" s="363">
        <v>2</v>
      </c>
      <c r="H79" s="221" t="s">
        <v>19</v>
      </c>
      <c r="I79" s="363">
        <f t="shared" si="5"/>
        <v>1.75</v>
      </c>
    </row>
    <row r="80" spans="1:13" x14ac:dyDescent="0.25">
      <c r="B80" s="363" t="s">
        <v>379</v>
      </c>
      <c r="C80" s="363">
        <v>1.5</v>
      </c>
      <c r="D80" s="363" t="s">
        <v>18</v>
      </c>
      <c r="E80" s="363">
        <v>0.25</v>
      </c>
      <c r="F80" s="363" t="s">
        <v>18</v>
      </c>
      <c r="G80" s="363">
        <v>2</v>
      </c>
      <c r="H80" s="221" t="s">
        <v>19</v>
      </c>
      <c r="I80" s="363">
        <f t="shared" si="5"/>
        <v>0.75</v>
      </c>
    </row>
    <row r="81" spans="2:9" x14ac:dyDescent="0.25">
      <c r="B81" s="363" t="s">
        <v>380</v>
      </c>
      <c r="C81" s="363">
        <v>1.5</v>
      </c>
      <c r="D81" s="363" t="s">
        <v>18</v>
      </c>
      <c r="E81" s="363">
        <v>0.25</v>
      </c>
      <c r="F81" s="363" t="s">
        <v>18</v>
      </c>
      <c r="G81" s="363">
        <v>2</v>
      </c>
      <c r="H81" s="221" t="s">
        <v>19</v>
      </c>
      <c r="I81" s="363">
        <f t="shared" si="5"/>
        <v>0.75</v>
      </c>
    </row>
    <row r="82" spans="2:9" x14ac:dyDescent="0.25">
      <c r="B82" s="614" t="s">
        <v>100</v>
      </c>
      <c r="C82" s="614"/>
      <c r="D82" s="614"/>
      <c r="E82" s="614"/>
      <c r="F82" s="614"/>
      <c r="G82" s="614"/>
      <c r="H82" s="614"/>
      <c r="I82" s="363">
        <f>ROUND(SUM(I77:I81),2)</f>
        <v>10.5</v>
      </c>
    </row>
    <row r="83" spans="2:9" ht="15.75" thickBot="1" x14ac:dyDescent="0.3">
      <c r="B83" s="222"/>
      <c r="C83" s="222"/>
      <c r="D83" s="222"/>
      <c r="E83" s="222"/>
      <c r="F83" s="224"/>
      <c r="G83" s="222"/>
    </row>
    <row r="84" spans="2:9" ht="15.75" thickBot="1" x14ac:dyDescent="0.3">
      <c r="B84" s="225" t="s">
        <v>100</v>
      </c>
      <c r="C84" s="226">
        <f>I82</f>
        <v>10.5</v>
      </c>
      <c r="D84" s="227" t="s">
        <v>5</v>
      </c>
      <c r="E84" s="228"/>
      <c r="F84" s="222"/>
      <c r="G84" s="223"/>
    </row>
  </sheetData>
  <mergeCells count="34">
    <mergeCell ref="B74:M74"/>
    <mergeCell ref="B82:H82"/>
    <mergeCell ref="B67:B69"/>
    <mergeCell ref="A1:M1"/>
    <mergeCell ref="A2:B2"/>
    <mergeCell ref="C2:H2"/>
    <mergeCell ref="I2:J2"/>
    <mergeCell ref="K2:M2"/>
    <mergeCell ref="A6:B6"/>
    <mergeCell ref="C6:H6"/>
    <mergeCell ref="I6:J6"/>
    <mergeCell ref="K6:M6"/>
    <mergeCell ref="A8:M8"/>
    <mergeCell ref="C4:H4"/>
    <mergeCell ref="K4:M4"/>
    <mergeCell ref="A5:B5"/>
    <mergeCell ref="C5:H5"/>
    <mergeCell ref="I5:J5"/>
    <mergeCell ref="K5:M5"/>
    <mergeCell ref="B43:F43"/>
    <mergeCell ref="A3:B3"/>
    <mergeCell ref="C3:H3"/>
    <mergeCell ref="I3:J4"/>
    <mergeCell ref="B11:M11"/>
    <mergeCell ref="K3:M3"/>
    <mergeCell ref="A4:B4"/>
    <mergeCell ref="B10:M10"/>
    <mergeCell ref="B47:M47"/>
    <mergeCell ref="B63:M63"/>
    <mergeCell ref="B27:F27"/>
    <mergeCell ref="B59:F59"/>
    <mergeCell ref="C49:F49"/>
    <mergeCell ref="B31:M31"/>
    <mergeCell ref="C33:F33"/>
  </mergeCells>
  <pageMargins left="0.511811024" right="0.511811024" top="0.78740157499999996" bottom="0.78740157499999996" header="0.31496062000000002" footer="0.31496062000000002"/>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140"/>
  <sheetViews>
    <sheetView view="pageBreakPreview" zoomScale="96" zoomScaleNormal="100" zoomScaleSheetLayoutView="96" workbookViewId="0">
      <selection activeCell="C48" sqref="C48:C53"/>
    </sheetView>
  </sheetViews>
  <sheetFormatPr defaultRowHeight="15" x14ac:dyDescent="0.25"/>
  <cols>
    <col min="1" max="1" width="8.7109375" customWidth="1"/>
    <col min="2" max="2" width="15.7109375" customWidth="1"/>
    <col min="3" max="3" width="12.5703125" customWidth="1"/>
    <col min="4" max="8" width="11.7109375" customWidth="1"/>
    <col min="9" max="9" width="11.42578125" customWidth="1"/>
    <col min="10" max="10" width="11" customWidth="1"/>
    <col min="11" max="13" width="11.7109375" customWidth="1"/>
  </cols>
  <sheetData>
    <row r="1" spans="1:13" s="1" customFormat="1" ht="60" customHeight="1" thickBot="1" x14ac:dyDescent="0.3">
      <c r="A1" s="622" t="str">
        <f>ORÇAMENTO!A1</f>
        <v>GOVERNO DO ESTADO DO PARÁ
PREFEITURA MUNICIPAL DE OURÉM
CNPJ 05.149.133/0001-48</v>
      </c>
      <c r="B1" s="622"/>
      <c r="C1" s="622"/>
      <c r="D1" s="622"/>
      <c r="E1" s="622"/>
      <c r="F1" s="622"/>
      <c r="G1" s="622"/>
      <c r="H1" s="622"/>
      <c r="I1" s="622"/>
      <c r="J1" s="622"/>
      <c r="K1" s="622"/>
      <c r="L1" s="622"/>
      <c r="M1" s="622"/>
    </row>
    <row r="2" spans="1:13" ht="24.95" customHeight="1" x14ac:dyDescent="0.25">
      <c r="A2" s="580" t="str">
        <f>ORÇAMENTO!A2</f>
        <v>Proponente:</v>
      </c>
      <c r="B2" s="581"/>
      <c r="C2" s="582" t="str">
        <f>ORÇAMENTO!C2</f>
        <v>PREFEITURA MUNICIPAL DE OURÉM</v>
      </c>
      <c r="D2" s="582"/>
      <c r="E2" s="582"/>
      <c r="F2" s="582"/>
      <c r="G2" s="582"/>
      <c r="H2" s="582"/>
      <c r="I2" s="581" t="str">
        <f>ORÇAMENTO!E2</f>
        <v>Município/UF:</v>
      </c>
      <c r="J2" s="581"/>
      <c r="K2" s="583" t="str">
        <f>ORÇAMENTO!G2</f>
        <v>OURÉM/PA</v>
      </c>
      <c r="L2" s="584"/>
      <c r="M2" s="585"/>
    </row>
    <row r="3" spans="1:13" ht="30" customHeight="1" x14ac:dyDescent="0.25">
      <c r="A3" s="586" t="str">
        <f>ORÇAMENTO!A3</f>
        <v>Objeto:</v>
      </c>
      <c r="B3" s="587"/>
      <c r="C3" s="588" t="str">
        <f>ORÇAMENTO!C3</f>
        <v>RECONSTRUÇÃO DA PRAÇA PURAQUEQUARINHA NO MUNICÍPIO DE OURÉM/PA</v>
      </c>
      <c r="D3" s="588"/>
      <c r="E3" s="588"/>
      <c r="F3" s="588"/>
      <c r="G3" s="588"/>
      <c r="H3" s="588"/>
      <c r="I3" s="587" t="str">
        <f>ORÇAMENTO!E3</f>
        <v>Data Base:</v>
      </c>
      <c r="J3" s="587"/>
      <c r="K3" s="589" t="str">
        <f>ORÇAMENTO!G3</f>
        <v>SINAPI JANEIRO 2024 - DESONERADO</v>
      </c>
      <c r="L3" s="589"/>
      <c r="M3" s="590"/>
    </row>
    <row r="4" spans="1:13" ht="30" customHeight="1" x14ac:dyDescent="0.25">
      <c r="A4" s="586" t="str">
        <f>ORÇAMENTO!A4</f>
        <v>Endereço Da Obra:</v>
      </c>
      <c r="B4" s="587"/>
      <c r="C4" s="588" t="str">
        <f>ORÇAMENTO!C4</f>
        <v>AV. PRINCIPAL, S/N, VILA PURAQUEQUARINHA, OURÉM, PA</v>
      </c>
      <c r="D4" s="588"/>
      <c r="E4" s="588"/>
      <c r="F4" s="588"/>
      <c r="G4" s="588"/>
      <c r="H4" s="588"/>
      <c r="I4" s="587"/>
      <c r="J4" s="587"/>
      <c r="K4" s="589" t="str">
        <f>ORÇAMENTO!G4</f>
        <v>SEOP FEVEREIRO 2024 - DESONERADO</v>
      </c>
      <c r="L4" s="589"/>
      <c r="M4" s="590"/>
    </row>
    <row r="5" spans="1:13" ht="24.95" customHeight="1" x14ac:dyDescent="0.25">
      <c r="A5" s="600" t="str">
        <f>ORÇAMENTO!A5</f>
        <v>Valor:</v>
      </c>
      <c r="B5" s="601"/>
      <c r="C5" s="602">
        <f>ORÇAMENTO!C5</f>
        <v>341934.37</v>
      </c>
      <c r="D5" s="602"/>
      <c r="E5" s="602"/>
      <c r="F5" s="602"/>
      <c r="G5" s="602"/>
      <c r="H5" s="602"/>
      <c r="I5" s="594" t="str">
        <f>ORÇAMENTO!E5</f>
        <v>BDI - Serviços</v>
      </c>
      <c r="J5" s="594"/>
      <c r="K5" s="596">
        <f>ORÇAMENTO!G5</f>
        <v>0.29769428939090381</v>
      </c>
      <c r="L5" s="596"/>
      <c r="M5" s="597"/>
    </row>
    <row r="6" spans="1:13" ht="24.95" customHeight="1" thickBot="1" x14ac:dyDescent="0.3">
      <c r="A6" s="603" t="str">
        <f>ORÇAMENTO!A6</f>
        <v xml:space="preserve">Responsável Técnico:    </v>
      </c>
      <c r="B6" s="604"/>
      <c r="C6" s="605" t="str">
        <f>ORÇAMENTO!C6</f>
        <v>MARUZA BAPTISTA</v>
      </c>
      <c r="D6" s="605"/>
      <c r="E6" s="605"/>
      <c r="F6" s="605"/>
      <c r="G6" s="605"/>
      <c r="H6" s="605"/>
      <c r="I6" s="595" t="str">
        <f>ORÇAMENTO!E6</f>
        <v xml:space="preserve">Registro Profissional:  </v>
      </c>
      <c r="J6" s="595"/>
      <c r="K6" s="598" t="str">
        <f>ORÇAMENTO!G6</f>
        <v>CAU: 28510-2 A</v>
      </c>
      <c r="L6" s="598"/>
      <c r="M6" s="599"/>
    </row>
    <row r="7" spans="1:13" ht="16.5" thickBot="1" x14ac:dyDescent="0.3">
      <c r="A7" s="232"/>
      <c r="B7" s="14"/>
      <c r="C7" s="14"/>
      <c r="D7" s="14"/>
      <c r="E7" s="14"/>
      <c r="F7" s="14"/>
      <c r="G7" s="14"/>
      <c r="H7" s="14"/>
      <c r="I7" s="14"/>
      <c r="J7" s="14"/>
      <c r="K7" s="14"/>
      <c r="L7" s="14"/>
      <c r="M7" s="14"/>
    </row>
    <row r="8" spans="1:13" ht="15.75" thickBot="1" x14ac:dyDescent="0.3">
      <c r="A8" s="591" t="s">
        <v>201</v>
      </c>
      <c r="B8" s="592"/>
      <c r="C8" s="592"/>
      <c r="D8" s="592"/>
      <c r="E8" s="592"/>
      <c r="F8" s="592"/>
      <c r="G8" s="592"/>
      <c r="H8" s="592"/>
      <c r="I8" s="592"/>
      <c r="J8" s="592"/>
      <c r="K8" s="592"/>
      <c r="L8" s="592"/>
      <c r="M8" s="593"/>
    </row>
    <row r="9" spans="1:13" ht="15.75" x14ac:dyDescent="0.25">
      <c r="A9" s="232"/>
      <c r="B9" s="14"/>
      <c r="C9" s="14"/>
      <c r="D9" s="14"/>
      <c r="E9" s="14"/>
      <c r="F9" s="14"/>
      <c r="G9" s="14"/>
      <c r="H9" s="14"/>
      <c r="I9" s="14"/>
      <c r="J9" s="14"/>
      <c r="K9" s="14"/>
      <c r="L9" s="14"/>
      <c r="M9" s="14"/>
    </row>
    <row r="10" spans="1:13" x14ac:dyDescent="0.25">
      <c r="A10" s="110">
        <f>ORÇAMENTO!A28</f>
        <v>5</v>
      </c>
      <c r="B10" s="101" t="str">
        <f>ORÇAMENTO!D28</f>
        <v>URBANIZAÇÃO</v>
      </c>
      <c r="C10" s="103"/>
      <c r="D10" s="104"/>
      <c r="E10" s="103"/>
      <c r="F10" s="103"/>
      <c r="G10" s="104"/>
      <c r="H10" s="103"/>
      <c r="I10" s="103"/>
      <c r="J10" s="104"/>
      <c r="K10" s="103"/>
      <c r="L10" s="103"/>
      <c r="M10" s="104"/>
    </row>
    <row r="11" spans="1:13" x14ac:dyDescent="0.25">
      <c r="A11" s="110" t="str">
        <f>ORÇAMENTO!A29</f>
        <v>5.1</v>
      </c>
      <c r="B11" s="101" t="str">
        <f>ORÇAMENTO!D29</f>
        <v>PAISAGISMO</v>
      </c>
      <c r="C11" s="103"/>
      <c r="D11" s="104"/>
      <c r="E11" s="103"/>
      <c r="F11" s="103"/>
      <c r="G11" s="104"/>
      <c r="H11" s="103"/>
      <c r="I11" s="103"/>
      <c r="J11" s="104"/>
      <c r="K11" s="103"/>
      <c r="L11" s="103"/>
      <c r="M11" s="104"/>
    </row>
    <row r="12" spans="1:13" x14ac:dyDescent="0.25">
      <c r="A12" s="110" t="str">
        <f>ORÇAMENTO!A30</f>
        <v>5.1.1</v>
      </c>
      <c r="B12" s="101" t="str">
        <f>ORÇAMENTO!D30</f>
        <v xml:space="preserve">PLANTIO DE GRAMA (INCL. TERRA PRETA) </v>
      </c>
      <c r="C12" s="103"/>
      <c r="D12" s="104"/>
      <c r="E12" s="103"/>
      <c r="F12" s="103"/>
      <c r="G12" s="104"/>
      <c r="H12" s="103"/>
      <c r="I12" s="103"/>
      <c r="J12" s="104"/>
      <c r="K12" s="103"/>
      <c r="L12" s="103"/>
      <c r="M12" s="104"/>
    </row>
    <row r="13" spans="1:13" x14ac:dyDescent="0.25">
      <c r="A13" s="110"/>
      <c r="B13" s="101"/>
      <c r="C13" s="103"/>
      <c r="D13" s="104"/>
      <c r="E13" s="103"/>
      <c r="F13" s="103"/>
      <c r="G13" s="104"/>
      <c r="H13" s="103"/>
      <c r="I13" s="103"/>
      <c r="J13" s="104"/>
      <c r="K13" s="103"/>
      <c r="L13" s="103"/>
      <c r="M13" s="104"/>
    </row>
    <row r="14" spans="1:13" ht="20.100000000000001" customHeight="1" x14ac:dyDescent="0.25">
      <c r="A14" s="110"/>
      <c r="B14" s="256" t="s">
        <v>102</v>
      </c>
      <c r="C14" s="273" t="s">
        <v>161</v>
      </c>
      <c r="D14" s="239"/>
      <c r="E14" s="239"/>
      <c r="F14" s="239"/>
      <c r="G14" s="239"/>
      <c r="H14" s="103"/>
      <c r="I14" s="103"/>
      <c r="J14" s="104"/>
      <c r="K14" s="103"/>
      <c r="L14" s="103"/>
      <c r="M14" s="104"/>
    </row>
    <row r="15" spans="1:13" ht="20.100000000000001" customHeight="1" x14ac:dyDescent="0.25">
      <c r="A15" s="110"/>
      <c r="B15" s="242" t="s">
        <v>139</v>
      </c>
      <c r="C15" s="137">
        <v>47.64</v>
      </c>
      <c r="D15" s="239"/>
      <c r="E15" s="379"/>
      <c r="F15" s="239"/>
      <c r="G15" s="240"/>
      <c r="H15" s="102"/>
      <c r="I15" s="103"/>
      <c r="J15" s="104"/>
      <c r="K15" s="103"/>
      <c r="L15" s="103"/>
      <c r="M15" s="104"/>
    </row>
    <row r="16" spans="1:13" ht="20.100000000000001" customHeight="1" x14ac:dyDescent="0.25">
      <c r="A16" s="110"/>
      <c r="B16" s="242" t="s">
        <v>162</v>
      </c>
      <c r="C16" s="137">
        <v>47.64</v>
      </c>
      <c r="D16" s="239"/>
      <c r="E16" s="379"/>
      <c r="F16" s="239"/>
      <c r="G16" s="240"/>
      <c r="H16" s="102"/>
      <c r="I16" s="103"/>
      <c r="J16" s="104"/>
      <c r="K16" s="103"/>
      <c r="L16" s="103"/>
      <c r="M16" s="104"/>
    </row>
    <row r="17" spans="1:13" ht="20.100000000000001" customHeight="1" x14ac:dyDescent="0.25">
      <c r="A17" s="110"/>
      <c r="B17" s="242" t="s">
        <v>274</v>
      </c>
      <c r="C17" s="137">
        <v>47.75</v>
      </c>
      <c r="D17" s="239"/>
      <c r="E17" s="379"/>
      <c r="F17" s="239"/>
      <c r="G17" s="240"/>
      <c r="H17" s="102"/>
      <c r="I17" s="103"/>
      <c r="J17" s="104"/>
      <c r="K17" s="103"/>
      <c r="L17" s="103"/>
      <c r="M17" s="104"/>
    </row>
    <row r="18" spans="1:13" ht="20.100000000000001" customHeight="1" x14ac:dyDescent="0.25">
      <c r="A18" s="110"/>
      <c r="B18" s="242" t="s">
        <v>297</v>
      </c>
      <c r="C18" s="137">
        <v>19.05</v>
      </c>
      <c r="D18" s="239"/>
      <c r="E18" s="379"/>
      <c r="F18" s="239"/>
      <c r="G18" s="240"/>
      <c r="H18" s="102"/>
      <c r="I18" s="103"/>
      <c r="J18" s="104"/>
      <c r="K18" s="103"/>
      <c r="L18" s="103"/>
      <c r="M18" s="104"/>
    </row>
    <row r="19" spans="1:13" ht="20.100000000000001" customHeight="1" x14ac:dyDescent="0.25">
      <c r="A19" s="110"/>
      <c r="B19" s="242" t="s">
        <v>288</v>
      </c>
      <c r="C19" s="137">
        <v>12.85</v>
      </c>
      <c r="D19" s="239"/>
      <c r="E19" s="379"/>
      <c r="F19" s="239"/>
      <c r="G19" s="240"/>
      <c r="H19" s="102"/>
      <c r="I19" s="103"/>
      <c r="J19" s="104"/>
      <c r="K19" s="103"/>
      <c r="L19" s="103"/>
      <c r="M19" s="104"/>
    </row>
    <row r="20" spans="1:13" ht="20.100000000000001" customHeight="1" x14ac:dyDescent="0.25">
      <c r="A20" s="110"/>
      <c r="B20" s="242" t="s">
        <v>289</v>
      </c>
      <c r="C20" s="137">
        <v>43.48</v>
      </c>
      <c r="D20" s="239"/>
      <c r="E20" s="379"/>
      <c r="F20" s="239"/>
      <c r="G20" s="240"/>
      <c r="H20" s="102"/>
      <c r="I20" s="103"/>
      <c r="J20" s="104"/>
      <c r="K20" s="103"/>
      <c r="L20" s="103"/>
      <c r="M20" s="104"/>
    </row>
    <row r="21" spans="1:13" ht="20.100000000000001" customHeight="1" x14ac:dyDescent="0.25">
      <c r="A21" s="110"/>
      <c r="B21" s="242" t="s">
        <v>290</v>
      </c>
      <c r="C21" s="137">
        <v>106.35</v>
      </c>
      <c r="D21" s="239"/>
      <c r="E21" s="379"/>
      <c r="F21" s="239"/>
      <c r="G21" s="240"/>
      <c r="H21" s="102"/>
      <c r="I21" s="103"/>
      <c r="J21" s="104"/>
      <c r="K21" s="103"/>
      <c r="L21" s="103"/>
      <c r="M21" s="104"/>
    </row>
    <row r="22" spans="1:13" ht="20.100000000000001" customHeight="1" x14ac:dyDescent="0.25">
      <c r="A22" s="110"/>
      <c r="B22" s="242" t="s">
        <v>298</v>
      </c>
      <c r="C22" s="137">
        <v>22.71</v>
      </c>
      <c r="D22" s="239"/>
      <c r="E22" s="379"/>
      <c r="F22" s="239"/>
      <c r="G22" s="240"/>
      <c r="H22" s="102"/>
      <c r="I22" s="103"/>
      <c r="J22" s="104"/>
      <c r="K22" s="103"/>
      <c r="L22" s="103"/>
      <c r="M22" s="104"/>
    </row>
    <row r="23" spans="1:13" ht="20.100000000000001" customHeight="1" x14ac:dyDescent="0.25">
      <c r="A23" s="110"/>
      <c r="B23" s="243" t="s">
        <v>100</v>
      </c>
      <c r="C23" s="163">
        <f>ROUND(SUM(C15:C22),2)</f>
        <v>347.47</v>
      </c>
      <c r="D23" s="241"/>
      <c r="E23" s="380"/>
      <c r="F23" s="241"/>
      <c r="G23" s="240"/>
      <c r="H23" s="103"/>
      <c r="I23" s="103"/>
      <c r="J23" s="104"/>
      <c r="K23" s="103"/>
      <c r="L23" s="103"/>
      <c r="M23" s="104"/>
    </row>
    <row r="24" spans="1:13" x14ac:dyDescent="0.25">
      <c r="A24" s="110"/>
      <c r="B24" s="101"/>
      <c r="C24" s="103"/>
      <c r="D24" s="104"/>
      <c r="E24" s="103"/>
      <c r="F24" s="103"/>
      <c r="G24" s="104"/>
      <c r="H24" s="103"/>
      <c r="I24" s="103"/>
      <c r="J24" s="104"/>
      <c r="K24" s="103"/>
      <c r="L24" s="103"/>
      <c r="M24" s="104"/>
    </row>
    <row r="25" spans="1:13" ht="33" customHeight="1" x14ac:dyDescent="0.25">
      <c r="A25" s="110"/>
      <c r="B25" s="273" t="s">
        <v>117</v>
      </c>
      <c r="C25" s="273"/>
      <c r="D25" s="273" t="s">
        <v>141</v>
      </c>
      <c r="E25" s="273"/>
      <c r="F25" s="273" t="s">
        <v>101</v>
      </c>
      <c r="H25" s="103"/>
      <c r="I25" s="103"/>
      <c r="J25" s="104"/>
      <c r="K25" s="103"/>
      <c r="L25" s="103"/>
      <c r="M25" s="104"/>
    </row>
    <row r="26" spans="1:13" x14ac:dyDescent="0.25">
      <c r="A26" s="110"/>
      <c r="B26" s="137">
        <f>C23</f>
        <v>347.47</v>
      </c>
      <c r="C26" s="75" t="s">
        <v>140</v>
      </c>
      <c r="D26" s="170">
        <f>SUM(C37:C40,C48:C53)</f>
        <v>55.15</v>
      </c>
      <c r="E26" s="75" t="s">
        <v>19</v>
      </c>
      <c r="F26" s="137">
        <f>ROUND(B26-D26,2)</f>
        <v>292.32</v>
      </c>
      <c r="H26" s="103"/>
      <c r="I26" s="103"/>
      <c r="J26" s="104"/>
      <c r="K26" s="103"/>
      <c r="L26" s="103"/>
      <c r="M26" s="104"/>
    </row>
    <row r="27" spans="1:13" ht="15.75" thickBot="1" x14ac:dyDescent="0.3">
      <c r="A27" s="110"/>
      <c r="B27" s="101"/>
      <c r="C27" s="103"/>
      <c r="D27" s="104"/>
      <c r="E27" s="103"/>
      <c r="F27" s="103"/>
      <c r="G27" s="104"/>
      <c r="H27" s="103"/>
      <c r="I27" s="103"/>
      <c r="J27" s="104"/>
      <c r="K27" s="103"/>
      <c r="L27" s="103"/>
      <c r="M27" s="104"/>
    </row>
    <row r="28" spans="1:13" ht="15.75" thickBot="1" x14ac:dyDescent="0.3">
      <c r="A28" s="110"/>
      <c r="B28" s="139" t="s">
        <v>100</v>
      </c>
      <c r="C28" s="140">
        <f>ROUND(SUM(F26:F26),2)</f>
        <v>292.32</v>
      </c>
      <c r="D28" s="135" t="s">
        <v>5</v>
      </c>
      <c r="E28" s="103"/>
      <c r="F28" s="103"/>
      <c r="G28" s="104"/>
      <c r="H28" s="103"/>
      <c r="I28" s="103"/>
      <c r="J28" s="104"/>
      <c r="K28" s="103"/>
      <c r="L28" s="103"/>
      <c r="M28" s="104"/>
    </row>
    <row r="29" spans="1:13" x14ac:dyDescent="0.25">
      <c r="A29" s="110"/>
      <c r="B29" s="101"/>
      <c r="C29" s="103"/>
      <c r="D29" s="104"/>
      <c r="E29" s="103"/>
      <c r="F29" s="103"/>
      <c r="G29" s="104"/>
      <c r="H29" s="103"/>
      <c r="I29" s="103"/>
      <c r="J29" s="104"/>
      <c r="K29" s="103"/>
      <c r="L29" s="103"/>
      <c r="M29" s="104"/>
    </row>
    <row r="30" spans="1:13" x14ac:dyDescent="0.25">
      <c r="A30" s="110" t="str">
        <f>ORÇAMENTO!A31</f>
        <v>5.1.2</v>
      </c>
      <c r="B30" s="101" t="str">
        <f>ORÇAMENTO!D31</f>
        <v>APLICAÇÃO DE ADUBO EM SOLO. AF_05/2018</v>
      </c>
      <c r="C30" s="103"/>
      <c r="D30" s="104"/>
      <c r="E30" s="103"/>
      <c r="F30" s="103"/>
      <c r="G30" s="104"/>
      <c r="H30" s="103"/>
      <c r="I30" s="103"/>
      <c r="J30" s="104"/>
      <c r="K30" s="103"/>
      <c r="L30" s="103"/>
      <c r="M30" s="104"/>
    </row>
    <row r="31" spans="1:13" ht="15.75" thickBot="1" x14ac:dyDescent="0.3">
      <c r="A31" s="110"/>
      <c r="B31" s="101"/>
      <c r="C31" s="103"/>
      <c r="D31" s="104"/>
      <c r="E31" s="103"/>
      <c r="F31" s="103"/>
      <c r="G31" s="104"/>
      <c r="H31" s="103"/>
      <c r="I31" s="103"/>
      <c r="J31" s="104"/>
      <c r="K31" s="103"/>
      <c r="L31" s="103"/>
      <c r="M31" s="104"/>
    </row>
    <row r="32" spans="1:13" ht="15.75" thickBot="1" x14ac:dyDescent="0.3">
      <c r="A32" s="110"/>
      <c r="B32" s="139" t="s">
        <v>100</v>
      </c>
      <c r="C32" s="140">
        <f>C23</f>
        <v>347.47</v>
      </c>
      <c r="D32" s="135" t="s">
        <v>5</v>
      </c>
      <c r="E32" s="103"/>
      <c r="F32" s="103"/>
      <c r="G32" s="104"/>
      <c r="H32" s="103"/>
      <c r="I32" s="103"/>
      <c r="J32" s="104"/>
      <c r="K32" s="103"/>
      <c r="L32" s="103"/>
      <c r="M32" s="104"/>
    </row>
    <row r="33" spans="1:13" x14ac:dyDescent="0.25">
      <c r="A33" s="110"/>
      <c r="B33" s="101"/>
      <c r="C33" s="103"/>
      <c r="D33" s="104"/>
      <c r="E33" s="103"/>
      <c r="F33" s="103"/>
      <c r="G33" s="104"/>
      <c r="H33" s="103"/>
      <c r="I33" s="103"/>
      <c r="J33" s="104"/>
      <c r="K33" s="103"/>
      <c r="L33" s="103"/>
      <c r="M33" s="104"/>
    </row>
    <row r="34" spans="1:13" x14ac:dyDescent="0.25">
      <c r="A34" s="110" t="str">
        <f>ORÇAMENTO!A32</f>
        <v>5.1.3</v>
      </c>
      <c r="B34" s="101" t="str">
        <f>ORÇAMENTO!D32</f>
        <v>FORNECIMENTO E INSTALAÇÃO MUDA DE DIANELA</v>
      </c>
      <c r="C34" s="99"/>
      <c r="D34" s="99"/>
      <c r="E34" s="103"/>
      <c r="F34" s="103"/>
      <c r="G34" s="104"/>
      <c r="H34" s="103"/>
      <c r="I34" s="103"/>
      <c r="J34" s="104"/>
      <c r="K34" s="103"/>
      <c r="L34" s="103"/>
      <c r="M34" s="104"/>
    </row>
    <row r="35" spans="1:13" x14ac:dyDescent="0.25">
      <c r="A35" s="110"/>
      <c r="B35" s="101"/>
      <c r="C35" s="99"/>
      <c r="D35" s="99"/>
      <c r="E35" s="103"/>
      <c r="F35" s="103"/>
      <c r="G35" s="104"/>
      <c r="H35" s="103"/>
      <c r="I35" s="103"/>
      <c r="J35" s="104"/>
      <c r="K35" s="103"/>
      <c r="L35" s="103"/>
      <c r="M35" s="104"/>
    </row>
    <row r="36" spans="1:13" ht="30" x14ac:dyDescent="0.25">
      <c r="A36" s="110"/>
      <c r="B36" s="274" t="s">
        <v>102</v>
      </c>
      <c r="C36" s="273" t="s">
        <v>105</v>
      </c>
      <c r="D36" s="273"/>
      <c r="E36" s="273" t="s">
        <v>206</v>
      </c>
      <c r="F36" s="273"/>
      <c r="G36" s="273" t="s">
        <v>100</v>
      </c>
      <c r="H36" s="103"/>
      <c r="I36" s="103"/>
      <c r="J36" s="104"/>
      <c r="K36" s="103"/>
      <c r="L36" s="103"/>
      <c r="M36" s="104"/>
    </row>
    <row r="37" spans="1:13" ht="20.100000000000001" customHeight="1" x14ac:dyDescent="0.25">
      <c r="A37" s="110"/>
      <c r="B37" s="136" t="s">
        <v>139</v>
      </c>
      <c r="C37" s="137">
        <v>7.97</v>
      </c>
      <c r="D37" s="75" t="s">
        <v>18</v>
      </c>
      <c r="E37" s="138">
        <v>25</v>
      </c>
      <c r="F37" s="75" t="s">
        <v>19</v>
      </c>
      <c r="G37" s="137">
        <f>ROUND(C37*E37,2)</f>
        <v>199.25</v>
      </c>
      <c r="H37" s="103"/>
      <c r="I37" s="103"/>
      <c r="J37" s="104"/>
      <c r="K37" s="103"/>
      <c r="L37" s="103"/>
      <c r="M37" s="104"/>
    </row>
    <row r="38" spans="1:13" ht="20.100000000000001" customHeight="1" x14ac:dyDescent="0.25">
      <c r="A38" s="110"/>
      <c r="B38" s="136" t="s">
        <v>162</v>
      </c>
      <c r="C38" s="137">
        <v>7.76</v>
      </c>
      <c r="D38" s="75" t="s">
        <v>18</v>
      </c>
      <c r="E38" s="138">
        <v>25</v>
      </c>
      <c r="F38" s="75" t="s">
        <v>19</v>
      </c>
      <c r="G38" s="137">
        <f t="shared" ref="G38:G40" si="0">ROUND(C38*E38,2)</f>
        <v>194</v>
      </c>
      <c r="H38" s="103"/>
      <c r="I38" s="103"/>
      <c r="J38" s="104"/>
      <c r="K38" s="103"/>
      <c r="L38" s="103"/>
      <c r="M38" s="104"/>
    </row>
    <row r="39" spans="1:13" ht="20.100000000000001" customHeight="1" x14ac:dyDescent="0.25">
      <c r="A39" s="110"/>
      <c r="B39" s="136" t="s">
        <v>274</v>
      </c>
      <c r="C39" s="137">
        <v>7.14</v>
      </c>
      <c r="D39" s="75" t="s">
        <v>18</v>
      </c>
      <c r="E39" s="138">
        <v>25</v>
      </c>
      <c r="F39" s="75" t="s">
        <v>19</v>
      </c>
      <c r="G39" s="137">
        <f t="shared" si="0"/>
        <v>178.5</v>
      </c>
      <c r="H39" s="103"/>
      <c r="I39" s="103"/>
      <c r="J39" s="104"/>
      <c r="K39" s="103"/>
      <c r="L39" s="103"/>
      <c r="M39" s="104"/>
    </row>
    <row r="40" spans="1:13" ht="20.100000000000001" customHeight="1" x14ac:dyDescent="0.25">
      <c r="A40" s="110"/>
      <c r="B40" s="136" t="s">
        <v>297</v>
      </c>
      <c r="C40" s="137">
        <v>1.76</v>
      </c>
      <c r="D40" s="75" t="s">
        <v>18</v>
      </c>
      <c r="E40" s="138">
        <v>25</v>
      </c>
      <c r="F40" s="75" t="s">
        <v>19</v>
      </c>
      <c r="G40" s="137">
        <f t="shared" si="0"/>
        <v>44</v>
      </c>
      <c r="H40" s="103"/>
      <c r="I40" s="103"/>
      <c r="J40" s="104"/>
      <c r="K40" s="103"/>
      <c r="L40" s="103"/>
      <c r="M40" s="104"/>
    </row>
    <row r="41" spans="1:13" ht="20.100000000000001" customHeight="1" x14ac:dyDescent="0.25">
      <c r="A41" s="110"/>
      <c r="B41" s="626" t="s">
        <v>100</v>
      </c>
      <c r="C41" s="627"/>
      <c r="D41" s="627"/>
      <c r="E41" s="627"/>
      <c r="F41" s="628"/>
      <c r="G41" s="163">
        <f>ROUND(SUM(G37:G40),0)</f>
        <v>616</v>
      </c>
      <c r="H41" s="103"/>
      <c r="I41" s="103"/>
      <c r="J41" s="104"/>
      <c r="K41" s="103"/>
      <c r="L41" s="103"/>
      <c r="M41" s="104"/>
    </row>
    <row r="42" spans="1:13" ht="15.75" thickBot="1" x14ac:dyDescent="0.3">
      <c r="A42" s="110"/>
      <c r="B42" s="101"/>
      <c r="C42" s="99"/>
      <c r="D42" s="99"/>
      <c r="E42" s="103"/>
      <c r="F42" s="103"/>
      <c r="G42" s="104"/>
      <c r="H42" s="103"/>
      <c r="I42" s="103"/>
      <c r="J42" s="104"/>
      <c r="K42" s="103"/>
      <c r="L42" s="103"/>
      <c r="M42" s="104"/>
    </row>
    <row r="43" spans="1:13" ht="15.75" thickBot="1" x14ac:dyDescent="0.3">
      <c r="A43" s="110"/>
      <c r="B43" s="139" t="s">
        <v>100</v>
      </c>
      <c r="C43" s="140">
        <f>G41</f>
        <v>616</v>
      </c>
      <c r="D43" s="135" t="s">
        <v>10</v>
      </c>
      <c r="E43" s="103"/>
      <c r="F43" s="103"/>
      <c r="G43" s="104"/>
      <c r="H43" s="103"/>
      <c r="I43" s="103"/>
      <c r="J43" s="104"/>
      <c r="K43" s="103"/>
      <c r="L43" s="103"/>
      <c r="M43" s="104"/>
    </row>
    <row r="44" spans="1:13" x14ac:dyDescent="0.25">
      <c r="A44" s="110"/>
      <c r="B44" s="101"/>
      <c r="C44" s="99"/>
      <c r="D44" s="99"/>
      <c r="E44" s="103"/>
      <c r="F44" s="103"/>
      <c r="G44" s="104"/>
      <c r="H44" s="103"/>
      <c r="I44" s="103"/>
      <c r="J44" s="104"/>
      <c r="K44" s="103"/>
      <c r="L44" s="103"/>
      <c r="M44" s="104"/>
    </row>
    <row r="45" spans="1:13" x14ac:dyDescent="0.25">
      <c r="A45" s="110" t="str">
        <f>ORÇAMENTO!A33</f>
        <v>5.1.4</v>
      </c>
      <c r="B45" s="101" t="str">
        <f>ORÇAMENTO!D33</f>
        <v>FORNECIMENTO E INSTALAÇÃO MUDA DE PENICILINA</v>
      </c>
      <c r="C45" s="99"/>
      <c r="D45" s="99"/>
      <c r="E45" s="103"/>
      <c r="F45" s="103"/>
      <c r="G45" s="104"/>
      <c r="H45" s="103"/>
      <c r="I45" s="103"/>
      <c r="J45" s="104"/>
      <c r="K45" s="103"/>
      <c r="L45" s="103"/>
      <c r="M45" s="104"/>
    </row>
    <row r="46" spans="1:13" x14ac:dyDescent="0.25">
      <c r="A46" s="110"/>
      <c r="B46" s="101"/>
      <c r="C46" s="99"/>
      <c r="D46" s="99"/>
      <c r="E46" s="103"/>
      <c r="F46" s="103"/>
      <c r="G46" s="104"/>
      <c r="H46" s="103"/>
      <c r="I46" s="103"/>
      <c r="J46" s="104"/>
      <c r="K46" s="103"/>
      <c r="L46" s="103"/>
      <c r="M46" s="104"/>
    </row>
    <row r="47" spans="1:13" ht="30" x14ac:dyDescent="0.25">
      <c r="A47" s="110"/>
      <c r="B47" s="274" t="s">
        <v>102</v>
      </c>
      <c r="C47" s="273" t="s">
        <v>105</v>
      </c>
      <c r="D47" s="273"/>
      <c r="E47" s="273" t="s">
        <v>206</v>
      </c>
      <c r="F47" s="273"/>
      <c r="G47" s="273" t="s">
        <v>100</v>
      </c>
      <c r="H47" s="103"/>
      <c r="I47" s="103"/>
      <c r="J47" s="104"/>
      <c r="K47" s="103"/>
      <c r="L47" s="103"/>
      <c r="M47" s="104"/>
    </row>
    <row r="48" spans="1:13" ht="20.100000000000001" customHeight="1" x14ac:dyDescent="0.25">
      <c r="A48" s="110"/>
      <c r="B48" s="136" t="s">
        <v>139</v>
      </c>
      <c r="C48" s="137">
        <v>8</v>
      </c>
      <c r="D48" s="75" t="s">
        <v>18</v>
      </c>
      <c r="E48" s="138">
        <v>25</v>
      </c>
      <c r="F48" s="75" t="s">
        <v>19</v>
      </c>
      <c r="G48" s="137">
        <f>ROUND(C48*E48,2)</f>
        <v>200</v>
      </c>
      <c r="H48" s="103"/>
      <c r="I48" s="103"/>
      <c r="J48" s="104"/>
      <c r="K48" s="103"/>
      <c r="L48" s="103"/>
      <c r="M48" s="104"/>
    </row>
    <row r="49" spans="1:13" ht="20.100000000000001" customHeight="1" x14ac:dyDescent="0.25">
      <c r="A49" s="110"/>
      <c r="B49" s="136" t="s">
        <v>162</v>
      </c>
      <c r="C49" s="137">
        <v>8</v>
      </c>
      <c r="D49" s="75" t="s">
        <v>18</v>
      </c>
      <c r="E49" s="138">
        <v>25</v>
      </c>
      <c r="F49" s="75" t="s">
        <v>19</v>
      </c>
      <c r="G49" s="137">
        <f t="shared" ref="G49:G53" si="1">ROUND(C49*E49,2)</f>
        <v>200</v>
      </c>
      <c r="H49" s="103"/>
      <c r="I49" s="103"/>
      <c r="J49" s="104"/>
      <c r="K49" s="103"/>
      <c r="L49" s="103"/>
      <c r="M49" s="104"/>
    </row>
    <row r="50" spans="1:13" ht="20.100000000000001" customHeight="1" x14ac:dyDescent="0.25">
      <c r="A50" s="110"/>
      <c r="B50" s="136" t="s">
        <v>274</v>
      </c>
      <c r="C50" s="137">
        <v>7.14</v>
      </c>
      <c r="D50" s="75" t="s">
        <v>18</v>
      </c>
      <c r="E50" s="138">
        <v>25</v>
      </c>
      <c r="F50" s="75" t="s">
        <v>19</v>
      </c>
      <c r="G50" s="137">
        <f t="shared" si="1"/>
        <v>178.5</v>
      </c>
      <c r="H50" s="103"/>
      <c r="I50" s="103"/>
      <c r="J50" s="104"/>
      <c r="K50" s="103"/>
      <c r="L50" s="103"/>
      <c r="M50" s="104"/>
    </row>
    <row r="51" spans="1:13" ht="20.100000000000001" customHeight="1" x14ac:dyDescent="0.25">
      <c r="A51" s="110"/>
      <c r="B51" s="136" t="s">
        <v>297</v>
      </c>
      <c r="C51" s="137">
        <v>2.36</v>
      </c>
      <c r="D51" s="75" t="s">
        <v>18</v>
      </c>
      <c r="E51" s="138">
        <v>25</v>
      </c>
      <c r="F51" s="75" t="s">
        <v>19</v>
      </c>
      <c r="G51" s="137">
        <f t="shared" si="1"/>
        <v>59</v>
      </c>
      <c r="H51" s="103"/>
      <c r="I51" s="103"/>
      <c r="J51" s="104"/>
      <c r="K51" s="103"/>
      <c r="L51" s="103"/>
      <c r="M51" s="104"/>
    </row>
    <row r="52" spans="1:13" ht="20.100000000000001" customHeight="1" x14ac:dyDescent="0.25">
      <c r="A52" s="110"/>
      <c r="B52" s="136" t="s">
        <v>290</v>
      </c>
      <c r="C52" s="137">
        <v>2.5099999999999998</v>
      </c>
      <c r="D52" s="75" t="s">
        <v>18</v>
      </c>
      <c r="E52" s="138">
        <v>25</v>
      </c>
      <c r="F52" s="75" t="s">
        <v>19</v>
      </c>
      <c r="G52" s="137">
        <f t="shared" si="1"/>
        <v>62.75</v>
      </c>
      <c r="H52" s="103"/>
      <c r="I52" s="103"/>
      <c r="J52" s="104"/>
      <c r="K52" s="103"/>
      <c r="L52" s="103"/>
      <c r="M52" s="104"/>
    </row>
    <row r="53" spans="1:13" ht="20.100000000000001" customHeight="1" x14ac:dyDescent="0.25">
      <c r="A53" s="110"/>
      <c r="B53" s="136" t="s">
        <v>298</v>
      </c>
      <c r="C53" s="137">
        <v>2.5099999999999998</v>
      </c>
      <c r="D53" s="75" t="s">
        <v>18</v>
      </c>
      <c r="E53" s="138">
        <v>25</v>
      </c>
      <c r="F53" s="75" t="s">
        <v>19</v>
      </c>
      <c r="G53" s="137">
        <f t="shared" si="1"/>
        <v>62.75</v>
      </c>
      <c r="H53" s="103"/>
      <c r="I53" s="103"/>
      <c r="J53" s="104"/>
      <c r="K53" s="103"/>
      <c r="L53" s="103"/>
      <c r="M53" s="104"/>
    </row>
    <row r="54" spans="1:13" ht="20.100000000000001" customHeight="1" x14ac:dyDescent="0.25">
      <c r="A54" s="110"/>
      <c r="B54" s="626" t="s">
        <v>100</v>
      </c>
      <c r="C54" s="627"/>
      <c r="D54" s="627"/>
      <c r="E54" s="627"/>
      <c r="F54" s="628"/>
      <c r="G54" s="163">
        <f>ROUND(SUM(G48:G53),0)</f>
        <v>763</v>
      </c>
      <c r="H54" s="103"/>
      <c r="I54" s="103"/>
      <c r="J54" s="104"/>
      <c r="K54" s="103"/>
      <c r="L54" s="103"/>
      <c r="M54" s="104"/>
    </row>
    <row r="55" spans="1:13" ht="15.75" thickBot="1" x14ac:dyDescent="0.3">
      <c r="A55" s="110"/>
      <c r="B55" s="101"/>
      <c r="C55" s="99"/>
      <c r="D55" s="99"/>
      <c r="E55" s="103"/>
      <c r="F55" s="103"/>
      <c r="G55" s="104"/>
      <c r="H55" s="103"/>
      <c r="I55" s="103"/>
      <c r="J55" s="104"/>
      <c r="K55" s="103"/>
      <c r="L55" s="103"/>
      <c r="M55" s="104"/>
    </row>
    <row r="56" spans="1:13" ht="15.75" thickBot="1" x14ac:dyDescent="0.3">
      <c r="A56" s="110"/>
      <c r="B56" s="139" t="s">
        <v>100</v>
      </c>
      <c r="C56" s="140">
        <f>G54</f>
        <v>763</v>
      </c>
      <c r="D56" s="135" t="s">
        <v>10</v>
      </c>
      <c r="E56" s="103"/>
      <c r="F56" s="103"/>
      <c r="G56" s="104"/>
      <c r="H56" s="103"/>
      <c r="I56" s="103"/>
      <c r="J56" s="104"/>
      <c r="K56" s="103"/>
      <c r="L56" s="103"/>
      <c r="M56" s="104"/>
    </row>
    <row r="57" spans="1:13" x14ac:dyDescent="0.25">
      <c r="A57" s="110"/>
      <c r="B57" s="101"/>
      <c r="C57" s="99"/>
      <c r="D57" s="99"/>
      <c r="E57" s="103"/>
      <c r="F57" s="103"/>
      <c r="G57" s="104"/>
      <c r="H57" s="103"/>
      <c r="I57" s="103"/>
      <c r="J57" s="104"/>
      <c r="K57" s="103"/>
      <c r="L57" s="103"/>
      <c r="M57" s="104"/>
    </row>
    <row r="58" spans="1:13" x14ac:dyDescent="0.25">
      <c r="A58" s="110" t="str">
        <f>ORÇAMENTO!A34</f>
        <v>5.1.5</v>
      </c>
      <c r="B58" s="101" t="str">
        <f>ORÇAMENTO!D34</f>
        <v>FORNECIMENTO E INSTALAÇÃO LIMITADOR DE GRAMA</v>
      </c>
      <c r="C58" s="99"/>
      <c r="D58" s="99"/>
      <c r="E58" s="103"/>
      <c r="F58" s="103"/>
      <c r="G58" s="104"/>
      <c r="H58" s="103"/>
      <c r="I58" s="103"/>
      <c r="J58" s="104"/>
      <c r="K58" s="103"/>
      <c r="L58" s="103"/>
      <c r="M58" s="104"/>
    </row>
    <row r="59" spans="1:13" x14ac:dyDescent="0.25">
      <c r="A59" s="110"/>
      <c r="B59" s="101"/>
      <c r="C59" s="99"/>
      <c r="D59" s="99"/>
      <c r="E59" s="103"/>
      <c r="F59" s="103"/>
      <c r="G59" s="104"/>
      <c r="H59" s="103"/>
      <c r="I59" s="103"/>
      <c r="J59" s="104"/>
      <c r="K59" s="103"/>
      <c r="L59" s="103"/>
      <c r="M59" s="104"/>
    </row>
    <row r="60" spans="1:13" ht="20.100000000000001" customHeight="1" x14ac:dyDescent="0.25">
      <c r="A60" s="110"/>
      <c r="B60" s="274" t="s">
        <v>102</v>
      </c>
      <c r="C60" s="273" t="s">
        <v>216</v>
      </c>
      <c r="D60" s="273"/>
      <c r="E60" s="273" t="s">
        <v>103</v>
      </c>
      <c r="F60" s="273"/>
      <c r="G60" s="273" t="s">
        <v>100</v>
      </c>
      <c r="H60" s="103"/>
      <c r="I60" s="103"/>
      <c r="J60" s="104"/>
      <c r="K60" s="103"/>
      <c r="L60" s="103"/>
      <c r="M60" s="104"/>
    </row>
    <row r="61" spans="1:13" ht="20.100000000000001" customHeight="1" x14ac:dyDescent="0.25">
      <c r="A61" s="110"/>
      <c r="B61" s="136" t="s">
        <v>139</v>
      </c>
      <c r="C61" s="137">
        <f>5.72+5.69+4.64</f>
        <v>16.05</v>
      </c>
      <c r="D61" s="75" t="s">
        <v>18</v>
      </c>
      <c r="E61" s="138">
        <v>3</v>
      </c>
      <c r="F61" s="75" t="s">
        <v>19</v>
      </c>
      <c r="G61" s="137">
        <f>ROUND(C61*E61,2)</f>
        <v>48.15</v>
      </c>
      <c r="H61" s="103"/>
      <c r="I61" s="103"/>
      <c r="J61" s="104"/>
      <c r="K61" s="103"/>
      <c r="L61" s="103"/>
      <c r="M61" s="104"/>
    </row>
    <row r="62" spans="1:13" ht="20.100000000000001" customHeight="1" x14ac:dyDescent="0.25">
      <c r="A62" s="110"/>
      <c r="B62" s="136" t="s">
        <v>162</v>
      </c>
      <c r="C62" s="137">
        <f>5.71+5.84+4</f>
        <v>15.55</v>
      </c>
      <c r="D62" s="75" t="s">
        <v>18</v>
      </c>
      <c r="E62" s="138">
        <v>3</v>
      </c>
      <c r="F62" s="75" t="s">
        <v>19</v>
      </c>
      <c r="G62" s="137">
        <f t="shared" ref="G62:G66" si="2">ROUND(C62*E62,2)</f>
        <v>46.65</v>
      </c>
      <c r="H62" s="103"/>
      <c r="I62" s="103"/>
      <c r="J62" s="104"/>
      <c r="K62" s="103"/>
      <c r="L62" s="103"/>
      <c r="M62" s="104"/>
    </row>
    <row r="63" spans="1:13" ht="20.100000000000001" customHeight="1" x14ac:dyDescent="0.25">
      <c r="A63" s="110"/>
      <c r="B63" s="136" t="s">
        <v>274</v>
      </c>
      <c r="C63" s="137">
        <f>5.46+5.84+4</f>
        <v>15.3</v>
      </c>
      <c r="D63" s="75" t="s">
        <v>18</v>
      </c>
      <c r="E63" s="138">
        <v>3</v>
      </c>
      <c r="F63" s="75" t="s">
        <v>19</v>
      </c>
      <c r="G63" s="137">
        <f t="shared" si="2"/>
        <v>45.9</v>
      </c>
      <c r="H63" s="103"/>
      <c r="I63" s="103"/>
      <c r="J63" s="104"/>
      <c r="K63" s="103"/>
      <c r="L63" s="103"/>
      <c r="M63" s="104"/>
    </row>
    <row r="64" spans="1:13" ht="20.100000000000001" customHeight="1" x14ac:dyDescent="0.25">
      <c r="A64" s="110"/>
      <c r="B64" s="136" t="s">
        <v>297</v>
      </c>
      <c r="C64" s="137">
        <f>3.65+4.2</f>
        <v>7.85</v>
      </c>
      <c r="D64" s="75" t="s">
        <v>18</v>
      </c>
      <c r="E64" s="138">
        <v>3</v>
      </c>
      <c r="F64" s="75" t="s">
        <v>19</v>
      </c>
      <c r="G64" s="137">
        <f t="shared" si="2"/>
        <v>23.55</v>
      </c>
      <c r="H64" s="103"/>
      <c r="I64" s="103"/>
      <c r="J64" s="104"/>
      <c r="K64" s="103"/>
      <c r="L64" s="103"/>
      <c r="M64" s="104"/>
    </row>
    <row r="65" spans="1:13" ht="20.100000000000001" customHeight="1" x14ac:dyDescent="0.25">
      <c r="A65" s="110"/>
      <c r="B65" s="136" t="s">
        <v>290</v>
      </c>
      <c r="C65" s="137">
        <v>5.05</v>
      </c>
      <c r="D65" s="75" t="s">
        <v>18</v>
      </c>
      <c r="E65" s="138">
        <v>3</v>
      </c>
      <c r="F65" s="75" t="s">
        <v>19</v>
      </c>
      <c r="G65" s="137">
        <f t="shared" si="2"/>
        <v>15.15</v>
      </c>
      <c r="H65" s="103"/>
      <c r="I65" s="103"/>
      <c r="J65" s="104"/>
      <c r="K65" s="103"/>
      <c r="L65" s="103"/>
      <c r="M65" s="104"/>
    </row>
    <row r="66" spans="1:13" ht="20.100000000000001" customHeight="1" x14ac:dyDescent="0.25">
      <c r="A66" s="110"/>
      <c r="B66" s="136" t="s">
        <v>298</v>
      </c>
      <c r="C66" s="137">
        <v>5.05</v>
      </c>
      <c r="D66" s="75" t="s">
        <v>18</v>
      </c>
      <c r="E66" s="138">
        <v>3</v>
      </c>
      <c r="F66" s="75" t="s">
        <v>19</v>
      </c>
      <c r="G66" s="137">
        <f t="shared" si="2"/>
        <v>15.15</v>
      </c>
      <c r="H66" s="103"/>
      <c r="I66" s="103"/>
      <c r="J66" s="104"/>
      <c r="K66" s="103"/>
      <c r="L66" s="103"/>
      <c r="M66" s="104"/>
    </row>
    <row r="67" spans="1:13" ht="20.100000000000001" customHeight="1" x14ac:dyDescent="0.25">
      <c r="A67" s="110"/>
      <c r="B67" s="626" t="s">
        <v>100</v>
      </c>
      <c r="C67" s="627"/>
      <c r="D67" s="627"/>
      <c r="E67" s="627"/>
      <c r="F67" s="628"/>
      <c r="G67" s="163">
        <f>ROUND(SUM(G61:G66),2)</f>
        <v>194.55</v>
      </c>
      <c r="H67" s="103"/>
      <c r="I67" s="103"/>
      <c r="J67" s="104"/>
      <c r="K67" s="103"/>
      <c r="L67" s="103"/>
      <c r="M67" s="104"/>
    </row>
    <row r="68" spans="1:13" ht="15.75" thickBot="1" x14ac:dyDescent="0.3">
      <c r="A68" s="110"/>
      <c r="B68" s="101"/>
      <c r="C68" s="99"/>
      <c r="D68" s="99"/>
      <c r="E68" s="103"/>
      <c r="F68" s="103"/>
      <c r="G68" s="104"/>
      <c r="H68" s="103"/>
      <c r="I68" s="103"/>
      <c r="J68" s="104"/>
      <c r="K68" s="103"/>
      <c r="L68" s="103"/>
      <c r="M68" s="104"/>
    </row>
    <row r="69" spans="1:13" ht="15.75" thickBot="1" x14ac:dyDescent="0.3">
      <c r="A69" s="110"/>
      <c r="B69" s="139" t="s">
        <v>100</v>
      </c>
      <c r="C69" s="140">
        <f>G67</f>
        <v>194.55</v>
      </c>
      <c r="D69" s="135" t="s">
        <v>12</v>
      </c>
      <c r="E69" s="103"/>
      <c r="F69" s="103"/>
      <c r="G69" s="104"/>
      <c r="H69" s="103"/>
      <c r="I69" s="103"/>
      <c r="J69" s="104"/>
      <c r="K69" s="103"/>
      <c r="L69" s="103"/>
      <c r="M69" s="104"/>
    </row>
    <row r="70" spans="1:13" x14ac:dyDescent="0.25">
      <c r="A70" s="110"/>
      <c r="B70" s="101"/>
      <c r="C70" s="99"/>
      <c r="D70" s="99"/>
      <c r="E70" s="103"/>
      <c r="F70" s="103"/>
      <c r="G70" s="104"/>
      <c r="H70" s="103"/>
      <c r="I70" s="103"/>
      <c r="J70" s="104"/>
      <c r="K70" s="103"/>
      <c r="L70" s="103"/>
      <c r="M70" s="104"/>
    </row>
    <row r="71" spans="1:13" x14ac:dyDescent="0.25">
      <c r="A71" s="110" t="str">
        <f>ORÇAMENTO!A35</f>
        <v>5.2</v>
      </c>
      <c r="B71" s="101" t="str">
        <f>ORÇAMENTO!D35</f>
        <v>BANCOS</v>
      </c>
      <c r="C71" s="99"/>
      <c r="D71" s="99"/>
      <c r="E71" s="103"/>
      <c r="F71" s="103"/>
      <c r="G71" s="104"/>
      <c r="H71" s="103"/>
      <c r="I71" s="103"/>
      <c r="J71" s="104"/>
      <c r="K71" s="103"/>
      <c r="L71" s="103"/>
      <c r="M71" s="104"/>
    </row>
    <row r="72" spans="1:13" ht="34.5" customHeight="1" x14ac:dyDescent="0.25">
      <c r="A72" s="114" t="str">
        <f>ORÇAMENTO!A36</f>
        <v>5.2.1</v>
      </c>
      <c r="B72" s="629" t="str">
        <f>ORÇAMENTO!D36</f>
        <v>BANCO CURVO EM CONCRETO ARMADO 15 Mpa, ACABAMENTO EM CIMENTADO QUEIMADO, MEDINDO 6,95 X 0,50M, ESP. = 10 CM COM H=0,45M DO PISO PRONTO</v>
      </c>
      <c r="C72" s="629"/>
      <c r="D72" s="629"/>
      <c r="E72" s="629"/>
      <c r="F72" s="629"/>
      <c r="G72" s="629"/>
      <c r="H72" s="629"/>
      <c r="I72" s="629"/>
      <c r="J72" s="629"/>
      <c r="K72" s="629"/>
      <c r="L72" s="629"/>
      <c r="M72" s="629"/>
    </row>
    <row r="73" spans="1:13" ht="15.75" thickBot="1" x14ac:dyDescent="0.3">
      <c r="A73" s="114"/>
      <c r="B73" s="171"/>
      <c r="C73" s="171"/>
      <c r="D73" s="171"/>
      <c r="E73" s="171"/>
      <c r="F73" s="89"/>
      <c r="G73" s="89"/>
      <c r="H73" s="131"/>
      <c r="I73" s="131"/>
      <c r="J73" s="131"/>
      <c r="K73" s="131"/>
      <c r="L73" s="131"/>
      <c r="M73" s="131"/>
    </row>
    <row r="74" spans="1:13" ht="20.100000000000001" customHeight="1" thickBot="1" x14ac:dyDescent="0.3">
      <c r="A74" s="114"/>
      <c r="B74" s="141" t="s">
        <v>138</v>
      </c>
      <c r="C74" s="142">
        <v>2</v>
      </c>
      <c r="D74" s="143" t="s">
        <v>10</v>
      </c>
      <c r="E74" s="89"/>
      <c r="F74" s="89"/>
      <c r="G74" s="89"/>
      <c r="H74" s="131"/>
      <c r="I74" s="131"/>
      <c r="J74" s="131"/>
      <c r="K74" s="131"/>
      <c r="L74" s="131"/>
      <c r="M74" s="131"/>
    </row>
    <row r="75" spans="1:13" x14ac:dyDescent="0.25">
      <c r="A75" s="114"/>
      <c r="B75" s="131"/>
      <c r="C75" s="131"/>
      <c r="D75" s="131"/>
      <c r="E75" s="131"/>
      <c r="F75" s="131"/>
      <c r="G75" s="131"/>
      <c r="H75" s="131"/>
      <c r="I75" s="131"/>
      <c r="J75" s="131"/>
      <c r="K75" s="131"/>
      <c r="L75" s="131"/>
      <c r="M75" s="131"/>
    </row>
    <row r="76" spans="1:13" ht="32.25" customHeight="1" x14ac:dyDescent="0.25">
      <c r="A76" s="114" t="str">
        <f>ORÇAMENTO!A37</f>
        <v>5.2.2</v>
      </c>
      <c r="B76" s="629" t="str">
        <f>ORÇAMENTO!D37</f>
        <v>BANCO CURVO EM CONCRETO ARMADO 15 Mpa, ACABAMENTO EM CIMENTADO QUEIMADO, MEDINDO 5,45 X 0,50M, ESP. = 10 CM COM H=0,45M DO PISO PRONTO</v>
      </c>
      <c r="C76" s="629"/>
      <c r="D76" s="629"/>
      <c r="E76" s="629"/>
      <c r="F76" s="629"/>
      <c r="G76" s="629"/>
      <c r="H76" s="629"/>
      <c r="I76" s="629"/>
      <c r="J76" s="629"/>
      <c r="K76" s="629"/>
      <c r="L76" s="629"/>
      <c r="M76" s="629"/>
    </row>
    <row r="77" spans="1:13" ht="15.75" thickBot="1" x14ac:dyDescent="0.3">
      <c r="A77" s="114"/>
      <c r="B77" s="131"/>
      <c r="C77" s="131"/>
      <c r="D77" s="131"/>
      <c r="E77" s="131"/>
      <c r="F77" s="131"/>
      <c r="G77" s="131"/>
      <c r="H77" s="131"/>
      <c r="I77" s="131"/>
      <c r="J77" s="131"/>
      <c r="K77" s="131"/>
      <c r="L77" s="131"/>
      <c r="M77" s="131"/>
    </row>
    <row r="78" spans="1:13" ht="15.75" thickBot="1" x14ac:dyDescent="0.3">
      <c r="A78" s="114"/>
      <c r="B78" s="141" t="s">
        <v>138</v>
      </c>
      <c r="C78" s="142">
        <v>2</v>
      </c>
      <c r="D78" s="143" t="s">
        <v>10</v>
      </c>
      <c r="E78" s="131"/>
      <c r="F78" s="131"/>
      <c r="G78" s="131"/>
      <c r="H78" s="131"/>
      <c r="I78" s="131"/>
      <c r="J78" s="131"/>
      <c r="K78" s="131"/>
      <c r="L78" s="131"/>
      <c r="M78" s="131"/>
    </row>
    <row r="79" spans="1:13" x14ac:dyDescent="0.25">
      <c r="A79" s="114"/>
      <c r="B79" s="131"/>
      <c r="C79" s="131"/>
      <c r="D79" s="131"/>
      <c r="E79" s="131"/>
      <c r="F79" s="131"/>
      <c r="G79" s="131"/>
      <c r="H79" s="131"/>
      <c r="I79" s="131"/>
      <c r="J79" s="131"/>
      <c r="K79" s="131"/>
      <c r="L79" s="131"/>
      <c r="M79" s="131"/>
    </row>
    <row r="80" spans="1:13" ht="31.5" customHeight="1" x14ac:dyDescent="0.25">
      <c r="A80" s="114" t="str">
        <f>ORÇAMENTO!A38</f>
        <v>5.2.3</v>
      </c>
      <c r="B80" s="621" t="str">
        <f>ORÇAMENTO!D38</f>
        <v>BANCO CURVO EM CONCRETO ARMADO 15 Mpa, ACABAMENTO EM CIMENTADO QUEIMADO, MEDINDO 4,70 X 0,50M, ESP. = 10 CM COM H=0,45M DO PISO PRONTO</v>
      </c>
      <c r="C80" s="621"/>
      <c r="D80" s="621"/>
      <c r="E80" s="621"/>
      <c r="F80" s="621"/>
      <c r="G80" s="621"/>
      <c r="H80" s="621"/>
      <c r="I80" s="621"/>
      <c r="J80" s="621"/>
      <c r="K80" s="621"/>
      <c r="L80" s="621"/>
      <c r="M80" s="621"/>
    </row>
    <row r="81" spans="1:13" ht="15.75" thickBot="1" x14ac:dyDescent="0.3">
      <c r="A81" s="114"/>
      <c r="B81" s="131"/>
      <c r="C81" s="131"/>
      <c r="D81" s="131"/>
      <c r="E81" s="131"/>
      <c r="F81" s="131"/>
      <c r="G81" s="131"/>
      <c r="H81" s="131"/>
      <c r="I81" s="131"/>
      <c r="J81" s="131"/>
      <c r="K81" s="131"/>
      <c r="L81" s="131"/>
      <c r="M81" s="131"/>
    </row>
    <row r="82" spans="1:13" ht="15.75" thickBot="1" x14ac:dyDescent="0.3">
      <c r="A82" s="114"/>
      <c r="B82" s="141" t="s">
        <v>138</v>
      </c>
      <c r="C82" s="142">
        <v>2</v>
      </c>
      <c r="D82" s="143" t="s">
        <v>10</v>
      </c>
      <c r="E82" s="131"/>
      <c r="F82" s="131"/>
      <c r="G82" s="131"/>
      <c r="H82" s="131"/>
      <c r="I82" s="131"/>
      <c r="J82" s="131"/>
      <c r="K82" s="131"/>
      <c r="L82" s="131"/>
      <c r="M82" s="131"/>
    </row>
    <row r="83" spans="1:13" x14ac:dyDescent="0.25">
      <c r="A83" s="114"/>
      <c r="B83" s="131"/>
      <c r="C83" s="131"/>
      <c r="D83" s="131"/>
      <c r="E83" s="131"/>
      <c r="F83" s="131"/>
      <c r="G83" s="131"/>
      <c r="H83" s="131"/>
      <c r="I83" s="131"/>
      <c r="J83" s="131"/>
      <c r="K83" s="131"/>
      <c r="L83" s="131"/>
      <c r="M83" s="131"/>
    </row>
    <row r="84" spans="1:13" x14ac:dyDescent="0.25">
      <c r="A84" s="110" t="str">
        <f>ORÇAMENTO!A39</f>
        <v>5.3</v>
      </c>
      <c r="B84" s="146" t="str">
        <f>ORÇAMENTO!D39</f>
        <v>PINTURA</v>
      </c>
      <c r="C84" s="99"/>
      <c r="D84" s="99"/>
      <c r="E84" s="103"/>
      <c r="F84" s="103"/>
      <c r="G84" s="104"/>
      <c r="H84" s="103"/>
      <c r="I84" s="103"/>
      <c r="J84" s="104"/>
      <c r="K84" s="103"/>
      <c r="L84" s="103"/>
      <c r="M84" s="104"/>
    </row>
    <row r="85" spans="1:13" x14ac:dyDescent="0.25">
      <c r="A85" s="110" t="str">
        <f>ORÇAMENTO!A40</f>
        <v>5.3.1</v>
      </c>
      <c r="B85" s="625" t="str">
        <f>ORÇAMENTO!D40</f>
        <v>PINTURA DE MEIO-FIO COM TINTA BRANCA A BASE DE CAL (CAIAÇÃO). AF_05/2021</v>
      </c>
      <c r="C85" s="625"/>
      <c r="D85" s="625"/>
      <c r="E85" s="625"/>
      <c r="F85" s="625"/>
      <c r="G85" s="625"/>
      <c r="H85" s="625"/>
      <c r="I85" s="625"/>
      <c r="J85" s="625"/>
      <c r="K85" s="625"/>
      <c r="L85" s="625"/>
      <c r="M85" s="625"/>
    </row>
    <row r="86" spans="1:13" x14ac:dyDescent="0.25">
      <c r="A86" s="110"/>
      <c r="B86" s="101"/>
      <c r="C86" s="103"/>
      <c r="D86" s="104"/>
      <c r="E86" s="103"/>
      <c r="F86" s="103"/>
      <c r="G86" s="104"/>
      <c r="H86" s="103"/>
      <c r="I86" s="103"/>
      <c r="J86" s="104"/>
      <c r="K86" s="103"/>
      <c r="L86" s="103"/>
      <c r="M86" s="104"/>
    </row>
    <row r="87" spans="1:13" ht="20.100000000000001" customHeight="1" x14ac:dyDescent="0.25">
      <c r="A87" s="110"/>
      <c r="B87" s="274" t="s">
        <v>102</v>
      </c>
      <c r="C87" s="273" t="s">
        <v>216</v>
      </c>
      <c r="D87" s="104"/>
      <c r="E87" s="103"/>
      <c r="F87" s="103"/>
      <c r="G87" s="104"/>
      <c r="H87" s="103"/>
      <c r="I87" s="103"/>
      <c r="J87" s="104"/>
      <c r="K87" s="103"/>
      <c r="L87" s="103"/>
      <c r="M87" s="104"/>
    </row>
    <row r="88" spans="1:13" ht="20.100000000000001" customHeight="1" x14ac:dyDescent="0.25">
      <c r="A88" s="110"/>
      <c r="B88" s="136" t="s">
        <v>139</v>
      </c>
      <c r="C88" s="137">
        <f>'4. PAVIM.'!G34+'4. PAVIM.'!G50</f>
        <v>39.04</v>
      </c>
      <c r="D88" s="104"/>
      <c r="E88" s="103"/>
      <c r="F88" s="103"/>
      <c r="G88" s="104"/>
      <c r="H88" s="103"/>
      <c r="I88" s="103"/>
      <c r="J88" s="104"/>
      <c r="K88" s="103"/>
      <c r="L88" s="103"/>
      <c r="M88" s="104"/>
    </row>
    <row r="89" spans="1:13" ht="20.100000000000001" customHeight="1" x14ac:dyDescent="0.25">
      <c r="A89" s="110"/>
      <c r="B89" s="136" t="s">
        <v>158</v>
      </c>
      <c r="C89" s="137">
        <f>'4. PAVIM.'!G51</f>
        <v>7.03</v>
      </c>
      <c r="D89" s="104"/>
      <c r="E89" s="103"/>
      <c r="F89" s="103"/>
      <c r="G89" s="104"/>
      <c r="H89" s="103"/>
      <c r="I89" s="103"/>
      <c r="J89" s="104"/>
      <c r="K89" s="103"/>
      <c r="L89" s="103"/>
      <c r="M89" s="104"/>
    </row>
    <row r="90" spans="1:13" ht="20.100000000000001" customHeight="1" x14ac:dyDescent="0.25">
      <c r="A90" s="110"/>
      <c r="B90" s="136" t="s">
        <v>159</v>
      </c>
      <c r="C90" s="137">
        <f>'4. PAVIM.'!G35+'4. PAVIM.'!G52</f>
        <v>38</v>
      </c>
      <c r="D90" s="104"/>
      <c r="E90" s="103"/>
      <c r="F90" s="103"/>
      <c r="G90" s="104"/>
      <c r="H90" s="103"/>
      <c r="I90" s="103"/>
      <c r="J90" s="104"/>
      <c r="K90" s="103"/>
      <c r="L90" s="103"/>
      <c r="M90" s="104"/>
    </row>
    <row r="91" spans="1:13" ht="20.100000000000001" customHeight="1" x14ac:dyDescent="0.25">
      <c r="A91" s="110"/>
      <c r="B91" s="136" t="s">
        <v>162</v>
      </c>
      <c r="C91" s="137">
        <f>'4. PAVIM.'!G36+'4. PAVIM.'!G53</f>
        <v>39.04</v>
      </c>
      <c r="D91" s="104"/>
      <c r="E91" s="103"/>
      <c r="F91" s="103"/>
      <c r="G91" s="104"/>
      <c r="H91" s="103"/>
      <c r="I91" s="103"/>
      <c r="J91" s="104"/>
      <c r="K91" s="103"/>
      <c r="L91" s="103"/>
      <c r="M91" s="104"/>
    </row>
    <row r="92" spans="1:13" ht="20.100000000000001" customHeight="1" x14ac:dyDescent="0.25">
      <c r="A92" s="110"/>
      <c r="B92" s="136" t="s">
        <v>273</v>
      </c>
      <c r="C92" s="137">
        <f>'4. PAVIM.'!G54</f>
        <v>7.03</v>
      </c>
      <c r="D92" s="104"/>
      <c r="E92" s="103"/>
      <c r="F92" s="103"/>
      <c r="G92" s="104"/>
      <c r="H92" s="103"/>
      <c r="I92" s="103"/>
      <c r="J92" s="104"/>
      <c r="K92" s="103"/>
      <c r="L92" s="103"/>
      <c r="M92" s="104"/>
    </row>
    <row r="93" spans="1:13" ht="20.100000000000001" customHeight="1" x14ac:dyDescent="0.25">
      <c r="A93" s="110"/>
      <c r="B93" s="136" t="s">
        <v>274</v>
      </c>
      <c r="C93" s="137">
        <f>'4. PAVIM.'!G37+'4. PAVIM.'!G55</f>
        <v>38</v>
      </c>
      <c r="D93" s="104"/>
      <c r="E93" s="103"/>
      <c r="F93" s="103"/>
      <c r="G93" s="104"/>
      <c r="H93" s="103"/>
      <c r="I93" s="103"/>
      <c r="J93" s="104"/>
      <c r="K93" s="103"/>
      <c r="L93" s="103"/>
      <c r="M93" s="104"/>
    </row>
    <row r="94" spans="1:13" ht="20.100000000000001" customHeight="1" x14ac:dyDescent="0.25">
      <c r="A94" s="110"/>
      <c r="B94" s="136" t="s">
        <v>297</v>
      </c>
      <c r="C94" s="137">
        <f>'4. PAVIM.'!G38</f>
        <v>9.31</v>
      </c>
      <c r="D94" s="104"/>
      <c r="E94" s="103"/>
      <c r="F94" s="103"/>
      <c r="G94" s="104"/>
      <c r="H94" s="103"/>
      <c r="I94" s="103"/>
      <c r="J94" s="104"/>
      <c r="K94" s="103"/>
      <c r="L94" s="103"/>
      <c r="M94" s="104"/>
    </row>
    <row r="95" spans="1:13" ht="20.100000000000001" customHeight="1" x14ac:dyDescent="0.25">
      <c r="A95" s="110"/>
      <c r="B95" s="136" t="s">
        <v>288</v>
      </c>
      <c r="C95" s="137">
        <f>'4. PAVIM.'!G39</f>
        <v>13.22</v>
      </c>
      <c r="D95" s="104"/>
      <c r="E95" s="103"/>
      <c r="F95" s="103"/>
      <c r="G95" s="104"/>
      <c r="H95" s="103"/>
      <c r="I95" s="103"/>
      <c r="J95" s="104"/>
      <c r="K95" s="103"/>
      <c r="L95" s="103"/>
      <c r="M95" s="104"/>
    </row>
    <row r="96" spans="1:13" ht="20.100000000000001" customHeight="1" x14ac:dyDescent="0.25">
      <c r="A96" s="110"/>
      <c r="B96" s="136" t="s">
        <v>289</v>
      </c>
      <c r="C96" s="137">
        <f>'4. PAVIM.'!G40+'4. PAVIM.'!G56</f>
        <v>35.700000000000003</v>
      </c>
      <c r="D96" s="104"/>
      <c r="E96" s="103"/>
      <c r="F96" s="103"/>
      <c r="G96" s="104"/>
      <c r="H96" s="103"/>
      <c r="I96" s="103"/>
      <c r="J96" s="104"/>
      <c r="K96" s="103"/>
      <c r="L96" s="103"/>
      <c r="M96" s="104"/>
    </row>
    <row r="97" spans="1:13" ht="20.100000000000001" customHeight="1" x14ac:dyDescent="0.25">
      <c r="A97" s="110"/>
      <c r="B97" s="136" t="s">
        <v>290</v>
      </c>
      <c r="C97" s="137">
        <f>'4. PAVIM.'!G41+'4. PAVIM.'!G57</f>
        <v>58.08</v>
      </c>
      <c r="D97" s="104"/>
      <c r="E97" s="103"/>
      <c r="F97" s="103"/>
      <c r="G97" s="104"/>
      <c r="H97" s="103"/>
      <c r="I97" s="103"/>
      <c r="J97" s="104"/>
      <c r="K97" s="103"/>
      <c r="L97" s="103"/>
      <c r="M97" s="104"/>
    </row>
    <row r="98" spans="1:13" ht="20.100000000000001" customHeight="1" x14ac:dyDescent="0.25">
      <c r="A98" s="110"/>
      <c r="B98" s="136" t="s">
        <v>298</v>
      </c>
      <c r="C98" s="137">
        <f>'4. PAVIM.'!G42+'4. PAVIM.'!G58</f>
        <v>10.67</v>
      </c>
      <c r="D98" s="104"/>
      <c r="E98" s="103"/>
      <c r="F98" s="103"/>
      <c r="G98" s="104"/>
      <c r="H98" s="103"/>
      <c r="I98" s="103"/>
      <c r="J98" s="104"/>
      <c r="K98" s="103"/>
      <c r="L98" s="103"/>
      <c r="M98" s="104"/>
    </row>
    <row r="99" spans="1:13" ht="20.100000000000001" customHeight="1" x14ac:dyDescent="0.25">
      <c r="A99" s="110"/>
      <c r="B99" s="136" t="s">
        <v>275</v>
      </c>
      <c r="C99" s="137">
        <f>'4. PAVIM.'!C66</f>
        <v>43.96</v>
      </c>
      <c r="D99" s="104"/>
      <c r="E99" s="103"/>
      <c r="F99" s="103"/>
      <c r="G99" s="104"/>
      <c r="H99" s="103"/>
      <c r="I99" s="103"/>
      <c r="J99" s="104"/>
      <c r="K99" s="103"/>
      <c r="L99" s="103"/>
      <c r="M99" s="104"/>
    </row>
    <row r="100" spans="1:13" ht="20.100000000000001" customHeight="1" x14ac:dyDescent="0.25">
      <c r="A100" s="110"/>
      <c r="B100" s="136" t="s">
        <v>285</v>
      </c>
      <c r="C100" s="137">
        <f>'4. PAVIM.'!C67+'4. PAVIM.'!C68</f>
        <v>55.67</v>
      </c>
      <c r="D100" s="104"/>
      <c r="E100" s="103"/>
      <c r="F100" s="103"/>
      <c r="G100" s="104"/>
      <c r="H100" s="103"/>
      <c r="I100" s="103"/>
      <c r="J100" s="104"/>
      <c r="K100" s="103"/>
      <c r="L100" s="103"/>
      <c r="M100" s="104"/>
    </row>
    <row r="101" spans="1:13" ht="20.100000000000001" customHeight="1" x14ac:dyDescent="0.25">
      <c r="A101" s="110"/>
      <c r="B101" s="136" t="s">
        <v>100</v>
      </c>
      <c r="C101" s="137">
        <f>ROUND(SUM(C88:C100),2)</f>
        <v>394.75</v>
      </c>
      <c r="D101" s="104"/>
      <c r="E101" s="103"/>
      <c r="F101" s="103"/>
      <c r="G101" s="104"/>
      <c r="H101" s="103"/>
      <c r="I101" s="103"/>
      <c r="J101" s="104"/>
      <c r="K101" s="103"/>
      <c r="L101" s="103"/>
      <c r="M101" s="104"/>
    </row>
    <row r="102" spans="1:13" ht="15.75" thickBot="1" x14ac:dyDescent="0.3">
      <c r="A102" s="110"/>
      <c r="B102" s="110"/>
      <c r="C102" s="110"/>
      <c r="D102" s="110"/>
      <c r="E102" s="103"/>
      <c r="F102" s="103"/>
      <c r="G102" s="104"/>
      <c r="H102" s="103"/>
      <c r="I102" s="103"/>
      <c r="J102" s="104"/>
      <c r="K102" s="103"/>
      <c r="L102" s="103"/>
      <c r="M102" s="104"/>
    </row>
    <row r="103" spans="1:13" ht="15.75" thickBot="1" x14ac:dyDescent="0.3">
      <c r="A103" s="110"/>
      <c r="B103" s="141" t="s">
        <v>138</v>
      </c>
      <c r="C103" s="142">
        <f>C101</f>
        <v>394.75</v>
      </c>
      <c r="D103" s="143" t="s">
        <v>12</v>
      </c>
      <c r="E103" s="103"/>
      <c r="F103" s="103"/>
      <c r="G103" s="104"/>
      <c r="H103" s="103"/>
      <c r="I103" s="103"/>
      <c r="J103" s="104"/>
      <c r="K103" s="103"/>
      <c r="L103" s="103"/>
      <c r="M103" s="104"/>
    </row>
    <row r="104" spans="1:13" x14ac:dyDescent="0.25">
      <c r="A104" s="110"/>
      <c r="B104" s="110"/>
      <c r="C104" s="110"/>
      <c r="D104" s="110"/>
      <c r="E104" s="103"/>
      <c r="F104" s="103"/>
      <c r="G104" s="104"/>
      <c r="H104" s="103"/>
      <c r="I104" s="103"/>
      <c r="J104" s="104"/>
      <c r="K104" s="103"/>
      <c r="L104" s="103"/>
      <c r="M104" s="104"/>
    </row>
    <row r="105" spans="1:13" s="14" customFormat="1" x14ac:dyDescent="0.25">
      <c r="A105" s="102" t="str">
        <f>ORÇAMENTO!A41</f>
        <v>5.4</v>
      </c>
      <c r="B105" s="101" t="s">
        <v>64</v>
      </c>
      <c r="C105" s="103"/>
      <c r="D105" s="104"/>
      <c r="E105" s="103"/>
      <c r="F105" s="103"/>
      <c r="G105" s="104"/>
      <c r="H105" s="103"/>
      <c r="I105" s="103"/>
      <c r="J105" s="104"/>
      <c r="K105" s="103"/>
      <c r="L105" s="103"/>
      <c r="M105" s="104"/>
    </row>
    <row r="106" spans="1:13" ht="51.75" customHeight="1" x14ac:dyDescent="0.25">
      <c r="A106" s="114" t="str">
        <f>ORÇAMENTO!A42</f>
        <v>5.4.1</v>
      </c>
      <c r="B106" s="621" t="str">
        <f>ORÇAMENTO!D42</f>
        <v>FORNECIMENTO E INSTALAÇÃO DE LIXEIRA COM PERFIL "U" ESTRUTURAL 100X40MM, CESTO EM TELA MOEDA E CHAPA METÁLICA Nº18 E ACABAMENTOS LATERAIS EM RIPA EM MADEIRA 10X2, INCLUINDO BLOCO DE FUNDAÇÃO EM CONCRETO CICLÓPICO, PINTURAS EM ESMALTE SINTÉTICO E ANTIFERRUGINOSA, E ACESSÓRIOS E FIXAÇÃO</v>
      </c>
      <c r="C106" s="621"/>
      <c r="D106" s="621"/>
      <c r="E106" s="621"/>
      <c r="F106" s="621"/>
      <c r="G106" s="621"/>
      <c r="H106" s="621"/>
      <c r="I106" s="621"/>
      <c r="J106" s="621"/>
      <c r="K106" s="621"/>
      <c r="L106" s="621"/>
      <c r="M106" s="621"/>
    </row>
    <row r="107" spans="1:13" s="14" customFormat="1" x14ac:dyDescent="0.25">
      <c r="A107" s="102"/>
      <c r="B107" s="109"/>
      <c r="C107" s="623"/>
      <c r="D107" s="623"/>
      <c r="E107" s="109"/>
      <c r="F107" s="624"/>
      <c r="G107" s="624"/>
      <c r="H107" s="623"/>
      <c r="I107" s="623"/>
      <c r="J107" s="623"/>
      <c r="K107" s="623"/>
      <c r="L107" s="623"/>
      <c r="M107" s="104"/>
    </row>
    <row r="108" spans="1:13" s="14" customFormat="1" x14ac:dyDescent="0.25">
      <c r="A108" s="102"/>
      <c r="B108" s="106" t="s">
        <v>100</v>
      </c>
      <c r="C108" s="107">
        <v>10</v>
      </c>
      <c r="D108" s="108" t="s">
        <v>10</v>
      </c>
      <c r="E108" s="165"/>
      <c r="F108" s="162"/>
      <c r="G108" s="112"/>
      <c r="H108" s="112"/>
      <c r="I108" s="112"/>
      <c r="J108" s="104"/>
      <c r="K108" s="97"/>
      <c r="L108" s="104"/>
      <c r="M108" s="104"/>
    </row>
    <row r="109" spans="1:13" s="14" customFormat="1" x14ac:dyDescent="0.25">
      <c r="A109" s="102"/>
      <c r="B109" s="109"/>
      <c r="C109" s="105"/>
      <c r="D109" s="111"/>
      <c r="E109" s="111"/>
      <c r="F109" s="111"/>
      <c r="G109" s="111"/>
      <c r="H109" s="111"/>
      <c r="I109" s="111"/>
      <c r="J109" s="104"/>
      <c r="K109" s="97"/>
      <c r="L109" s="104"/>
      <c r="M109" s="104"/>
    </row>
    <row r="110" spans="1:13" s="14" customFormat="1" x14ac:dyDescent="0.25">
      <c r="A110" s="102" t="str">
        <f>ORÇAMENTO!A43</f>
        <v>5.5</v>
      </c>
      <c r="B110" s="101" t="str">
        <f>ORÇAMENTO!D43</f>
        <v>PLAYGROUND</v>
      </c>
      <c r="C110" s="105"/>
      <c r="D110" s="111"/>
      <c r="E110" s="111"/>
      <c r="F110" s="111"/>
      <c r="G110" s="111"/>
      <c r="H110" s="111"/>
      <c r="I110" s="111"/>
      <c r="J110" s="104"/>
      <c r="K110" s="97"/>
      <c r="L110" s="104"/>
      <c r="M110" s="104"/>
    </row>
    <row r="111" spans="1:13" s="14" customFormat="1" ht="63" customHeight="1" x14ac:dyDescent="0.25">
      <c r="A111" s="114" t="str">
        <f>ORÇAMENTO!A44</f>
        <v>5.5.1</v>
      </c>
      <c r="B111" s="621" t="str">
        <f>ORÇAMENTO!D44</f>
        <v>FORNECIMENTO E INSTALAÇÃO DE BRINQUEDO PARA PLAYGROUND TIPO CASTELO, COMPOSTO POR 1 ESCADA EM MADEIRA, 1 ESCORREGA EM PRANCHA DE MADEIRA - INCLUSIVE BLOCOS EM CONCRETO CICLÓPICO, LIXAMENTO DA MADEIRA E ACABAMENTO EM PINTURA VERNIZ INCOLOR</v>
      </c>
      <c r="C111" s="621"/>
      <c r="D111" s="621"/>
      <c r="E111" s="621"/>
      <c r="F111" s="621"/>
      <c r="G111" s="621"/>
      <c r="H111" s="621"/>
      <c r="I111" s="621"/>
      <c r="J111" s="621"/>
      <c r="K111" s="621"/>
      <c r="L111" s="621"/>
      <c r="M111" s="621"/>
    </row>
    <row r="112" spans="1:13" s="14" customFormat="1" x14ac:dyDescent="0.25">
      <c r="A112" s="102"/>
      <c r="B112" s="109"/>
      <c r="C112" s="105"/>
      <c r="D112" s="111"/>
      <c r="E112" s="111"/>
      <c r="F112" s="111"/>
      <c r="G112" s="111"/>
      <c r="H112" s="111"/>
      <c r="I112" s="111"/>
      <c r="J112" s="104"/>
      <c r="K112" s="97"/>
      <c r="L112" s="104"/>
      <c r="M112" s="104"/>
    </row>
    <row r="113" spans="1:13" s="14" customFormat="1" x14ac:dyDescent="0.25">
      <c r="A113" s="102"/>
      <c r="B113" s="106" t="s">
        <v>100</v>
      </c>
      <c r="C113" s="107">
        <v>1</v>
      </c>
      <c r="D113" s="108" t="s">
        <v>10</v>
      </c>
      <c r="E113" s="111"/>
      <c r="F113" s="111"/>
      <c r="G113" s="111"/>
      <c r="H113" s="111"/>
      <c r="I113" s="111"/>
      <c r="J113" s="104"/>
      <c r="K113" s="97"/>
      <c r="L113" s="104"/>
      <c r="M113" s="104"/>
    </row>
    <row r="114" spans="1:13" s="14" customFormat="1" x14ac:dyDescent="0.25">
      <c r="A114" s="102"/>
      <c r="B114" s="109"/>
      <c r="C114" s="105"/>
      <c r="D114" s="111"/>
      <c r="E114" s="111"/>
      <c r="F114" s="111"/>
      <c r="G114" s="111"/>
      <c r="H114" s="111"/>
      <c r="I114" s="111"/>
      <c r="J114" s="104"/>
      <c r="K114" s="97"/>
      <c r="L114" s="104"/>
      <c r="M114" s="104"/>
    </row>
    <row r="115" spans="1:13" s="14" customFormat="1" ht="33.75" customHeight="1" x14ac:dyDescent="0.25">
      <c r="A115" s="285" t="str">
        <f>ORÇAMENTO!A45</f>
        <v>5.5.2</v>
      </c>
      <c r="B115" s="621" t="str">
        <f>ORÇAMENTO!D45</f>
        <v>FORNECIMENTO E INSTALAÇÃO DE CARROSSEL DE 6 LUGARES, ACABAMENTO EM ESMALTE SINTÉTICO, INCLUSO BLOCOS DE FUNDAÇÃO EM CONCRETO CICLÓPICO</v>
      </c>
      <c r="C115" s="621"/>
      <c r="D115" s="621"/>
      <c r="E115" s="621"/>
      <c r="F115" s="621"/>
      <c r="G115" s="621"/>
      <c r="H115" s="621"/>
      <c r="I115" s="621"/>
      <c r="J115" s="621"/>
      <c r="K115" s="621"/>
      <c r="L115" s="621"/>
      <c r="M115" s="621"/>
    </row>
    <row r="116" spans="1:13" s="14" customFormat="1" x14ac:dyDescent="0.25">
      <c r="A116" s="102"/>
      <c r="B116" s="109"/>
      <c r="C116" s="105"/>
      <c r="D116" s="111"/>
      <c r="E116" s="111"/>
      <c r="F116" s="111"/>
      <c r="G116" s="111"/>
      <c r="H116" s="111"/>
      <c r="I116" s="111"/>
      <c r="J116" s="104"/>
      <c r="K116" s="97"/>
      <c r="L116" s="104"/>
      <c r="M116" s="104"/>
    </row>
    <row r="117" spans="1:13" s="14" customFormat="1" x14ac:dyDescent="0.25">
      <c r="A117" s="102"/>
      <c r="B117" s="106" t="s">
        <v>100</v>
      </c>
      <c r="C117" s="107">
        <v>1</v>
      </c>
      <c r="D117" s="108" t="s">
        <v>10</v>
      </c>
      <c r="E117" s="111"/>
      <c r="F117" s="111"/>
      <c r="G117" s="111"/>
      <c r="H117" s="111"/>
      <c r="I117" s="111"/>
      <c r="J117" s="104"/>
      <c r="K117" s="97"/>
      <c r="L117" s="104"/>
      <c r="M117" s="104"/>
    </row>
    <row r="118" spans="1:13" s="14" customFormat="1" x14ac:dyDescent="0.25">
      <c r="A118" s="102"/>
      <c r="B118" s="109"/>
      <c r="C118" s="105"/>
      <c r="D118" s="111"/>
      <c r="E118" s="111"/>
      <c r="F118" s="111"/>
      <c r="G118" s="111"/>
      <c r="H118" s="111"/>
      <c r="I118" s="111"/>
      <c r="J118" s="104"/>
      <c r="K118" s="97"/>
      <c r="L118" s="104"/>
      <c r="M118" s="104"/>
    </row>
    <row r="119" spans="1:13" s="14" customFormat="1" x14ac:dyDescent="0.25">
      <c r="A119" s="102" t="str">
        <f>ORÇAMENTO!A46</f>
        <v>5.5.3</v>
      </c>
      <c r="B119" s="621" t="str">
        <f>ORÇAMENTO!D46</f>
        <v>Colchão de areia e=20 cm</v>
      </c>
      <c r="C119" s="621"/>
      <c r="D119" s="621"/>
      <c r="E119" s="621"/>
      <c r="F119" s="621"/>
      <c r="G119" s="621"/>
      <c r="H119" s="621"/>
      <c r="I119" s="621"/>
      <c r="J119" s="621"/>
      <c r="K119" s="621"/>
      <c r="L119" s="621"/>
      <c r="M119" s="621"/>
    </row>
    <row r="120" spans="1:13" s="14" customFormat="1" x14ac:dyDescent="0.25">
      <c r="A120" s="102"/>
      <c r="B120" s="109"/>
      <c r="C120" s="105"/>
      <c r="D120" s="111"/>
      <c r="E120" s="111"/>
      <c r="F120" s="111"/>
      <c r="G120" s="111"/>
      <c r="H120" s="111"/>
      <c r="I120" s="111"/>
      <c r="J120" s="104"/>
      <c r="K120" s="97"/>
      <c r="L120" s="104"/>
      <c r="M120" s="104"/>
    </row>
    <row r="121" spans="1:13" s="14" customFormat="1" x14ac:dyDescent="0.25">
      <c r="A121" s="102"/>
      <c r="B121" s="274" t="s">
        <v>102</v>
      </c>
      <c r="C121" s="273" t="s">
        <v>105</v>
      </c>
      <c r="D121" s="111"/>
      <c r="E121" s="111"/>
      <c r="F121" s="111"/>
      <c r="G121" s="111"/>
      <c r="H121" s="111"/>
      <c r="I121" s="111"/>
      <c r="J121" s="104"/>
      <c r="K121" s="97"/>
      <c r="L121" s="104"/>
      <c r="M121" s="104"/>
    </row>
    <row r="122" spans="1:13" s="14" customFormat="1" x14ac:dyDescent="0.25">
      <c r="A122" s="102"/>
      <c r="B122" s="136" t="s">
        <v>159</v>
      </c>
      <c r="C122" s="137">
        <v>47.75</v>
      </c>
      <c r="D122" s="111"/>
      <c r="E122" s="111"/>
      <c r="F122" s="111"/>
      <c r="G122" s="111"/>
      <c r="H122" s="111"/>
      <c r="I122" s="111"/>
      <c r="J122" s="104"/>
      <c r="K122" s="97"/>
      <c r="L122" s="104"/>
      <c r="M122" s="104"/>
    </row>
    <row r="123" spans="1:13" s="14" customFormat="1" x14ac:dyDescent="0.25">
      <c r="A123" s="102"/>
      <c r="B123" s="109"/>
      <c r="C123" s="105"/>
      <c r="D123" s="111"/>
      <c r="E123" s="111"/>
      <c r="F123" s="111"/>
      <c r="G123" s="111"/>
      <c r="H123" s="111"/>
      <c r="I123" s="111"/>
      <c r="J123" s="104"/>
      <c r="K123" s="97"/>
      <c r="L123" s="104"/>
      <c r="M123" s="104"/>
    </row>
    <row r="124" spans="1:13" s="14" customFormat="1" x14ac:dyDescent="0.25">
      <c r="A124" s="102"/>
      <c r="B124" s="106" t="s">
        <v>100</v>
      </c>
      <c r="C124" s="107">
        <f>C122</f>
        <v>47.75</v>
      </c>
      <c r="D124" s="108" t="s">
        <v>307</v>
      </c>
      <c r="E124" s="111"/>
      <c r="F124" s="111"/>
      <c r="G124" s="111"/>
      <c r="H124" s="111"/>
      <c r="I124" s="111"/>
      <c r="J124" s="104"/>
      <c r="K124" s="97"/>
      <c r="L124" s="104"/>
      <c r="M124" s="104"/>
    </row>
    <row r="125" spans="1:13" s="14" customFormat="1" x14ac:dyDescent="0.25">
      <c r="A125" s="102"/>
      <c r="B125" s="109"/>
      <c r="C125" s="105"/>
      <c r="D125" s="111"/>
      <c r="E125" s="111"/>
      <c r="F125" s="111"/>
      <c r="G125" s="111"/>
      <c r="H125" s="111"/>
      <c r="I125" s="111"/>
      <c r="J125" s="104"/>
      <c r="K125" s="97"/>
      <c r="L125" s="104"/>
      <c r="M125" s="104"/>
    </row>
    <row r="126" spans="1:13" s="14" customFormat="1" x14ac:dyDescent="0.25">
      <c r="A126" s="102" t="str">
        <f>ORÇAMENTO!A47</f>
        <v>5.6</v>
      </c>
      <c r="B126" s="621" t="str">
        <f>ORÇAMENTO!D47</f>
        <v>CRUZEIRO</v>
      </c>
      <c r="C126" s="621"/>
      <c r="D126" s="621"/>
      <c r="E126" s="621"/>
      <c r="F126" s="621"/>
      <c r="G126" s="621"/>
      <c r="H126" s="621"/>
      <c r="I126" s="621"/>
      <c r="J126" s="621"/>
      <c r="K126" s="621"/>
      <c r="L126" s="621"/>
      <c r="M126" s="621"/>
    </row>
    <row r="127" spans="1:13" s="14" customFormat="1" ht="47.25" customHeight="1" x14ac:dyDescent="0.25">
      <c r="A127" s="285" t="str">
        <f>ORÇAMENTO!A48</f>
        <v>5.6.1</v>
      </c>
      <c r="B127" s="621" t="str">
        <f>ORÇAMENTO!D48</f>
        <v>CRUZEIRO EM CONCRETO ARMADO, BASE DE APOIO EM TRÊS DEGRAUS DE CONCRETO ARMADO, PINTURA DE ACABAMENTO COM TINTA LÁTEX ACRÍLICA PREMIUM, ILUMINAÇÃO COM CANALETA LED 10W/M 3000K BRANCO QUENTE COM FONTE E SPOT BALIZADOR LED EMBUTIDO NO PISO 30W BRANCO QUENTE - FORNECIMENTO E INSTALAÇÃO</v>
      </c>
      <c r="C127" s="621"/>
      <c r="D127" s="621"/>
      <c r="E127" s="621"/>
      <c r="F127" s="621"/>
      <c r="G127" s="621"/>
      <c r="H127" s="621"/>
      <c r="I127" s="621"/>
      <c r="J127" s="621"/>
      <c r="K127" s="621"/>
      <c r="L127" s="621"/>
      <c r="M127" s="621"/>
    </row>
    <row r="128" spans="1:13" s="14" customFormat="1" x14ac:dyDescent="0.25">
      <c r="A128" s="102"/>
      <c r="B128" s="109"/>
      <c r="C128" s="105"/>
      <c r="D128" s="111"/>
      <c r="E128" s="111"/>
      <c r="F128" s="111"/>
      <c r="G128" s="111"/>
      <c r="H128" s="111"/>
      <c r="I128" s="111"/>
      <c r="J128" s="104"/>
      <c r="K128" s="97"/>
      <c r="L128" s="104"/>
      <c r="M128" s="104"/>
    </row>
    <row r="129" spans="1:13" s="14" customFormat="1" x14ac:dyDescent="0.25">
      <c r="A129" s="102"/>
      <c r="B129" s="106" t="s">
        <v>100</v>
      </c>
      <c r="C129" s="107">
        <v>1</v>
      </c>
      <c r="D129" s="108" t="s">
        <v>10</v>
      </c>
      <c r="E129" s="111"/>
      <c r="F129" s="111"/>
      <c r="G129" s="111"/>
      <c r="H129" s="111"/>
      <c r="I129" s="111"/>
      <c r="J129" s="104"/>
      <c r="K129" s="97"/>
      <c r="L129" s="104"/>
      <c r="M129" s="104"/>
    </row>
    <row r="130" spans="1:13" s="14" customFormat="1" x14ac:dyDescent="0.25">
      <c r="A130" s="102"/>
      <c r="B130" s="109"/>
      <c r="C130" s="105"/>
      <c r="D130" s="111"/>
      <c r="E130" s="111"/>
      <c r="F130" s="111"/>
      <c r="G130" s="111"/>
      <c r="H130" s="111"/>
      <c r="I130" s="111"/>
      <c r="J130" s="104"/>
      <c r="K130" s="97"/>
      <c r="L130" s="104"/>
      <c r="M130" s="104"/>
    </row>
    <row r="131" spans="1:13" s="14" customFormat="1" x14ac:dyDescent="0.25">
      <c r="A131" s="102" t="str">
        <f>ORÇAMENTO!A49</f>
        <v>5.7</v>
      </c>
      <c r="B131" s="621" t="str">
        <f>ORÇAMENTO!D49</f>
        <v>FLOREIRA COM BANCO</v>
      </c>
      <c r="C131" s="621"/>
      <c r="D131" s="621"/>
      <c r="E131" s="621"/>
      <c r="F131" s="621"/>
      <c r="G131" s="621"/>
      <c r="H131" s="621"/>
      <c r="I131" s="621"/>
      <c r="J131" s="621"/>
      <c r="K131" s="621"/>
      <c r="L131" s="621"/>
      <c r="M131" s="621"/>
    </row>
    <row r="132" spans="1:13" s="14" customFormat="1" ht="46.5" customHeight="1" x14ac:dyDescent="0.25">
      <c r="A132" s="285" t="str">
        <f>ORÇAMENTO!A50</f>
        <v>5.7.1</v>
      </c>
      <c r="B132" s="621" t="str">
        <f>ORÇAMENTO!D50</f>
        <v>EXECUÇÃO DE BANCO COM FLOREIRAS, COMPOSTA POR PAREDES EM CONCRETO ARMADO, IMPERMEABILIZADO, ACABAMENTO EXTERNO EM CIMENTO QUEIMADO, INCLUSO FUNDAÇÃO EM CONCRETO CICLÓPICO, BRITA Nº1 PARA DRENAGEM, ATERRO EM TERRA PRETA VEGETAL, MUDAS DE ARBUSTO FLORIFERO.</v>
      </c>
      <c r="C132" s="621"/>
      <c r="D132" s="621"/>
      <c r="E132" s="621"/>
      <c r="F132" s="621"/>
      <c r="G132" s="621"/>
      <c r="H132" s="621"/>
      <c r="I132" s="621"/>
      <c r="J132" s="621"/>
      <c r="K132" s="621"/>
      <c r="L132" s="621"/>
      <c r="M132" s="621"/>
    </row>
    <row r="133" spans="1:13" s="14" customFormat="1" x14ac:dyDescent="0.25">
      <c r="A133" s="102"/>
      <c r="B133" s="109"/>
      <c r="C133" s="105"/>
      <c r="D133" s="111"/>
      <c r="E133" s="111"/>
      <c r="F133" s="111"/>
      <c r="G133" s="111"/>
      <c r="H133" s="111"/>
      <c r="I133" s="111"/>
      <c r="J133" s="104"/>
      <c r="K133" s="97"/>
      <c r="L133" s="104"/>
      <c r="M133" s="104"/>
    </row>
    <row r="134" spans="1:13" s="14" customFormat="1" x14ac:dyDescent="0.25">
      <c r="A134" s="102"/>
      <c r="B134" s="106" t="s">
        <v>100</v>
      </c>
      <c r="C134" s="107">
        <v>1</v>
      </c>
      <c r="D134" s="108" t="s">
        <v>10</v>
      </c>
      <c r="E134" s="111"/>
      <c r="F134" s="111"/>
      <c r="G134" s="111"/>
      <c r="H134" s="111"/>
      <c r="I134" s="111"/>
      <c r="J134" s="104"/>
      <c r="K134" s="97"/>
      <c r="L134" s="104"/>
      <c r="M134" s="104"/>
    </row>
    <row r="135" spans="1:13" s="14" customFormat="1" x14ac:dyDescent="0.25">
      <c r="A135" s="102"/>
      <c r="B135" s="109"/>
      <c r="C135" s="105"/>
      <c r="D135" s="111"/>
      <c r="E135" s="111"/>
      <c r="F135" s="111"/>
      <c r="G135" s="111"/>
      <c r="H135" s="111"/>
      <c r="I135" s="111"/>
      <c r="J135" s="104"/>
      <c r="K135" s="97"/>
      <c r="L135" s="104"/>
      <c r="M135" s="104"/>
    </row>
    <row r="136" spans="1:13" s="14" customFormat="1" ht="24.75" customHeight="1" x14ac:dyDescent="0.25">
      <c r="A136" s="102" t="str">
        <f>ORÇAMENTO!A51</f>
        <v>5.8</v>
      </c>
      <c r="B136" s="621" t="str">
        <f>ORÇAMENTO!D51</f>
        <v>PLACA DE INAUGURAÇÃO</v>
      </c>
      <c r="C136" s="621"/>
      <c r="D136" s="621"/>
      <c r="E136" s="621"/>
      <c r="F136" s="621"/>
      <c r="G136" s="621"/>
      <c r="H136" s="621"/>
      <c r="I136" s="621"/>
      <c r="J136" s="621"/>
      <c r="K136" s="621"/>
      <c r="L136" s="621"/>
      <c r="M136" s="621"/>
    </row>
    <row r="137" spans="1:13" s="14" customFormat="1" ht="20.25" customHeight="1" x14ac:dyDescent="0.25">
      <c r="A137" s="102" t="str">
        <f>ORÇAMENTO!A52</f>
        <v>5.8.1</v>
      </c>
      <c r="B137" s="621" t="str">
        <f>ORÇAMENTO!D52</f>
        <v>PLACA DE INAUGURACAO METALICA, *40* CM X *60* CM - FORNECIMENTO E INSTALAÇÃO</v>
      </c>
      <c r="C137" s="621"/>
      <c r="D137" s="621"/>
      <c r="E137" s="621"/>
      <c r="F137" s="621"/>
      <c r="G137" s="621"/>
      <c r="H137" s="621"/>
      <c r="I137" s="621"/>
      <c r="J137" s="621"/>
      <c r="K137" s="621"/>
      <c r="L137" s="621"/>
      <c r="M137" s="621"/>
    </row>
    <row r="138" spans="1:13" s="14" customFormat="1" x14ac:dyDescent="0.25">
      <c r="A138" s="102"/>
      <c r="B138" s="109"/>
      <c r="C138" s="105"/>
      <c r="D138" s="111"/>
      <c r="E138" s="111"/>
      <c r="F138" s="111"/>
      <c r="G138" s="111"/>
      <c r="H138" s="111"/>
      <c r="I138" s="111"/>
      <c r="J138" s="104"/>
      <c r="K138" s="97"/>
      <c r="L138" s="104"/>
      <c r="M138" s="104"/>
    </row>
    <row r="139" spans="1:13" s="14" customFormat="1" x14ac:dyDescent="0.25">
      <c r="A139" s="102"/>
      <c r="B139" s="106" t="s">
        <v>100</v>
      </c>
      <c r="C139" s="107">
        <v>1</v>
      </c>
      <c r="D139" s="108" t="s">
        <v>10</v>
      </c>
      <c r="E139" s="111"/>
      <c r="F139" s="111"/>
      <c r="G139" s="111"/>
      <c r="H139" s="111"/>
      <c r="I139" s="111"/>
      <c r="J139" s="104"/>
      <c r="K139" s="97"/>
      <c r="L139" s="104"/>
      <c r="M139" s="104"/>
    </row>
    <row r="140" spans="1:13" s="14" customFormat="1" x14ac:dyDescent="0.25">
      <c r="A140" s="102"/>
      <c r="B140" s="109"/>
      <c r="C140" s="105"/>
      <c r="D140" s="111"/>
      <c r="E140" s="111"/>
      <c r="F140" s="111"/>
      <c r="G140" s="111"/>
      <c r="H140" s="111"/>
      <c r="I140" s="111"/>
      <c r="J140" s="104"/>
      <c r="K140" s="97"/>
      <c r="L140" s="104"/>
      <c r="M140" s="104"/>
    </row>
  </sheetData>
  <mergeCells count="41">
    <mergeCell ref="B80:M80"/>
    <mergeCell ref="B41:F41"/>
    <mergeCell ref="B54:F54"/>
    <mergeCell ref="B67:F67"/>
    <mergeCell ref="B72:M72"/>
    <mergeCell ref="B76:M76"/>
    <mergeCell ref="A6:B6"/>
    <mergeCell ref="C6:H6"/>
    <mergeCell ref="I6:J6"/>
    <mergeCell ref="K6:M6"/>
    <mergeCell ref="A8:M8"/>
    <mergeCell ref="C4:H4"/>
    <mergeCell ref="K4:M4"/>
    <mergeCell ref="A5:B5"/>
    <mergeCell ref="C5:H5"/>
    <mergeCell ref="I5:J5"/>
    <mergeCell ref="K5:M5"/>
    <mergeCell ref="B111:M111"/>
    <mergeCell ref="A1:M1"/>
    <mergeCell ref="B106:M106"/>
    <mergeCell ref="C107:D107"/>
    <mergeCell ref="F107:G107"/>
    <mergeCell ref="H107:L107"/>
    <mergeCell ref="B85:M85"/>
    <mergeCell ref="A2:B2"/>
    <mergeCell ref="C2:H2"/>
    <mergeCell ref="I2:J2"/>
    <mergeCell ref="K2:M2"/>
    <mergeCell ref="A3:B3"/>
    <mergeCell ref="C3:H3"/>
    <mergeCell ref="I3:J4"/>
    <mergeCell ref="K3:M3"/>
    <mergeCell ref="A4:B4"/>
    <mergeCell ref="B115:M115"/>
    <mergeCell ref="B119:M119"/>
    <mergeCell ref="B136:M136"/>
    <mergeCell ref="B137:M137"/>
    <mergeCell ref="B126:M126"/>
    <mergeCell ref="B127:M127"/>
    <mergeCell ref="B131:M131"/>
    <mergeCell ref="B132:M132"/>
  </mergeCells>
  <phoneticPr fontId="17" type="noConversion"/>
  <pageMargins left="0.25" right="0.25" top="0.75" bottom="0.75" header="0.3" footer="0.3"/>
  <pageSetup paperSize="9" scale="65" fitToHeight="0" orientation="portrait" r:id="rId1"/>
  <rowBreaks count="1" manualBreakCount="1">
    <brk id="57"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116"/>
  <sheetViews>
    <sheetView view="pageBreakPreview" zoomScaleNormal="100" zoomScaleSheetLayoutView="100" workbookViewId="0">
      <selection activeCell="H123" sqref="H123"/>
    </sheetView>
  </sheetViews>
  <sheetFormatPr defaultRowHeight="15" x14ac:dyDescent="0.25"/>
  <cols>
    <col min="1" max="1" width="8.7109375" customWidth="1"/>
    <col min="2" max="2" width="14.7109375" customWidth="1"/>
    <col min="3" max="6" width="11.7109375" customWidth="1"/>
    <col min="7" max="8" width="9.7109375" customWidth="1"/>
    <col min="9" max="13" width="10.7109375" customWidth="1"/>
  </cols>
  <sheetData>
    <row r="1" spans="1:13" ht="60" customHeight="1" thickBot="1" x14ac:dyDescent="0.3">
      <c r="A1" s="632" t="str">
        <f>ORÇAMENTO!A1</f>
        <v>GOVERNO DO ESTADO DO PARÁ
PREFEITURA MUNICIPAL DE OURÉM
CNPJ 05.149.133/0001-48</v>
      </c>
      <c r="B1" s="632"/>
      <c r="C1" s="632"/>
      <c r="D1" s="632"/>
      <c r="E1" s="632"/>
      <c r="F1" s="632"/>
      <c r="G1" s="632"/>
      <c r="H1" s="632"/>
      <c r="I1" s="632"/>
      <c r="J1" s="632"/>
      <c r="K1" s="632"/>
      <c r="L1" s="632"/>
      <c r="M1" s="632"/>
    </row>
    <row r="2" spans="1:13" ht="20.100000000000001" customHeight="1" x14ac:dyDescent="0.25">
      <c r="A2" s="580" t="str">
        <f>ORÇAMENTO!A2</f>
        <v>Proponente:</v>
      </c>
      <c r="B2" s="581"/>
      <c r="C2" s="582" t="str">
        <f>ORÇAMENTO!C2</f>
        <v>PREFEITURA MUNICIPAL DE OURÉM</v>
      </c>
      <c r="D2" s="582"/>
      <c r="E2" s="582"/>
      <c r="F2" s="582"/>
      <c r="G2" s="582"/>
      <c r="H2" s="582"/>
      <c r="I2" s="581" t="str">
        <f>ORÇAMENTO!E2</f>
        <v>Município/UF:</v>
      </c>
      <c r="J2" s="581"/>
      <c r="K2" s="583" t="str">
        <f>ORÇAMENTO!G2</f>
        <v>OURÉM/PA</v>
      </c>
      <c r="L2" s="584"/>
      <c r="M2" s="585"/>
    </row>
    <row r="3" spans="1:13" ht="30" customHeight="1" x14ac:dyDescent="0.25">
      <c r="A3" s="586" t="str">
        <f>ORÇAMENTO!A3</f>
        <v>Objeto:</v>
      </c>
      <c r="B3" s="587"/>
      <c r="C3" s="588" t="str">
        <f>ORÇAMENTO!C3</f>
        <v>RECONSTRUÇÃO DA PRAÇA PURAQUEQUARINHA NO MUNICÍPIO DE OURÉM/PA</v>
      </c>
      <c r="D3" s="588"/>
      <c r="E3" s="588"/>
      <c r="F3" s="588"/>
      <c r="G3" s="588"/>
      <c r="H3" s="588"/>
      <c r="I3" s="587" t="str">
        <f>ORÇAMENTO!E3</f>
        <v>Data Base:</v>
      </c>
      <c r="J3" s="587"/>
      <c r="K3" s="589" t="str">
        <f>ORÇAMENTO!G3</f>
        <v>SINAPI JANEIRO 2024 - DESONERADO</v>
      </c>
      <c r="L3" s="589"/>
      <c r="M3" s="590"/>
    </row>
    <row r="4" spans="1:13" ht="30" customHeight="1" x14ac:dyDescent="0.25">
      <c r="A4" s="586" t="str">
        <f>ORÇAMENTO!A4</f>
        <v>Endereço Da Obra:</v>
      </c>
      <c r="B4" s="587"/>
      <c r="C4" s="588" t="str">
        <f>ORÇAMENTO!C4</f>
        <v>AV. PRINCIPAL, S/N, VILA PURAQUEQUARINHA, OURÉM, PA</v>
      </c>
      <c r="D4" s="588"/>
      <c r="E4" s="588"/>
      <c r="F4" s="588"/>
      <c r="G4" s="588"/>
      <c r="H4" s="588"/>
      <c r="I4" s="587"/>
      <c r="J4" s="587"/>
      <c r="K4" s="589" t="str">
        <f>ORÇAMENTO!G4</f>
        <v>SEOP FEVEREIRO 2024 - DESONERADO</v>
      </c>
      <c r="L4" s="589"/>
      <c r="M4" s="590"/>
    </row>
    <row r="5" spans="1:13" ht="20.100000000000001" customHeight="1" x14ac:dyDescent="0.25">
      <c r="A5" s="600" t="str">
        <f>ORÇAMENTO!A5</f>
        <v>Valor:</v>
      </c>
      <c r="B5" s="601"/>
      <c r="C5" s="602">
        <f>ORÇAMENTO!C5</f>
        <v>341934.37</v>
      </c>
      <c r="D5" s="602"/>
      <c r="E5" s="602"/>
      <c r="F5" s="602"/>
      <c r="G5" s="602"/>
      <c r="H5" s="602"/>
      <c r="I5" s="594" t="str">
        <f>ORÇAMENTO!E5</f>
        <v>BDI - Serviços</v>
      </c>
      <c r="J5" s="594"/>
      <c r="K5" s="596">
        <f>ORÇAMENTO!G5</f>
        <v>0.29769428939090381</v>
      </c>
      <c r="L5" s="596"/>
      <c r="M5" s="597"/>
    </row>
    <row r="6" spans="1:13" ht="20.100000000000001" customHeight="1" thickBot="1" x14ac:dyDescent="0.3">
      <c r="A6" s="603" t="str">
        <f>ORÇAMENTO!A6</f>
        <v xml:space="preserve">Responsável Técnico:    </v>
      </c>
      <c r="B6" s="604"/>
      <c r="C6" s="605" t="str">
        <f>ORÇAMENTO!C6</f>
        <v>MARUZA BAPTISTA</v>
      </c>
      <c r="D6" s="605"/>
      <c r="E6" s="605"/>
      <c r="F6" s="605"/>
      <c r="G6" s="605"/>
      <c r="H6" s="605"/>
      <c r="I6" s="595" t="str">
        <f>ORÇAMENTO!E6</f>
        <v xml:space="preserve">Registro Profissional:  </v>
      </c>
      <c r="J6" s="595"/>
      <c r="K6" s="598" t="str">
        <f>ORÇAMENTO!G6</f>
        <v>CAU: 28510-2 A</v>
      </c>
      <c r="L6" s="598"/>
      <c r="M6" s="599"/>
    </row>
    <row r="7" spans="1:13" ht="20.100000000000001" customHeight="1" thickBot="1" x14ac:dyDescent="0.3">
      <c r="A7" s="232"/>
      <c r="B7" s="14"/>
      <c r="C7" s="14"/>
      <c r="D7" s="14"/>
      <c r="E7" s="14"/>
      <c r="F7" s="14"/>
      <c r="G7" s="14"/>
      <c r="H7" s="14"/>
      <c r="I7" s="14"/>
      <c r="J7" s="14"/>
      <c r="K7" s="14"/>
      <c r="L7" s="14"/>
      <c r="M7" s="14"/>
    </row>
    <row r="8" spans="1:13" ht="20.100000000000001" customHeight="1" thickBot="1" x14ac:dyDescent="0.3">
      <c r="A8" s="591" t="s">
        <v>213</v>
      </c>
      <c r="B8" s="592"/>
      <c r="C8" s="592"/>
      <c r="D8" s="592"/>
      <c r="E8" s="592"/>
      <c r="F8" s="592"/>
      <c r="G8" s="592"/>
      <c r="H8" s="592"/>
      <c r="I8" s="592"/>
      <c r="J8" s="592"/>
      <c r="K8" s="592"/>
      <c r="L8" s="592"/>
      <c r="M8" s="593"/>
    </row>
    <row r="10" spans="1:13" x14ac:dyDescent="0.25">
      <c r="A10" s="49">
        <f>ORÇAMENTO!A53</f>
        <v>6</v>
      </c>
      <c r="B10" s="630" t="str">
        <f>ORÇAMENTO!D53</f>
        <v>INSTALAÇÕES ELÉTRICAS</v>
      </c>
      <c r="C10" s="630"/>
      <c r="D10" s="630"/>
      <c r="E10" s="630"/>
      <c r="F10" s="630"/>
      <c r="G10" s="630"/>
      <c r="H10" s="630"/>
      <c r="I10" s="630"/>
      <c r="J10" s="630"/>
      <c r="K10" s="630"/>
      <c r="L10" s="630"/>
      <c r="M10" s="630"/>
    </row>
    <row r="11" spans="1:13" ht="46.5" customHeight="1" x14ac:dyDescent="0.25">
      <c r="A11" s="122" t="str">
        <f>ORÇAMENTO!A55</f>
        <v>6.1.1</v>
      </c>
      <c r="B11" s="631" t="str">
        <f>ORÇAMENTO!D55</f>
        <v>FORNECIMENTO E INSTALAÇÃO DE POSTE EM AÇO GALVANIZADO CURVO H= 7M, COM 2 PÉTALAS EM TUBO DE AÇO GALV. E LUMINÁRIA PUBLICA EM LED 150W, BRANCO FRIO. ACABAMENTO EM PINTURA DE FUNDO E ACABAMENTO EM ESMALTE SINTÉTICO.</v>
      </c>
      <c r="C11" s="631"/>
      <c r="D11" s="631"/>
      <c r="E11" s="631"/>
      <c r="F11" s="631"/>
      <c r="G11" s="631"/>
      <c r="H11" s="631"/>
      <c r="I11" s="631"/>
      <c r="J11" s="631"/>
      <c r="K11" s="631"/>
      <c r="L11" s="631"/>
      <c r="M11" s="631"/>
    </row>
    <row r="13" spans="1:13" ht="20.100000000000001" customHeight="1" x14ac:dyDescent="0.25">
      <c r="B13" s="106" t="s">
        <v>103</v>
      </c>
      <c r="C13" s="107">
        <v>8</v>
      </c>
      <c r="D13" s="108" t="s">
        <v>10</v>
      </c>
      <c r="E13" s="222"/>
      <c r="F13" s="224"/>
      <c r="G13" s="222"/>
    </row>
    <row r="14" spans="1:13" ht="20.100000000000001" customHeight="1" x14ac:dyDescent="0.25">
      <c r="B14" s="222"/>
      <c r="C14" s="222"/>
      <c r="D14" s="222"/>
      <c r="E14" s="222"/>
      <c r="F14" s="224"/>
      <c r="G14" s="222"/>
    </row>
    <row r="15" spans="1:13" ht="35.25" customHeight="1" x14ac:dyDescent="0.25">
      <c r="A15" s="122" t="str">
        <f>ORÇAMENTO!A56</f>
        <v>6.1.2</v>
      </c>
      <c r="B15" s="631" t="str">
        <f>ORÇAMENTO!D56</f>
        <v>FORNECIMENTO E INSTALAÇÃO DE REFLETOR DE LED RGB 50 W COM CAIXA DE CONCRETO E FUNDO DE BRITA EMBUTIDO NO PISO, FECHADO COM GRADE.</v>
      </c>
      <c r="C15" s="631"/>
      <c r="D15" s="631"/>
      <c r="E15" s="631"/>
      <c r="F15" s="631"/>
      <c r="G15" s="631"/>
      <c r="H15" s="631"/>
      <c r="I15" s="631"/>
      <c r="J15" s="631"/>
      <c r="K15" s="631"/>
      <c r="L15" s="631"/>
      <c r="M15" s="631"/>
    </row>
    <row r="17" spans="1:13" x14ac:dyDescent="0.25">
      <c r="B17" s="106" t="s">
        <v>103</v>
      </c>
      <c r="C17" s="107">
        <v>8</v>
      </c>
      <c r="D17" s="108" t="s">
        <v>10</v>
      </c>
      <c r="E17" s="222"/>
      <c r="F17" s="224"/>
      <c r="G17" s="222"/>
    </row>
    <row r="19" spans="1:13" ht="21" customHeight="1" x14ac:dyDescent="0.25">
      <c r="A19" s="122" t="str">
        <f>ORÇAMENTO!A57</f>
        <v>6.2</v>
      </c>
      <c r="B19" s="631" t="str">
        <f>ORÇAMENTO!D57</f>
        <v>ATERRAMENTO</v>
      </c>
      <c r="C19" s="631"/>
      <c r="D19" s="631"/>
      <c r="E19" s="631"/>
      <c r="F19" s="631"/>
      <c r="G19" s="631"/>
      <c r="H19" s="631"/>
      <c r="I19" s="631"/>
      <c r="J19" s="631"/>
      <c r="K19" s="631"/>
      <c r="L19" s="631"/>
      <c r="M19" s="631"/>
    </row>
    <row r="20" spans="1:13" ht="21.75" customHeight="1" x14ac:dyDescent="0.25">
      <c r="A20" s="122" t="str">
        <f>ORÇAMENTO!A58</f>
        <v>6.2.1</v>
      </c>
      <c r="B20" s="631" t="str">
        <f>ORÇAMENTO!D58</f>
        <v>CAIXA DE INSPEÇÃO DE PVC P/ ATERRAMENTO Ø30x60cm, C/ TAMPA DE FERRO FUNDIDO - FORNECIMENTO E INSTALAÇÃO</v>
      </c>
      <c r="C20" s="631"/>
      <c r="D20" s="631"/>
      <c r="E20" s="631"/>
      <c r="F20" s="631"/>
      <c r="G20" s="631"/>
      <c r="H20" s="631"/>
      <c r="I20" s="631"/>
      <c r="J20" s="631"/>
      <c r="K20" s="631"/>
      <c r="L20" s="631"/>
      <c r="M20" s="631"/>
    </row>
    <row r="22" spans="1:13" x14ac:dyDescent="0.25">
      <c r="B22" s="106" t="s">
        <v>103</v>
      </c>
      <c r="C22" s="107">
        <v>1</v>
      </c>
      <c r="D22" s="108" t="s">
        <v>10</v>
      </c>
      <c r="E22" s="222"/>
      <c r="F22" s="224"/>
      <c r="G22" s="222"/>
    </row>
    <row r="24" spans="1:13" x14ac:dyDescent="0.25">
      <c r="A24" s="122" t="str">
        <f>ORÇAMENTO!A59</f>
        <v>6.2.2</v>
      </c>
      <c r="B24" s="631" t="str">
        <f>ORÇAMENTO!D59</f>
        <v>Haste de Aço cobreada 5/8"x2,40m c/ conector</v>
      </c>
      <c r="C24" s="631"/>
      <c r="D24" s="631"/>
      <c r="E24" s="631"/>
      <c r="F24" s="631"/>
      <c r="G24" s="631"/>
      <c r="H24" s="631"/>
      <c r="I24" s="631"/>
      <c r="J24" s="631"/>
      <c r="K24" s="631"/>
      <c r="L24" s="631"/>
      <c r="M24" s="631"/>
    </row>
    <row r="26" spans="1:13" x14ac:dyDescent="0.25">
      <c r="B26" s="106" t="s">
        <v>103</v>
      </c>
      <c r="C26" s="107">
        <v>1</v>
      </c>
      <c r="D26" s="108" t="s">
        <v>10</v>
      </c>
      <c r="E26" s="222"/>
      <c r="F26" s="224"/>
      <c r="G26" s="222"/>
    </row>
    <row r="28" spans="1:13" x14ac:dyDescent="0.25">
      <c r="A28" s="122" t="str">
        <f>ORÇAMENTO!A60</f>
        <v>6.2.3</v>
      </c>
      <c r="B28" s="631" t="str">
        <f>ORÇAMENTO!D60</f>
        <v>Conector para haste de aterramento de 5/8"</v>
      </c>
      <c r="C28" s="631"/>
      <c r="D28" s="631"/>
      <c r="E28" s="631"/>
      <c r="F28" s="631"/>
      <c r="G28" s="631"/>
      <c r="H28" s="631"/>
      <c r="I28" s="631"/>
      <c r="J28" s="631"/>
      <c r="K28" s="631"/>
      <c r="L28" s="631"/>
      <c r="M28" s="631"/>
    </row>
    <row r="30" spans="1:13" x14ac:dyDescent="0.25">
      <c r="B30" s="106" t="s">
        <v>103</v>
      </c>
      <c r="C30" s="107">
        <v>2</v>
      </c>
      <c r="D30" s="108" t="s">
        <v>10</v>
      </c>
      <c r="E30" s="222"/>
      <c r="F30" s="224"/>
      <c r="G30" s="222"/>
    </row>
    <row r="32" spans="1:13" x14ac:dyDescent="0.25">
      <c r="A32" s="122" t="str">
        <f>ORÇAMENTO!A61</f>
        <v>6.3</v>
      </c>
      <c r="B32" s="631" t="str">
        <f>ORÇAMENTO!D61</f>
        <v>CABOS, ELETRODUTOS E CONEXÕES</v>
      </c>
      <c r="C32" s="631"/>
      <c r="D32" s="631"/>
      <c r="E32" s="631"/>
      <c r="F32" s="631"/>
      <c r="G32" s="631"/>
      <c r="H32" s="631"/>
      <c r="I32" s="631"/>
      <c r="J32" s="631"/>
      <c r="K32" s="631"/>
      <c r="L32" s="631"/>
      <c r="M32" s="631"/>
    </row>
    <row r="33" spans="1:13" x14ac:dyDescent="0.25">
      <c r="A33" s="122" t="str">
        <f>ORÇAMENTO!A62</f>
        <v>6.3.1</v>
      </c>
      <c r="B33" s="631" t="str">
        <f>ORÇAMENTO!D62</f>
        <v>Eletroduto de F°G° de 1 1/4"</v>
      </c>
      <c r="C33" s="631"/>
      <c r="D33" s="631"/>
      <c r="E33" s="631"/>
      <c r="F33" s="631"/>
      <c r="G33" s="631"/>
      <c r="H33" s="631"/>
      <c r="I33" s="631"/>
      <c r="J33" s="631"/>
      <c r="K33" s="631"/>
      <c r="L33" s="631"/>
      <c r="M33" s="631"/>
    </row>
    <row r="34" spans="1:13" x14ac:dyDescent="0.25">
      <c r="A34" s="122"/>
      <c r="B34" s="383"/>
      <c r="C34" s="383"/>
      <c r="D34" s="383"/>
      <c r="E34" s="383"/>
      <c r="F34" s="383"/>
      <c r="G34" s="383"/>
      <c r="H34" s="383"/>
      <c r="I34" s="383"/>
      <c r="J34" s="383"/>
      <c r="K34" s="383"/>
      <c r="L34" s="383"/>
      <c r="M34" s="383"/>
    </row>
    <row r="35" spans="1:13" x14ac:dyDescent="0.25">
      <c r="A35" s="122"/>
      <c r="B35" s="106" t="s">
        <v>103</v>
      </c>
      <c r="C35" s="107">
        <v>3</v>
      </c>
      <c r="D35" s="108" t="s">
        <v>12</v>
      </c>
      <c r="E35" s="383"/>
      <c r="F35" s="383"/>
      <c r="G35" s="383"/>
      <c r="H35" s="383"/>
      <c r="I35" s="383"/>
      <c r="J35" s="383"/>
      <c r="K35" s="383"/>
      <c r="L35" s="383"/>
      <c r="M35" s="383"/>
    </row>
    <row r="36" spans="1:13" x14ac:dyDescent="0.25">
      <c r="A36" s="122"/>
      <c r="B36" s="383"/>
      <c r="C36" s="383"/>
      <c r="D36" s="383"/>
      <c r="E36" s="383"/>
      <c r="F36" s="383"/>
      <c r="G36" s="383"/>
      <c r="H36" s="383"/>
      <c r="I36" s="383"/>
      <c r="J36" s="383"/>
      <c r="K36" s="383"/>
      <c r="L36" s="383"/>
      <c r="M36" s="383"/>
    </row>
    <row r="37" spans="1:13" x14ac:dyDescent="0.25">
      <c r="A37" s="122" t="str">
        <f>ORÇAMENTO!A63</f>
        <v>6.3.2</v>
      </c>
      <c r="B37" s="631" t="str">
        <f>ORÇAMENTO!D63</f>
        <v>Eletroduto PVC Rígido de 1 1/4"</v>
      </c>
      <c r="C37" s="631"/>
      <c r="D37" s="631"/>
      <c r="E37" s="631"/>
      <c r="F37" s="631"/>
      <c r="G37" s="631"/>
      <c r="H37" s="631"/>
      <c r="I37" s="631"/>
      <c r="J37" s="631"/>
      <c r="K37" s="631"/>
      <c r="L37" s="631"/>
      <c r="M37" s="631"/>
    </row>
    <row r="38" spans="1:13" x14ac:dyDescent="0.25">
      <c r="A38" s="122"/>
      <c r="B38" s="383"/>
      <c r="C38" s="383"/>
      <c r="D38" s="383"/>
      <c r="E38" s="383"/>
      <c r="F38" s="383"/>
      <c r="G38" s="383"/>
      <c r="H38" s="383"/>
      <c r="I38" s="383"/>
      <c r="J38" s="383"/>
      <c r="K38" s="383"/>
      <c r="L38" s="383"/>
      <c r="M38" s="383"/>
    </row>
    <row r="39" spans="1:13" x14ac:dyDescent="0.25">
      <c r="A39" s="122"/>
      <c r="B39" s="106" t="s">
        <v>103</v>
      </c>
      <c r="C39" s="107">
        <v>3</v>
      </c>
      <c r="D39" s="108" t="s">
        <v>12</v>
      </c>
      <c r="E39" s="383"/>
      <c r="F39" s="383"/>
      <c r="G39" s="383"/>
      <c r="H39" s="383"/>
      <c r="I39" s="383"/>
      <c r="J39" s="383"/>
      <c r="K39" s="383"/>
      <c r="L39" s="383"/>
      <c r="M39" s="383"/>
    </row>
    <row r="40" spans="1:13" x14ac:dyDescent="0.25">
      <c r="A40" s="122"/>
      <c r="B40" s="383"/>
      <c r="C40" s="383"/>
      <c r="D40" s="383"/>
      <c r="E40" s="383"/>
      <c r="F40" s="383"/>
      <c r="G40" s="383"/>
      <c r="H40" s="383"/>
      <c r="I40" s="383"/>
      <c r="J40" s="383"/>
      <c r="K40" s="383"/>
      <c r="L40" s="383"/>
      <c r="M40" s="383"/>
    </row>
    <row r="41" spans="1:13" ht="29.25" customHeight="1" x14ac:dyDescent="0.25">
      <c r="A41" s="122" t="str">
        <f>ORÇAMENTO!A64</f>
        <v>6.3.3</v>
      </c>
      <c r="B41" s="631" t="str">
        <f>ORÇAMENTO!D64</f>
        <v>ELETRODUTO FLEXÍVEL CORRUGADO, PEAD, DN 40 MM (1 1/4"), PARA CIRCUITOS TERMINAIS, INSTALADO EM PAREDE - FORNECIMENTO E INSTALAÇÃO. AF_03/2023</v>
      </c>
      <c r="C41" s="631"/>
      <c r="D41" s="631"/>
      <c r="E41" s="631"/>
      <c r="F41" s="631"/>
      <c r="G41" s="631"/>
      <c r="H41" s="631"/>
      <c r="I41" s="631"/>
      <c r="J41" s="631"/>
      <c r="K41" s="631"/>
      <c r="L41" s="631"/>
      <c r="M41" s="631"/>
    </row>
    <row r="42" spans="1:13" x14ac:dyDescent="0.25">
      <c r="A42" s="122"/>
      <c r="B42" s="383"/>
      <c r="C42" s="383"/>
      <c r="D42" s="383"/>
      <c r="E42" s="383"/>
      <c r="F42" s="383"/>
      <c r="G42" s="383"/>
      <c r="H42" s="383"/>
      <c r="I42" s="383"/>
      <c r="J42" s="383"/>
      <c r="K42" s="383"/>
      <c r="L42" s="383"/>
      <c r="M42" s="383"/>
    </row>
    <row r="43" spans="1:13" x14ac:dyDescent="0.25">
      <c r="A43" s="122"/>
      <c r="B43" s="106" t="s">
        <v>103</v>
      </c>
      <c r="C43" s="107">
        <v>100</v>
      </c>
      <c r="D43" s="108" t="s">
        <v>12</v>
      </c>
      <c r="E43" s="383"/>
      <c r="F43" s="383"/>
      <c r="G43" s="383"/>
      <c r="H43" s="383"/>
      <c r="I43" s="383"/>
      <c r="J43" s="383"/>
      <c r="K43" s="383"/>
      <c r="L43" s="383"/>
      <c r="M43" s="383"/>
    </row>
    <row r="44" spans="1:13" x14ac:dyDescent="0.25">
      <c r="A44" s="122"/>
      <c r="B44" s="383"/>
      <c r="C44" s="383"/>
      <c r="D44" s="383"/>
      <c r="E44" s="383"/>
      <c r="F44" s="383"/>
      <c r="G44" s="383"/>
      <c r="H44" s="383"/>
      <c r="I44" s="383"/>
      <c r="J44" s="383"/>
      <c r="K44" s="383"/>
      <c r="L44" s="383"/>
      <c r="M44" s="383"/>
    </row>
    <row r="45" spans="1:13" ht="36.75" customHeight="1" x14ac:dyDescent="0.25">
      <c r="A45" s="122" t="str">
        <f>ORÇAMENTO!A65</f>
        <v>6.3.4</v>
      </c>
      <c r="B45" s="631" t="str">
        <f>ORÇAMENTO!D65</f>
        <v xml:space="preserve">ELETRODUTO FLEXÍVEL CORRUGADO, PEAD, DN 40 MM (1"), PARA CIRCUITOS TERMINAIS, INSTALADO EM PAREDE - FORNECIMENTO E INSTALAÇÃO. </v>
      </c>
      <c r="C45" s="631"/>
      <c r="D45" s="631"/>
      <c r="E45" s="631"/>
      <c r="F45" s="631"/>
      <c r="G45" s="631"/>
      <c r="H45" s="631"/>
      <c r="I45" s="631"/>
      <c r="J45" s="631"/>
      <c r="K45" s="631"/>
      <c r="L45" s="631"/>
      <c r="M45" s="631"/>
    </row>
    <row r="46" spans="1:13" x14ac:dyDescent="0.25">
      <c r="A46" s="122"/>
      <c r="B46" s="383"/>
      <c r="C46" s="383"/>
      <c r="D46" s="383"/>
      <c r="E46" s="383"/>
      <c r="F46" s="383"/>
      <c r="G46" s="383"/>
      <c r="H46" s="383"/>
      <c r="I46" s="383"/>
      <c r="J46" s="383"/>
      <c r="K46" s="383"/>
      <c r="L46" s="383"/>
      <c r="M46" s="383"/>
    </row>
    <row r="47" spans="1:13" x14ac:dyDescent="0.25">
      <c r="A47" s="122"/>
      <c r="B47" s="106" t="s">
        <v>103</v>
      </c>
      <c r="C47" s="107">
        <v>60</v>
      </c>
      <c r="D47" s="108" t="s">
        <v>12</v>
      </c>
      <c r="E47" s="383"/>
      <c r="F47" s="383"/>
      <c r="G47" s="383"/>
      <c r="H47" s="383"/>
      <c r="I47" s="383"/>
      <c r="J47" s="383"/>
      <c r="K47" s="383"/>
      <c r="L47" s="383"/>
      <c r="M47" s="383"/>
    </row>
    <row r="48" spans="1:13" x14ac:dyDescent="0.25">
      <c r="A48" s="122"/>
      <c r="B48" s="383"/>
      <c r="C48" s="383"/>
      <c r="D48" s="383"/>
      <c r="E48" s="383"/>
      <c r="F48" s="383"/>
      <c r="G48" s="383"/>
      <c r="H48" s="383"/>
      <c r="I48" s="383"/>
      <c r="J48" s="383"/>
      <c r="K48" s="383"/>
      <c r="L48" s="383"/>
      <c r="M48" s="383"/>
    </row>
    <row r="49" spans="1:13" ht="39" customHeight="1" x14ac:dyDescent="0.25">
      <c r="A49" s="122" t="str">
        <f>ORÇAMENTO!A66</f>
        <v>6.3.5</v>
      </c>
      <c r="B49" s="631" t="str">
        <f>ORÇAMENTO!D66</f>
        <v>ELETRODUTO FLEXÍVEL CORRUGADO, PEAD, DN 40 MM (3/4"), PARA CIRCUITOS TERMINAIS, INSTALADO EM PAREDE - FORNECIMENTO E INSTALAÇÃO. AF_03/2023</v>
      </c>
      <c r="C49" s="631"/>
      <c r="D49" s="631"/>
      <c r="E49" s="631"/>
      <c r="F49" s="631"/>
      <c r="G49" s="631"/>
      <c r="H49" s="631"/>
      <c r="I49" s="631"/>
      <c r="J49" s="631"/>
      <c r="K49" s="631"/>
      <c r="L49" s="631"/>
      <c r="M49" s="631"/>
    </row>
    <row r="50" spans="1:13" x14ac:dyDescent="0.25">
      <c r="A50" s="122"/>
      <c r="B50" s="383"/>
      <c r="C50" s="383"/>
      <c r="D50" s="383"/>
      <c r="E50" s="383"/>
      <c r="F50" s="383"/>
      <c r="G50" s="383"/>
      <c r="H50" s="383"/>
      <c r="I50" s="383"/>
      <c r="J50" s="383"/>
      <c r="K50" s="383"/>
      <c r="L50" s="383"/>
      <c r="M50" s="383"/>
    </row>
    <row r="51" spans="1:13" x14ac:dyDescent="0.25">
      <c r="A51" s="122"/>
      <c r="B51" s="106" t="s">
        <v>103</v>
      </c>
      <c r="C51" s="107">
        <v>60</v>
      </c>
      <c r="D51" s="108" t="s">
        <v>12</v>
      </c>
      <c r="E51" s="383"/>
      <c r="F51" s="383"/>
      <c r="G51" s="383"/>
      <c r="H51" s="383"/>
      <c r="I51" s="383"/>
      <c r="J51" s="383"/>
      <c r="K51" s="383"/>
      <c r="L51" s="383"/>
      <c r="M51" s="383"/>
    </row>
    <row r="52" spans="1:13" x14ac:dyDescent="0.25">
      <c r="A52" s="122"/>
      <c r="B52" s="383"/>
      <c r="C52" s="383"/>
      <c r="D52" s="383"/>
      <c r="E52" s="383"/>
      <c r="F52" s="383"/>
      <c r="G52" s="383"/>
      <c r="H52" s="383"/>
      <c r="I52" s="383"/>
      <c r="J52" s="383"/>
      <c r="K52" s="383"/>
      <c r="L52" s="383"/>
      <c r="M52" s="383"/>
    </row>
    <row r="53" spans="1:13" x14ac:dyDescent="0.25">
      <c r="A53" s="122" t="str">
        <f>ORÇAMENTO!A67</f>
        <v>6.3.6</v>
      </c>
      <c r="B53" s="631" t="str">
        <f>ORÇAMENTO!D67</f>
        <v>Curva  90º p/ elet. FºGº 1 1/4" (IE)</v>
      </c>
      <c r="C53" s="631"/>
      <c r="D53" s="631"/>
      <c r="E53" s="631"/>
      <c r="F53" s="631"/>
      <c r="G53" s="631"/>
      <c r="H53" s="631"/>
      <c r="I53" s="631"/>
      <c r="J53" s="631"/>
      <c r="K53" s="631"/>
      <c r="L53" s="631"/>
      <c r="M53" s="631"/>
    </row>
    <row r="54" spans="1:13" x14ac:dyDescent="0.25">
      <c r="A54" s="122"/>
      <c r="B54" s="383"/>
      <c r="C54" s="383"/>
      <c r="D54" s="383"/>
      <c r="E54" s="383"/>
      <c r="F54" s="383"/>
      <c r="G54" s="383"/>
      <c r="H54" s="383"/>
      <c r="I54" s="383"/>
      <c r="J54" s="383"/>
      <c r="K54" s="383"/>
      <c r="L54" s="383"/>
      <c r="M54" s="383"/>
    </row>
    <row r="55" spans="1:13" x14ac:dyDescent="0.25">
      <c r="A55" s="122"/>
      <c r="B55" s="106" t="s">
        <v>103</v>
      </c>
      <c r="C55" s="107">
        <v>1</v>
      </c>
      <c r="D55" s="108" t="s">
        <v>10</v>
      </c>
      <c r="E55" s="383"/>
      <c r="F55" s="383"/>
      <c r="G55" s="383"/>
      <c r="H55" s="383"/>
      <c r="I55" s="383"/>
      <c r="J55" s="383"/>
      <c r="K55" s="383"/>
      <c r="L55" s="383"/>
      <c r="M55" s="383"/>
    </row>
    <row r="56" spans="1:13" x14ac:dyDescent="0.25">
      <c r="A56" s="122"/>
      <c r="B56" s="383"/>
      <c r="C56" s="383"/>
      <c r="D56" s="383"/>
      <c r="E56" s="383"/>
      <c r="F56" s="383"/>
      <c r="G56" s="383"/>
      <c r="H56" s="383"/>
      <c r="I56" s="383"/>
      <c r="J56" s="383"/>
      <c r="K56" s="383"/>
      <c r="L56" s="383"/>
      <c r="M56" s="383"/>
    </row>
    <row r="57" spans="1:13" x14ac:dyDescent="0.25">
      <c r="A57" s="122" t="str">
        <f>ORÇAMENTO!A68</f>
        <v>6.3.7</v>
      </c>
      <c r="B57" s="631" t="str">
        <f>ORÇAMENTO!D68</f>
        <v>Curva  90° p/ elet. PVC 1 1/4" (IE)</v>
      </c>
      <c r="C57" s="631"/>
      <c r="D57" s="631"/>
      <c r="E57" s="631"/>
      <c r="F57" s="631"/>
      <c r="G57" s="631"/>
      <c r="H57" s="631"/>
      <c r="I57" s="631"/>
      <c r="J57" s="631"/>
      <c r="K57" s="631"/>
      <c r="L57" s="631"/>
      <c r="M57" s="631"/>
    </row>
    <row r="58" spans="1:13" x14ac:dyDescent="0.25">
      <c r="A58" s="122"/>
      <c r="B58" s="383"/>
      <c r="C58" s="383"/>
      <c r="D58" s="383"/>
      <c r="E58" s="383"/>
      <c r="F58" s="383"/>
      <c r="G58" s="383"/>
      <c r="H58" s="383"/>
      <c r="I58" s="383"/>
      <c r="J58" s="383"/>
      <c r="K58" s="383"/>
      <c r="L58" s="383"/>
      <c r="M58" s="383"/>
    </row>
    <row r="59" spans="1:13" x14ac:dyDescent="0.25">
      <c r="A59" s="122"/>
      <c r="B59" s="106" t="s">
        <v>103</v>
      </c>
      <c r="C59" s="107">
        <v>1</v>
      </c>
      <c r="D59" s="108" t="s">
        <v>10</v>
      </c>
      <c r="E59" s="383"/>
      <c r="F59" s="383"/>
      <c r="G59" s="383"/>
      <c r="H59" s="383"/>
      <c r="I59" s="383"/>
      <c r="J59" s="383"/>
      <c r="K59" s="383"/>
      <c r="L59" s="383"/>
      <c r="M59" s="383"/>
    </row>
    <row r="60" spans="1:13" x14ac:dyDescent="0.25">
      <c r="A60" s="122"/>
      <c r="B60" s="383"/>
      <c r="C60" s="383"/>
      <c r="D60" s="383"/>
      <c r="E60" s="383"/>
      <c r="F60" s="383"/>
      <c r="G60" s="383"/>
      <c r="H60" s="383"/>
      <c r="I60" s="383"/>
      <c r="J60" s="383"/>
      <c r="K60" s="383"/>
      <c r="L60" s="383"/>
      <c r="M60" s="383"/>
    </row>
    <row r="61" spans="1:13" x14ac:dyDescent="0.25">
      <c r="A61" s="122" t="str">
        <f>ORÇAMENTO!A69</f>
        <v>6.3.8</v>
      </c>
      <c r="B61" s="631" t="str">
        <f>ORÇAMENTO!D69</f>
        <v>Luva p/ elet. FºGº de 1 1/4" (IE)</v>
      </c>
      <c r="C61" s="631"/>
      <c r="D61" s="631"/>
      <c r="E61" s="631"/>
      <c r="F61" s="631"/>
      <c r="G61" s="631"/>
      <c r="H61" s="631"/>
      <c r="I61" s="631"/>
      <c r="J61" s="631"/>
      <c r="K61" s="631"/>
      <c r="L61" s="631"/>
      <c r="M61" s="631"/>
    </row>
    <row r="62" spans="1:13" x14ac:dyDescent="0.25">
      <c r="A62" s="122"/>
      <c r="B62" s="383"/>
      <c r="C62" s="383"/>
      <c r="D62" s="383"/>
      <c r="E62" s="383"/>
      <c r="F62" s="383"/>
      <c r="G62" s="383"/>
      <c r="H62" s="383"/>
      <c r="I62" s="383"/>
      <c r="J62" s="383"/>
      <c r="K62" s="383"/>
      <c r="L62" s="383"/>
      <c r="M62" s="383"/>
    </row>
    <row r="63" spans="1:13" x14ac:dyDescent="0.25">
      <c r="A63" s="122"/>
      <c r="B63" s="106" t="s">
        <v>103</v>
      </c>
      <c r="C63" s="107">
        <v>2</v>
      </c>
      <c r="D63" s="108" t="s">
        <v>10</v>
      </c>
      <c r="E63" s="383"/>
      <c r="F63" s="383"/>
      <c r="G63" s="383"/>
      <c r="H63" s="383"/>
      <c r="I63" s="383"/>
      <c r="J63" s="383"/>
      <c r="K63" s="383"/>
      <c r="L63" s="383"/>
      <c r="M63" s="383"/>
    </row>
    <row r="64" spans="1:13" x14ac:dyDescent="0.25">
      <c r="A64" s="122"/>
      <c r="B64" s="383"/>
      <c r="C64" s="383"/>
      <c r="D64" s="383"/>
      <c r="E64" s="383"/>
      <c r="F64" s="383"/>
      <c r="G64" s="383"/>
      <c r="H64" s="383"/>
      <c r="I64" s="383"/>
      <c r="J64" s="383"/>
      <c r="K64" s="383"/>
      <c r="L64" s="383"/>
      <c r="M64" s="383"/>
    </row>
    <row r="65" spans="1:13" x14ac:dyDescent="0.25">
      <c r="A65" s="122" t="str">
        <f>ORÇAMENTO!A70</f>
        <v>6.3.9</v>
      </c>
      <c r="B65" s="631" t="str">
        <f>ORÇAMENTO!D70</f>
        <v>Luva p/ elet. PVC de 1 1/4" (IE)</v>
      </c>
      <c r="C65" s="631"/>
      <c r="D65" s="631"/>
      <c r="E65" s="631"/>
      <c r="F65" s="631"/>
      <c r="G65" s="631"/>
      <c r="H65" s="631"/>
      <c r="I65" s="631"/>
      <c r="J65" s="631"/>
      <c r="K65" s="631"/>
      <c r="L65" s="631"/>
      <c r="M65" s="631"/>
    </row>
    <row r="66" spans="1:13" x14ac:dyDescent="0.25">
      <c r="A66" s="122"/>
      <c r="B66" s="383"/>
      <c r="C66" s="383"/>
      <c r="D66" s="383"/>
      <c r="E66" s="383"/>
      <c r="F66" s="383"/>
      <c r="G66" s="383"/>
      <c r="H66" s="383"/>
      <c r="I66" s="383"/>
      <c r="J66" s="383"/>
      <c r="K66" s="383"/>
      <c r="L66" s="383"/>
      <c r="M66" s="383"/>
    </row>
    <row r="67" spans="1:13" x14ac:dyDescent="0.25">
      <c r="A67" s="122"/>
      <c r="B67" s="106" t="s">
        <v>103</v>
      </c>
      <c r="C67" s="107">
        <v>2</v>
      </c>
      <c r="D67" s="108" t="s">
        <v>10</v>
      </c>
      <c r="E67" s="383"/>
      <c r="F67" s="383"/>
      <c r="G67" s="383"/>
      <c r="H67" s="383"/>
      <c r="I67" s="383"/>
      <c r="J67" s="383"/>
      <c r="K67" s="383"/>
      <c r="L67" s="383"/>
      <c r="M67" s="383"/>
    </row>
    <row r="68" spans="1:13" x14ac:dyDescent="0.25">
      <c r="A68" s="122"/>
      <c r="B68" s="383"/>
      <c r="C68" s="383"/>
      <c r="D68" s="383"/>
      <c r="E68" s="383"/>
      <c r="F68" s="383"/>
      <c r="G68" s="383"/>
      <c r="H68" s="383"/>
      <c r="I68" s="383"/>
      <c r="J68" s="383"/>
      <c r="K68" s="383"/>
      <c r="L68" s="383"/>
      <c r="M68" s="383"/>
    </row>
    <row r="69" spans="1:13" ht="32.25" customHeight="1" x14ac:dyDescent="0.25">
      <c r="A69" s="122" t="str">
        <f>ORÇAMENTO!A71</f>
        <v>6.3.10</v>
      </c>
      <c r="B69" s="631" t="str">
        <f>ORÇAMENTO!D71</f>
        <v>CABO DE COBRE FLEXÍVEL ISOLADO, 4 MM², ANTI-CHAMA 450/750 V, PARA CIRCUITOS TERMINAIS - FORNECIMENTO E INSTALAÇÃO. AF_03/2023</v>
      </c>
      <c r="C69" s="631"/>
      <c r="D69" s="631"/>
      <c r="E69" s="631"/>
      <c r="F69" s="631"/>
      <c r="G69" s="631"/>
      <c r="H69" s="631"/>
      <c r="I69" s="631"/>
      <c r="J69" s="631"/>
      <c r="K69" s="631"/>
      <c r="L69" s="631"/>
      <c r="M69" s="631"/>
    </row>
    <row r="70" spans="1:13" x14ac:dyDescent="0.25">
      <c r="A70" s="122"/>
      <c r="B70" s="383"/>
      <c r="C70" s="383"/>
      <c r="D70" s="383"/>
      <c r="E70" s="383"/>
      <c r="F70" s="383"/>
      <c r="G70" s="383"/>
      <c r="H70" s="383"/>
      <c r="I70" s="383"/>
      <c r="J70" s="383"/>
      <c r="K70" s="383"/>
      <c r="L70" s="383"/>
      <c r="M70" s="383"/>
    </row>
    <row r="71" spans="1:13" x14ac:dyDescent="0.25">
      <c r="A71" s="122"/>
      <c r="B71" s="106" t="s">
        <v>103</v>
      </c>
      <c r="C71" s="107">
        <v>2000</v>
      </c>
      <c r="D71" s="108" t="s">
        <v>12</v>
      </c>
      <c r="E71" s="383"/>
      <c r="F71" s="383"/>
      <c r="G71" s="383"/>
      <c r="H71" s="383"/>
      <c r="I71" s="383"/>
      <c r="J71" s="383"/>
      <c r="K71" s="383"/>
      <c r="L71" s="383"/>
      <c r="M71" s="383"/>
    </row>
    <row r="72" spans="1:13" x14ac:dyDescent="0.25">
      <c r="A72" s="122"/>
      <c r="B72" s="383"/>
      <c r="C72" s="383"/>
      <c r="D72" s="383"/>
      <c r="E72" s="383"/>
      <c r="F72" s="383"/>
      <c r="G72" s="383"/>
      <c r="H72" s="383"/>
      <c r="I72" s="383"/>
      <c r="J72" s="383"/>
      <c r="K72" s="383"/>
      <c r="L72" s="383"/>
      <c r="M72" s="383"/>
    </row>
    <row r="73" spans="1:13" x14ac:dyDescent="0.25">
      <c r="A73" s="122" t="str">
        <f>ORÇAMENTO!A72</f>
        <v>6.3.11</v>
      </c>
      <c r="B73" s="631" t="str">
        <f>ORÇAMENTO!D72</f>
        <v>CABO DE COBRE FLEXÍVEL ISOLADO, 10 MM², ANTI-CHAMA 450/750 V, PARA CIRCUITOS TERMINAIS - FORNECIMENTO E INSTALAÇÃO. AF_03/2023</v>
      </c>
      <c r="C73" s="631"/>
      <c r="D73" s="631"/>
      <c r="E73" s="631"/>
      <c r="F73" s="631"/>
      <c r="G73" s="631"/>
      <c r="H73" s="631"/>
      <c r="I73" s="631"/>
      <c r="J73" s="631"/>
      <c r="K73" s="631"/>
      <c r="L73" s="631"/>
      <c r="M73" s="631"/>
    </row>
    <row r="74" spans="1:13" x14ac:dyDescent="0.25">
      <c r="A74" s="122"/>
      <c r="B74" s="383"/>
      <c r="C74" s="383"/>
      <c r="D74" s="383"/>
      <c r="E74" s="383"/>
      <c r="F74" s="383"/>
      <c r="G74" s="383"/>
      <c r="H74" s="383"/>
      <c r="I74" s="383"/>
      <c r="J74" s="383"/>
      <c r="K74" s="383"/>
      <c r="L74" s="383"/>
      <c r="M74" s="383"/>
    </row>
    <row r="75" spans="1:13" x14ac:dyDescent="0.25">
      <c r="A75" s="122"/>
      <c r="B75" s="106" t="s">
        <v>103</v>
      </c>
      <c r="C75" s="107">
        <v>5</v>
      </c>
      <c r="D75" s="108" t="s">
        <v>12</v>
      </c>
      <c r="E75" s="383"/>
      <c r="F75" s="383"/>
      <c r="G75" s="383"/>
      <c r="H75" s="383"/>
      <c r="I75" s="383"/>
      <c r="J75" s="383"/>
      <c r="K75" s="383"/>
      <c r="L75" s="383"/>
      <c r="M75" s="383"/>
    </row>
    <row r="76" spans="1:13" x14ac:dyDescent="0.25">
      <c r="A76" s="122"/>
      <c r="B76" s="383"/>
      <c r="C76" s="383"/>
      <c r="D76" s="383"/>
      <c r="E76" s="383"/>
      <c r="F76" s="383"/>
      <c r="G76" s="383"/>
      <c r="H76" s="383"/>
      <c r="I76" s="383"/>
      <c r="J76" s="383"/>
      <c r="K76" s="383"/>
      <c r="L76" s="383"/>
      <c r="M76" s="383"/>
    </row>
    <row r="77" spans="1:13" x14ac:dyDescent="0.25">
      <c r="A77" s="122" t="str">
        <f>ORÇAMENTO!A73</f>
        <v>6.3.12</v>
      </c>
      <c r="B77" s="631" t="str">
        <f>ORÇAMENTO!D73</f>
        <v>CABO DE COBRE FLEXÍVEL ISOLADO, 10 MM², 0,6/1,0 KV, PARA REDE AÉREA DE DISTRIBUIÇÃO DE ENERGIA ELÉTRICA DE BAIXA TENSÃO - FORNECIMENTO E INSTALAÇÃO. AF_07/2020</v>
      </c>
      <c r="C77" s="631"/>
      <c r="D77" s="631"/>
      <c r="E77" s="631"/>
      <c r="F77" s="631"/>
      <c r="G77" s="631"/>
      <c r="H77" s="631"/>
      <c r="I77" s="631"/>
      <c r="J77" s="631"/>
      <c r="K77" s="631"/>
      <c r="L77" s="631"/>
      <c r="M77" s="631"/>
    </row>
    <row r="78" spans="1:13" x14ac:dyDescent="0.25">
      <c r="A78" s="122"/>
      <c r="B78" s="383"/>
      <c r="C78" s="383"/>
      <c r="D78" s="383"/>
      <c r="E78" s="383"/>
      <c r="F78" s="383"/>
      <c r="G78" s="383"/>
      <c r="H78" s="383"/>
      <c r="I78" s="383"/>
      <c r="J78" s="383"/>
      <c r="K78" s="383"/>
      <c r="L78" s="383"/>
      <c r="M78" s="383"/>
    </row>
    <row r="79" spans="1:13" x14ac:dyDescent="0.25">
      <c r="A79" s="122"/>
      <c r="B79" s="106" t="s">
        <v>103</v>
      </c>
      <c r="C79" s="107">
        <v>15</v>
      </c>
      <c r="D79" s="108" t="s">
        <v>12</v>
      </c>
      <c r="E79" s="383"/>
      <c r="F79" s="383"/>
      <c r="G79" s="383"/>
      <c r="H79" s="383"/>
      <c r="I79" s="383"/>
      <c r="J79" s="383"/>
      <c r="K79" s="383"/>
      <c r="L79" s="383"/>
      <c r="M79" s="383"/>
    </row>
    <row r="80" spans="1:13" x14ac:dyDescent="0.25">
      <c r="A80" s="122"/>
      <c r="B80" s="383"/>
      <c r="C80" s="383"/>
      <c r="D80" s="383"/>
      <c r="E80" s="383"/>
      <c r="F80" s="383"/>
      <c r="G80" s="383"/>
      <c r="H80" s="383"/>
      <c r="I80" s="383"/>
      <c r="J80" s="383"/>
      <c r="K80" s="383"/>
      <c r="L80" s="383"/>
      <c r="M80" s="383"/>
    </row>
    <row r="81" spans="1:13" x14ac:dyDescent="0.25">
      <c r="A81" s="122" t="str">
        <f>ORÇAMENTO!A74</f>
        <v>6.3.13</v>
      </c>
      <c r="B81" s="631" t="str">
        <f>ORÇAMENTO!D74</f>
        <v>CABO DE COBRE NÚ 10MM² - FORNECIMENTO E INSTALAÇÃO</v>
      </c>
      <c r="C81" s="631"/>
      <c r="D81" s="631"/>
      <c r="E81" s="631"/>
      <c r="F81" s="631"/>
      <c r="G81" s="631"/>
      <c r="H81" s="631"/>
      <c r="I81" s="631"/>
      <c r="J81" s="631"/>
      <c r="K81" s="631"/>
      <c r="L81" s="631"/>
      <c r="M81" s="631"/>
    </row>
    <row r="82" spans="1:13" x14ac:dyDescent="0.25">
      <c r="A82" s="122"/>
      <c r="B82" s="383"/>
      <c r="C82" s="383"/>
      <c r="D82" s="383"/>
      <c r="E82" s="383"/>
      <c r="F82" s="383"/>
      <c r="G82" s="383"/>
      <c r="H82" s="383"/>
      <c r="I82" s="383"/>
      <c r="J82" s="383"/>
      <c r="K82" s="383"/>
      <c r="L82" s="383"/>
      <c r="M82" s="383"/>
    </row>
    <row r="83" spans="1:13" x14ac:dyDescent="0.25">
      <c r="A83" s="122"/>
      <c r="B83" s="106" t="s">
        <v>103</v>
      </c>
      <c r="C83" s="107">
        <v>10</v>
      </c>
      <c r="D83" s="108" t="s">
        <v>12</v>
      </c>
      <c r="E83" s="383"/>
      <c r="F83" s="383"/>
      <c r="G83" s="383"/>
      <c r="H83" s="383"/>
      <c r="I83" s="383"/>
      <c r="J83" s="383"/>
      <c r="K83" s="383"/>
      <c r="L83" s="383"/>
      <c r="M83" s="383"/>
    </row>
    <row r="84" spans="1:13" x14ac:dyDescent="0.25">
      <c r="A84" s="122"/>
      <c r="B84" s="383"/>
      <c r="C84" s="383"/>
      <c r="D84" s="383"/>
      <c r="E84" s="383"/>
      <c r="F84" s="383"/>
      <c r="G84" s="383"/>
      <c r="H84" s="383"/>
      <c r="I84" s="383"/>
      <c r="J84" s="383"/>
      <c r="K84" s="383"/>
      <c r="L84" s="383"/>
      <c r="M84" s="383"/>
    </row>
    <row r="85" spans="1:13" x14ac:dyDescent="0.25">
      <c r="A85" s="122" t="str">
        <f>ORÇAMENTO!A75</f>
        <v>6.3.14</v>
      </c>
      <c r="B85" s="631" t="str">
        <f>ORÇAMENTO!D75</f>
        <v>Caixa em alvenaria de  30x30x30cm c/ tpo. concreto</v>
      </c>
      <c r="C85" s="631"/>
      <c r="D85" s="631"/>
      <c r="E85" s="631"/>
      <c r="F85" s="631"/>
      <c r="G85" s="631"/>
      <c r="H85" s="631"/>
      <c r="I85" s="631"/>
      <c r="J85" s="631"/>
      <c r="K85" s="631"/>
      <c r="L85" s="631"/>
      <c r="M85" s="631"/>
    </row>
    <row r="86" spans="1:13" x14ac:dyDescent="0.25">
      <c r="A86" s="122"/>
      <c r="B86" s="383"/>
      <c r="C86" s="383"/>
      <c r="D86" s="383"/>
      <c r="E86" s="383"/>
      <c r="F86" s="383"/>
      <c r="G86" s="383"/>
      <c r="H86" s="383"/>
      <c r="I86" s="383"/>
      <c r="J86" s="383"/>
      <c r="K86" s="383"/>
      <c r="L86" s="383"/>
      <c r="M86" s="383"/>
    </row>
    <row r="87" spans="1:13" x14ac:dyDescent="0.25">
      <c r="A87" s="122"/>
      <c r="B87" s="106" t="s">
        <v>103</v>
      </c>
      <c r="C87" s="107">
        <v>10</v>
      </c>
      <c r="D87" s="108" t="s">
        <v>10</v>
      </c>
      <c r="E87" s="383"/>
      <c r="F87" s="383"/>
      <c r="G87" s="383"/>
      <c r="H87" s="383"/>
      <c r="I87" s="383"/>
      <c r="J87" s="383"/>
      <c r="K87" s="383"/>
      <c r="L87" s="383"/>
      <c r="M87" s="383"/>
    </row>
    <row r="88" spans="1:13" x14ac:dyDescent="0.25">
      <c r="A88" s="122"/>
      <c r="B88" s="383"/>
      <c r="C88" s="383"/>
      <c r="D88" s="383"/>
      <c r="E88" s="383"/>
      <c r="F88" s="383"/>
      <c r="G88" s="383"/>
      <c r="H88" s="383"/>
      <c r="I88" s="383"/>
      <c r="J88" s="383"/>
      <c r="K88" s="383"/>
      <c r="L88" s="383"/>
      <c r="M88" s="383"/>
    </row>
    <row r="89" spans="1:13" x14ac:dyDescent="0.25">
      <c r="A89" s="122" t="str">
        <f>ORÇAMENTO!A76</f>
        <v>6.4</v>
      </c>
      <c r="B89" s="631" t="str">
        <f>ORÇAMENTO!D76</f>
        <v>QUADROS E DISJUNTORES</v>
      </c>
      <c r="C89" s="631"/>
      <c r="D89" s="631"/>
      <c r="E89" s="631"/>
      <c r="F89" s="631"/>
      <c r="G89" s="631"/>
      <c r="H89" s="631"/>
      <c r="I89" s="631"/>
      <c r="J89" s="631"/>
      <c r="K89" s="631"/>
      <c r="L89" s="631"/>
      <c r="M89" s="631"/>
    </row>
    <row r="90" spans="1:13" x14ac:dyDescent="0.25">
      <c r="A90" s="122" t="str">
        <f>ORÇAMENTO!A77</f>
        <v>6.4.1</v>
      </c>
      <c r="B90" s="631" t="str">
        <f>ORÇAMENTO!D77</f>
        <v>CAIXA PARA MEDIDOR POLIFÁSICO INCLUINDO ACESSÓRIOS DE FIXAÇÃO - FORNECIMENTO E INSTALAÇÃO</v>
      </c>
      <c r="C90" s="631"/>
      <c r="D90" s="631"/>
      <c r="E90" s="631"/>
      <c r="F90" s="631"/>
      <c r="G90" s="631"/>
      <c r="H90" s="631"/>
      <c r="I90" s="631"/>
      <c r="J90" s="631"/>
      <c r="K90" s="631"/>
      <c r="L90" s="631"/>
      <c r="M90" s="631"/>
    </row>
    <row r="91" spans="1:13" x14ac:dyDescent="0.25">
      <c r="A91" s="122"/>
      <c r="B91" s="383"/>
      <c r="C91" s="383"/>
      <c r="D91" s="383"/>
      <c r="E91" s="383"/>
      <c r="F91" s="383"/>
      <c r="G91" s="383"/>
      <c r="H91" s="383"/>
      <c r="I91" s="383"/>
      <c r="J91" s="383"/>
      <c r="K91" s="383"/>
      <c r="L91" s="383"/>
      <c r="M91" s="383"/>
    </row>
    <row r="92" spans="1:13" x14ac:dyDescent="0.25">
      <c r="A92" s="122"/>
      <c r="B92" s="106" t="s">
        <v>103</v>
      </c>
      <c r="C92" s="107">
        <v>1</v>
      </c>
      <c r="D92" s="108" t="s">
        <v>10</v>
      </c>
      <c r="E92" s="383"/>
      <c r="F92" s="383"/>
      <c r="G92" s="383"/>
      <c r="H92" s="383"/>
      <c r="I92" s="383"/>
      <c r="J92" s="383"/>
      <c r="K92" s="383"/>
      <c r="L92" s="383"/>
      <c r="M92" s="383"/>
    </row>
    <row r="93" spans="1:13" x14ac:dyDescent="0.25">
      <c r="A93" s="122"/>
      <c r="B93" s="383"/>
      <c r="C93" s="383"/>
      <c r="D93" s="383"/>
      <c r="E93" s="383"/>
      <c r="F93" s="383"/>
      <c r="G93" s="383"/>
      <c r="H93" s="383"/>
      <c r="I93" s="383"/>
      <c r="J93" s="383"/>
      <c r="K93" s="383"/>
      <c r="L93" s="383"/>
      <c r="M93" s="383"/>
    </row>
    <row r="94" spans="1:13" ht="32.25" customHeight="1" x14ac:dyDescent="0.25">
      <c r="A94" s="122" t="str">
        <f>ORÇAMENTO!A78</f>
        <v>6.4.2</v>
      </c>
      <c r="B94" s="631" t="str">
        <f>ORÇAMENTO!D78</f>
        <v>QUADRO DE DISTRIBUIÇÃO DE ENERGIA EM CHAPA DE AÇO GALVANIZADO, DE EMBUTIR, COM BARRAMENTO BIFÁSICO, PARA 24 DISJUNTORES DIN 100A - FORNECIMENTO E INSTALAÇÃO. AF_10/2020</v>
      </c>
      <c r="C94" s="631"/>
      <c r="D94" s="631"/>
      <c r="E94" s="631"/>
      <c r="F94" s="631"/>
      <c r="G94" s="631"/>
      <c r="H94" s="631"/>
      <c r="I94" s="631"/>
      <c r="J94" s="631"/>
      <c r="K94" s="631"/>
      <c r="L94" s="631"/>
      <c r="M94" s="631"/>
    </row>
    <row r="95" spans="1:13" x14ac:dyDescent="0.25">
      <c r="A95" s="122"/>
      <c r="B95" s="383"/>
      <c r="C95" s="383"/>
      <c r="D95" s="383"/>
      <c r="E95" s="383"/>
      <c r="F95" s="383"/>
      <c r="G95" s="383"/>
      <c r="H95" s="383"/>
      <c r="I95" s="383"/>
      <c r="J95" s="383"/>
      <c r="K95" s="383"/>
      <c r="L95" s="383"/>
      <c r="M95" s="383"/>
    </row>
    <row r="96" spans="1:13" x14ac:dyDescent="0.25">
      <c r="A96" s="122"/>
      <c r="B96" s="106" t="s">
        <v>103</v>
      </c>
      <c r="C96" s="107">
        <v>1</v>
      </c>
      <c r="D96" s="108" t="s">
        <v>10</v>
      </c>
      <c r="E96" s="383"/>
      <c r="F96" s="383"/>
      <c r="G96" s="383"/>
      <c r="H96" s="383"/>
      <c r="I96" s="383"/>
      <c r="J96" s="383"/>
      <c r="K96" s="383"/>
      <c r="L96" s="383"/>
      <c r="M96" s="383"/>
    </row>
    <row r="97" spans="1:13" x14ac:dyDescent="0.25">
      <c r="A97" s="122"/>
      <c r="B97" s="383"/>
      <c r="C97" s="383"/>
      <c r="D97" s="383"/>
      <c r="E97" s="383"/>
      <c r="F97" s="383"/>
      <c r="G97" s="383"/>
      <c r="H97" s="383"/>
      <c r="I97" s="383"/>
      <c r="J97" s="383"/>
      <c r="K97" s="383"/>
      <c r="L97" s="383"/>
      <c r="M97" s="383"/>
    </row>
    <row r="98" spans="1:13" x14ac:dyDescent="0.25">
      <c r="A98" s="122" t="str">
        <f>ORÇAMENTO!A79</f>
        <v>6.4.3</v>
      </c>
      <c r="B98" s="631" t="str">
        <f>ORÇAMENTO!D79</f>
        <v>DISJUNTOR BIPOLAR TIPO DIN, CORRENTE NOMINAL DE 10A - FORNECIMENTO E INSTALAÇÃO. AF_10/2020</v>
      </c>
      <c r="C98" s="631"/>
      <c r="D98" s="631"/>
      <c r="E98" s="631"/>
      <c r="F98" s="631"/>
      <c r="G98" s="631"/>
      <c r="H98" s="631"/>
      <c r="I98" s="631"/>
      <c r="J98" s="631"/>
      <c r="K98" s="631"/>
      <c r="L98" s="631"/>
      <c r="M98" s="631"/>
    </row>
    <row r="99" spans="1:13" x14ac:dyDescent="0.25">
      <c r="A99" s="122"/>
      <c r="B99" s="383"/>
      <c r="C99" s="383"/>
      <c r="D99" s="383"/>
      <c r="E99" s="383"/>
      <c r="F99" s="383"/>
      <c r="G99" s="383"/>
      <c r="H99" s="383"/>
      <c r="I99" s="383"/>
      <c r="J99" s="383"/>
      <c r="K99" s="383"/>
      <c r="L99" s="383"/>
      <c r="M99" s="383"/>
    </row>
    <row r="100" spans="1:13" x14ac:dyDescent="0.25">
      <c r="A100" s="122"/>
      <c r="B100" s="106" t="s">
        <v>103</v>
      </c>
      <c r="C100" s="107">
        <v>3</v>
      </c>
      <c r="D100" s="108" t="s">
        <v>10</v>
      </c>
      <c r="E100" s="383"/>
      <c r="F100" s="383"/>
      <c r="G100" s="383"/>
      <c r="H100" s="383"/>
      <c r="I100" s="383"/>
      <c r="J100" s="383"/>
      <c r="K100" s="383"/>
      <c r="L100" s="383"/>
      <c r="M100" s="383"/>
    </row>
    <row r="101" spans="1:13" x14ac:dyDescent="0.25">
      <c r="A101" s="122"/>
      <c r="B101" s="383"/>
      <c r="C101" s="383"/>
      <c r="D101" s="383"/>
      <c r="E101" s="383"/>
      <c r="F101" s="383"/>
      <c r="G101" s="383"/>
      <c r="H101" s="383"/>
      <c r="I101" s="383"/>
      <c r="J101" s="383"/>
      <c r="K101" s="383"/>
      <c r="L101" s="383"/>
      <c r="M101" s="383"/>
    </row>
    <row r="102" spans="1:13" x14ac:dyDescent="0.25">
      <c r="A102" s="122" t="str">
        <f>ORÇAMENTO!A80</f>
        <v>6.4.4</v>
      </c>
      <c r="B102" s="631" t="str">
        <f>ORÇAMENTO!D80</f>
        <v>DISJUNTOR BIPOLAR TIPO DIN, CORRENTE NOMINAL DE 16A - FORNECIMENTO E INSTALAÇÃO. AF_10/2020</v>
      </c>
      <c r="C102" s="631"/>
      <c r="D102" s="631"/>
      <c r="E102" s="631"/>
      <c r="F102" s="631"/>
      <c r="G102" s="631"/>
      <c r="H102" s="631"/>
      <c r="I102" s="631"/>
      <c r="J102" s="631"/>
      <c r="K102" s="631"/>
      <c r="L102" s="631"/>
      <c r="M102" s="631"/>
    </row>
    <row r="103" spans="1:13" x14ac:dyDescent="0.25">
      <c r="A103" s="122"/>
      <c r="B103" s="383"/>
      <c r="C103" s="383"/>
      <c r="D103" s="383"/>
      <c r="E103" s="383"/>
      <c r="F103" s="383"/>
      <c r="G103" s="383"/>
      <c r="H103" s="383"/>
      <c r="I103" s="383"/>
      <c r="J103" s="383"/>
      <c r="K103" s="383"/>
      <c r="L103" s="383"/>
      <c r="M103" s="383"/>
    </row>
    <row r="104" spans="1:13" x14ac:dyDescent="0.25">
      <c r="A104" s="122"/>
      <c r="B104" s="106" t="s">
        <v>103</v>
      </c>
      <c r="C104" s="107">
        <v>2</v>
      </c>
      <c r="D104" s="108" t="s">
        <v>10</v>
      </c>
      <c r="E104" s="383"/>
      <c r="F104" s="383"/>
      <c r="G104" s="383"/>
      <c r="H104" s="383"/>
      <c r="I104" s="383"/>
      <c r="J104" s="383"/>
      <c r="K104" s="383"/>
      <c r="L104" s="383"/>
      <c r="M104" s="383"/>
    </row>
    <row r="105" spans="1:13" x14ac:dyDescent="0.25">
      <c r="A105" s="122"/>
      <c r="B105" s="383"/>
      <c r="C105" s="383"/>
      <c r="D105" s="383"/>
      <c r="E105" s="383"/>
      <c r="F105" s="383"/>
      <c r="G105" s="383"/>
      <c r="H105" s="383"/>
      <c r="I105" s="383"/>
      <c r="J105" s="383"/>
      <c r="K105" s="383"/>
      <c r="L105" s="383"/>
      <c r="M105" s="383"/>
    </row>
    <row r="106" spans="1:13" x14ac:dyDescent="0.25">
      <c r="A106" s="122" t="str">
        <f>ORÇAMENTO!A81</f>
        <v>6.4.5</v>
      </c>
      <c r="B106" s="631" t="str">
        <f>ORÇAMENTO!D81</f>
        <v>DISJUNTOR BIPOLAR TIPO DIN, CORRENTE NOMINAL DE 40A - FORNECIMENTO E INSTALAÇÃO. AF_10/2020</v>
      </c>
      <c r="C106" s="631"/>
      <c r="D106" s="631"/>
      <c r="E106" s="631"/>
      <c r="F106" s="631"/>
      <c r="G106" s="631"/>
      <c r="H106" s="631"/>
      <c r="I106" s="631"/>
      <c r="J106" s="631"/>
      <c r="K106" s="631"/>
      <c r="L106" s="631"/>
      <c r="M106" s="631"/>
    </row>
    <row r="107" spans="1:13" x14ac:dyDescent="0.25">
      <c r="A107" s="122"/>
      <c r="B107" s="383"/>
      <c r="C107" s="383"/>
      <c r="D107" s="383"/>
      <c r="E107" s="383"/>
      <c r="F107" s="383"/>
      <c r="G107" s="383"/>
      <c r="H107" s="383"/>
      <c r="I107" s="383"/>
      <c r="J107" s="383"/>
      <c r="K107" s="383"/>
      <c r="L107" s="383"/>
      <c r="M107" s="383"/>
    </row>
    <row r="108" spans="1:13" x14ac:dyDescent="0.25">
      <c r="A108" s="122"/>
      <c r="B108" s="106" t="s">
        <v>103</v>
      </c>
      <c r="C108" s="107">
        <v>2</v>
      </c>
      <c r="D108" s="108" t="s">
        <v>10</v>
      </c>
      <c r="E108" s="383"/>
      <c r="F108" s="383"/>
      <c r="G108" s="383"/>
      <c r="H108" s="383"/>
      <c r="I108" s="383"/>
      <c r="J108" s="383"/>
      <c r="K108" s="383"/>
      <c r="L108" s="383"/>
      <c r="M108" s="383"/>
    </row>
    <row r="109" spans="1:13" x14ac:dyDescent="0.25">
      <c r="A109" s="122"/>
      <c r="B109" s="383"/>
      <c r="C109" s="383"/>
      <c r="D109" s="383"/>
      <c r="E109" s="383"/>
      <c r="F109" s="383"/>
      <c r="G109" s="383"/>
      <c r="H109" s="383"/>
      <c r="I109" s="383"/>
      <c r="J109" s="383"/>
      <c r="K109" s="383"/>
      <c r="L109" s="383"/>
      <c r="M109" s="383"/>
    </row>
    <row r="110" spans="1:13" x14ac:dyDescent="0.25">
      <c r="A110" s="122" t="str">
        <f>ORÇAMENTO!A82</f>
        <v>6.4.6</v>
      </c>
      <c r="B110" s="631" t="str">
        <f>ORÇAMENTO!D82</f>
        <v>INTERRUPTOR DIFERENCIAL RESIDUAL DR-4P-100A - 30mA - FORNECIMENTO E INSTALAÇÃO</v>
      </c>
      <c r="C110" s="631"/>
      <c r="D110" s="631"/>
      <c r="E110" s="631"/>
      <c r="F110" s="631"/>
      <c r="G110" s="631"/>
      <c r="H110" s="631"/>
      <c r="I110" s="631"/>
      <c r="J110" s="631"/>
      <c r="K110" s="631"/>
      <c r="L110" s="631"/>
      <c r="M110" s="631"/>
    </row>
    <row r="111" spans="1:13" x14ac:dyDescent="0.25">
      <c r="A111" s="122"/>
      <c r="B111" s="383"/>
      <c r="C111" s="383"/>
      <c r="D111" s="383"/>
      <c r="E111" s="383"/>
      <c r="F111" s="383"/>
      <c r="G111" s="383"/>
      <c r="H111" s="383"/>
      <c r="I111" s="383"/>
      <c r="J111" s="383"/>
      <c r="K111" s="383"/>
      <c r="L111" s="383"/>
      <c r="M111" s="383"/>
    </row>
    <row r="112" spans="1:13" x14ac:dyDescent="0.25">
      <c r="A112" s="122"/>
      <c r="B112" s="106" t="s">
        <v>103</v>
      </c>
      <c r="C112" s="107">
        <v>1</v>
      </c>
      <c r="D112" s="108" t="s">
        <v>10</v>
      </c>
      <c r="E112" s="383"/>
      <c r="F112" s="383"/>
      <c r="G112" s="383"/>
      <c r="H112" s="383"/>
      <c r="I112" s="383"/>
      <c r="J112" s="383"/>
      <c r="K112" s="383"/>
      <c r="L112" s="383"/>
      <c r="M112" s="383"/>
    </row>
    <row r="113" spans="1:13" x14ac:dyDescent="0.25">
      <c r="A113" s="122"/>
      <c r="B113" s="383"/>
      <c r="C113" s="383"/>
      <c r="D113" s="383"/>
      <c r="E113" s="383"/>
      <c r="F113" s="383"/>
      <c r="G113" s="383"/>
      <c r="H113" s="383"/>
      <c r="I113" s="383"/>
      <c r="J113" s="383"/>
      <c r="K113" s="383"/>
      <c r="L113" s="383"/>
      <c r="M113" s="383"/>
    </row>
    <row r="114" spans="1:13" x14ac:dyDescent="0.25">
      <c r="A114" s="122" t="str">
        <f>ORÇAMENTO!A83</f>
        <v>6.4.7</v>
      </c>
      <c r="B114" s="631" t="str">
        <f>ORÇAMENTO!D83</f>
        <v>Supressor de transientes tipo Varistor 20KA-175V.</v>
      </c>
      <c r="C114" s="631"/>
      <c r="D114" s="631"/>
      <c r="E114" s="631"/>
      <c r="F114" s="631"/>
      <c r="G114" s="631"/>
      <c r="H114" s="631"/>
      <c r="I114" s="631"/>
      <c r="J114" s="631"/>
      <c r="K114" s="631"/>
      <c r="L114" s="631"/>
      <c r="M114" s="631"/>
    </row>
    <row r="116" spans="1:13" x14ac:dyDescent="0.25">
      <c r="B116" s="106" t="s">
        <v>103</v>
      </c>
      <c r="C116" s="107">
        <v>3</v>
      </c>
      <c r="D116" s="108" t="s">
        <v>10</v>
      </c>
    </row>
  </sheetData>
  <mergeCells count="51">
    <mergeCell ref="B110:M110"/>
    <mergeCell ref="B114:M114"/>
    <mergeCell ref="B85:M85"/>
    <mergeCell ref="B89:M89"/>
    <mergeCell ref="B90:M90"/>
    <mergeCell ref="B94:M94"/>
    <mergeCell ref="B98:M98"/>
    <mergeCell ref="B73:M73"/>
    <mergeCell ref="B77:M77"/>
    <mergeCell ref="B81:M81"/>
    <mergeCell ref="B102:M102"/>
    <mergeCell ref="B106:M106"/>
    <mergeCell ref="B53:M53"/>
    <mergeCell ref="B57:M57"/>
    <mergeCell ref="B61:M61"/>
    <mergeCell ref="B65:M65"/>
    <mergeCell ref="B69:M69"/>
    <mergeCell ref="B33:M33"/>
    <mergeCell ref="B37:M37"/>
    <mergeCell ref="B41:M41"/>
    <mergeCell ref="B45:M45"/>
    <mergeCell ref="B49:M49"/>
    <mergeCell ref="B20:M20"/>
    <mergeCell ref="B19:M19"/>
    <mergeCell ref="B24:M24"/>
    <mergeCell ref="B28:M28"/>
    <mergeCell ref="B32:M32"/>
    <mergeCell ref="B15:M15"/>
    <mergeCell ref="B11:M11"/>
    <mergeCell ref="A1:M1"/>
    <mergeCell ref="C2:H2"/>
    <mergeCell ref="I2:J2"/>
    <mergeCell ref="K2:M2"/>
    <mergeCell ref="A4:B4"/>
    <mergeCell ref="C5:H5"/>
    <mergeCell ref="I5:J5"/>
    <mergeCell ref="K5:M5"/>
    <mergeCell ref="C6:H6"/>
    <mergeCell ref="A2:B2"/>
    <mergeCell ref="A3:B3"/>
    <mergeCell ref="A5:B5"/>
    <mergeCell ref="C3:H3"/>
    <mergeCell ref="A8:M8"/>
    <mergeCell ref="B10:M10"/>
    <mergeCell ref="A6:B6"/>
    <mergeCell ref="I3:J4"/>
    <mergeCell ref="K3:M3"/>
    <mergeCell ref="C4:H4"/>
    <mergeCell ref="K4:M4"/>
    <mergeCell ref="I6:J6"/>
    <mergeCell ref="K6:M6"/>
  </mergeCells>
  <pageMargins left="0.511811024" right="0.511811024" top="0.78740157499999996" bottom="0.78740157499999996" header="0.31496062000000002" footer="0.31496062000000002"/>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0"/>
  <sheetViews>
    <sheetView view="pageBreakPreview" zoomScale="96" zoomScaleNormal="100" zoomScaleSheetLayoutView="96" workbookViewId="0">
      <selection activeCell="O24" sqref="O24"/>
    </sheetView>
  </sheetViews>
  <sheetFormatPr defaultRowHeight="15" x14ac:dyDescent="0.25"/>
  <cols>
    <col min="1" max="1" width="8.7109375" customWidth="1"/>
    <col min="2" max="2" width="12.7109375" customWidth="1"/>
    <col min="3" max="10" width="11.7109375" customWidth="1"/>
    <col min="11" max="13" width="10.7109375" customWidth="1"/>
  </cols>
  <sheetData>
    <row r="1" spans="1:16" ht="60" customHeight="1" thickBot="1" x14ac:dyDescent="0.3">
      <c r="A1" s="579" t="str">
        <f>ORÇAMENTO!A1</f>
        <v>GOVERNO DO ESTADO DO PARÁ
PREFEITURA MUNICIPAL DE OURÉM
CNPJ 05.149.133/0001-48</v>
      </c>
      <c r="B1" s="579"/>
      <c r="C1" s="579"/>
      <c r="D1" s="579"/>
      <c r="E1" s="579"/>
      <c r="F1" s="579"/>
      <c r="G1" s="579"/>
      <c r="H1" s="579"/>
      <c r="I1" s="579"/>
      <c r="J1" s="579"/>
      <c r="K1" s="579"/>
      <c r="L1" s="579"/>
      <c r="M1" s="579"/>
      <c r="N1" s="38"/>
      <c r="O1" s="38"/>
      <c r="P1" s="38"/>
    </row>
    <row r="2" spans="1:16" ht="24.95" customHeight="1" x14ac:dyDescent="0.25">
      <c r="A2" s="580" t="str">
        <f>ORÇAMENTO!A2</f>
        <v>Proponente:</v>
      </c>
      <c r="B2" s="581"/>
      <c r="C2" s="582" t="str">
        <f>ORÇAMENTO!C2</f>
        <v>PREFEITURA MUNICIPAL DE OURÉM</v>
      </c>
      <c r="D2" s="582"/>
      <c r="E2" s="582"/>
      <c r="F2" s="582"/>
      <c r="G2" s="582"/>
      <c r="H2" s="582"/>
      <c r="I2" s="581" t="str">
        <f>ORÇAMENTO!E2</f>
        <v>Município/UF:</v>
      </c>
      <c r="J2" s="581"/>
      <c r="K2" s="583" t="str">
        <f>ORÇAMENTO!G2</f>
        <v>OURÉM/PA</v>
      </c>
      <c r="L2" s="584"/>
      <c r="M2" s="585"/>
      <c r="N2" s="38"/>
      <c r="O2" s="38"/>
      <c r="P2" s="38"/>
    </row>
    <row r="3" spans="1:16" ht="30" customHeight="1" x14ac:dyDescent="0.25">
      <c r="A3" s="586" t="str">
        <f>ORÇAMENTO!A3</f>
        <v>Objeto:</v>
      </c>
      <c r="B3" s="587"/>
      <c r="C3" s="588" t="str">
        <f>ORÇAMENTO!C3</f>
        <v>RECONSTRUÇÃO DA PRAÇA PURAQUEQUARINHA NO MUNICÍPIO DE OURÉM/PA</v>
      </c>
      <c r="D3" s="588"/>
      <c r="E3" s="588"/>
      <c r="F3" s="588"/>
      <c r="G3" s="588"/>
      <c r="H3" s="588"/>
      <c r="I3" s="587" t="str">
        <f>ORÇAMENTO!E3</f>
        <v>Data Base:</v>
      </c>
      <c r="J3" s="587"/>
      <c r="K3" s="589" t="str">
        <f>ORÇAMENTO!G3</f>
        <v>SINAPI JANEIRO 2024 - DESONERADO</v>
      </c>
      <c r="L3" s="589"/>
      <c r="M3" s="590"/>
      <c r="N3" s="38"/>
      <c r="O3" s="38"/>
      <c r="P3" s="38"/>
    </row>
    <row r="4" spans="1:16" ht="30" customHeight="1" x14ac:dyDescent="0.25">
      <c r="A4" s="586" t="str">
        <f>ORÇAMENTO!A4</f>
        <v>Endereço Da Obra:</v>
      </c>
      <c r="B4" s="587"/>
      <c r="C4" s="588" t="str">
        <f>ORÇAMENTO!C4</f>
        <v>AV. PRINCIPAL, S/N, VILA PURAQUEQUARINHA, OURÉM, PA</v>
      </c>
      <c r="D4" s="588"/>
      <c r="E4" s="588"/>
      <c r="F4" s="588"/>
      <c r="G4" s="588"/>
      <c r="H4" s="588"/>
      <c r="I4" s="587"/>
      <c r="J4" s="587"/>
      <c r="K4" s="589" t="str">
        <f>ORÇAMENTO!G4</f>
        <v>SEOP FEVEREIRO 2024 - DESONERADO</v>
      </c>
      <c r="L4" s="589"/>
      <c r="M4" s="590"/>
      <c r="N4" s="38"/>
      <c r="O4" s="38"/>
      <c r="P4" s="38"/>
    </row>
    <row r="5" spans="1:16" ht="24.95" customHeight="1" x14ac:dyDescent="0.25">
      <c r="A5" s="600" t="str">
        <f>ORÇAMENTO!A5</f>
        <v>Valor:</v>
      </c>
      <c r="B5" s="601"/>
      <c r="C5" s="602">
        <f>ORÇAMENTO!C5</f>
        <v>341934.37</v>
      </c>
      <c r="D5" s="602"/>
      <c r="E5" s="602"/>
      <c r="F5" s="602"/>
      <c r="G5" s="602"/>
      <c r="H5" s="602"/>
      <c r="I5" s="594" t="str">
        <f>ORÇAMENTO!E5</f>
        <v>BDI - Serviços</v>
      </c>
      <c r="J5" s="594"/>
      <c r="K5" s="596">
        <f>ORÇAMENTO!G5</f>
        <v>0.29769428939090381</v>
      </c>
      <c r="L5" s="596"/>
      <c r="M5" s="597"/>
      <c r="N5" s="38"/>
      <c r="O5" s="38"/>
      <c r="P5" s="38"/>
    </row>
    <row r="6" spans="1:16" ht="24.95" customHeight="1" thickBot="1" x14ac:dyDescent="0.3">
      <c r="A6" s="603" t="str">
        <f>ORÇAMENTO!A6</f>
        <v xml:space="preserve">Responsável Técnico:    </v>
      </c>
      <c r="B6" s="604"/>
      <c r="C6" s="605" t="str">
        <f>ORÇAMENTO!C6</f>
        <v>MARUZA BAPTISTA</v>
      </c>
      <c r="D6" s="605"/>
      <c r="E6" s="605"/>
      <c r="F6" s="605"/>
      <c r="G6" s="605"/>
      <c r="H6" s="605"/>
      <c r="I6" s="595" t="str">
        <f>ORÇAMENTO!E6</f>
        <v xml:space="preserve">Registro Profissional:  </v>
      </c>
      <c r="J6" s="595"/>
      <c r="K6" s="598" t="str">
        <f>ORÇAMENTO!G6</f>
        <v>CAU: 28510-2 A</v>
      </c>
      <c r="L6" s="598"/>
      <c r="M6" s="599"/>
      <c r="N6" s="38"/>
      <c r="O6" s="38"/>
      <c r="P6" s="38"/>
    </row>
    <row r="7" spans="1:16" ht="15.75" thickBot="1" x14ac:dyDescent="0.3">
      <c r="A7" s="38"/>
      <c r="B7" s="38"/>
      <c r="C7" s="38"/>
      <c r="D7" s="38"/>
      <c r="E7" s="38"/>
      <c r="F7" s="38"/>
      <c r="G7" s="38"/>
      <c r="H7" s="38"/>
      <c r="I7" s="38"/>
      <c r="J7" s="38"/>
      <c r="K7" s="38"/>
      <c r="L7" s="38"/>
      <c r="M7" s="38"/>
      <c r="N7" s="38"/>
      <c r="O7" s="38"/>
      <c r="P7" s="38"/>
    </row>
    <row r="8" spans="1:16" ht="15" customHeight="1" thickBot="1" x14ac:dyDescent="0.3">
      <c r="A8" s="591" t="s">
        <v>196</v>
      </c>
      <c r="B8" s="592"/>
      <c r="C8" s="592"/>
      <c r="D8" s="592"/>
      <c r="E8" s="592"/>
      <c r="F8" s="592"/>
      <c r="G8" s="592"/>
      <c r="H8" s="592"/>
      <c r="I8" s="592"/>
      <c r="J8" s="592"/>
      <c r="K8" s="592"/>
      <c r="L8" s="592"/>
      <c r="M8" s="593"/>
      <c r="N8" s="38"/>
      <c r="O8" s="38"/>
      <c r="P8" s="38"/>
    </row>
    <row r="9" spans="1:16" x14ac:dyDescent="0.25">
      <c r="A9" s="38"/>
      <c r="B9" s="38"/>
      <c r="C9" s="38"/>
      <c r="D9" s="38"/>
      <c r="E9" s="38"/>
      <c r="F9" s="38"/>
      <c r="G9" s="38"/>
      <c r="H9" s="38"/>
      <c r="I9" s="38"/>
      <c r="J9" s="38"/>
      <c r="K9" s="38"/>
      <c r="L9" s="38"/>
      <c r="M9" s="38"/>
      <c r="N9" s="38"/>
      <c r="O9" s="38"/>
      <c r="P9" s="38"/>
    </row>
    <row r="10" spans="1:16" x14ac:dyDescent="0.25">
      <c r="A10" s="192">
        <f>ORÇAMENTO!A84</f>
        <v>7</v>
      </c>
      <c r="B10" s="606" t="str">
        <f>ORÇAMENTO!D84</f>
        <v>SERVIÇOS FINAIS</v>
      </c>
      <c r="C10" s="606"/>
      <c r="D10" s="606"/>
      <c r="E10" s="606"/>
      <c r="F10" s="606"/>
      <c r="G10" s="606"/>
      <c r="H10" s="606"/>
      <c r="I10" s="606"/>
      <c r="J10" s="606"/>
      <c r="K10" s="606"/>
      <c r="L10" s="606"/>
      <c r="M10" s="606"/>
      <c r="N10" s="38"/>
      <c r="O10" s="38"/>
      <c r="P10" s="38"/>
    </row>
    <row r="11" spans="1:16" ht="20.100000000000001" customHeight="1" x14ac:dyDescent="0.25">
      <c r="A11" s="8" t="str">
        <f>ORÇAMENTO!A85</f>
        <v>7.1</v>
      </c>
      <c r="B11" s="607" t="str">
        <f>ORÇAMENTO!D85</f>
        <v>LIMPEZA FINAL DA OBRA</v>
      </c>
      <c r="C11" s="607"/>
      <c r="D11" s="607"/>
      <c r="E11" s="607"/>
      <c r="F11" s="607"/>
      <c r="G11" s="607"/>
      <c r="H11" s="607"/>
      <c r="I11" s="607"/>
      <c r="J11" s="607"/>
      <c r="K11" s="607"/>
      <c r="L11" s="607"/>
      <c r="M11" s="607"/>
      <c r="N11" s="8"/>
      <c r="O11" s="8"/>
      <c r="P11" s="4"/>
    </row>
    <row r="12" spans="1:16" ht="15" customHeight="1" x14ac:dyDescent="0.25">
      <c r="A12" s="207"/>
      <c r="B12" s="222"/>
      <c r="C12" s="222"/>
      <c r="D12" s="222"/>
      <c r="E12" s="222"/>
      <c r="F12" s="224"/>
      <c r="G12" s="222"/>
      <c r="H12" s="228"/>
      <c r="I12" s="228"/>
      <c r="J12" s="228"/>
      <c r="K12" s="228"/>
      <c r="L12" s="228"/>
      <c r="M12" s="228"/>
    </row>
    <row r="13" spans="1:16" ht="15" customHeight="1" x14ac:dyDescent="0.25">
      <c r="A13" s="207"/>
      <c r="B13" s="218"/>
      <c r="C13" s="219" t="s">
        <v>197</v>
      </c>
      <c r="D13" s="219"/>
      <c r="E13" s="219" t="s">
        <v>75</v>
      </c>
      <c r="F13" s="294"/>
      <c r="G13" s="219" t="s">
        <v>101</v>
      </c>
      <c r="H13" s="228"/>
      <c r="I13" s="228"/>
      <c r="J13" s="228"/>
      <c r="K13" s="228"/>
      <c r="L13" s="228"/>
      <c r="M13" s="228"/>
    </row>
    <row r="14" spans="1:16" ht="15" customHeight="1" x14ac:dyDescent="0.25">
      <c r="A14" s="207"/>
      <c r="B14" s="220" t="s">
        <v>263</v>
      </c>
      <c r="C14" s="220">
        <v>51.07</v>
      </c>
      <c r="D14" s="220" t="s">
        <v>18</v>
      </c>
      <c r="E14" s="220">
        <v>23.6</v>
      </c>
      <c r="F14" s="221" t="s">
        <v>19</v>
      </c>
      <c r="G14" s="220">
        <f>ROUND(C14*E14,2)</f>
        <v>1205.25</v>
      </c>
      <c r="H14" s="228"/>
      <c r="I14" s="228"/>
      <c r="J14" s="228"/>
      <c r="K14" s="228"/>
      <c r="L14" s="228"/>
      <c r="M14" s="228"/>
    </row>
    <row r="15" spans="1:16" ht="15" customHeight="1" x14ac:dyDescent="0.25">
      <c r="A15" s="207"/>
      <c r="B15" s="222"/>
      <c r="C15" s="222"/>
      <c r="D15" s="222"/>
      <c r="E15" s="222"/>
      <c r="F15" s="224"/>
      <c r="G15" s="222"/>
      <c r="H15" s="228"/>
      <c r="I15" s="228"/>
      <c r="J15" s="228"/>
      <c r="K15" s="228"/>
      <c r="L15" s="228"/>
      <c r="M15" s="228"/>
    </row>
    <row r="16" spans="1:16" ht="15" customHeight="1" thickBot="1" x14ac:dyDescent="0.3">
      <c r="A16" s="207"/>
      <c r="B16" s="222"/>
      <c r="C16" s="222"/>
      <c r="D16" s="222"/>
      <c r="E16" s="222"/>
      <c r="F16" s="224"/>
      <c r="G16" s="222"/>
      <c r="H16" s="228"/>
      <c r="I16" s="228"/>
      <c r="J16" s="228"/>
      <c r="K16" s="228"/>
      <c r="L16" s="228"/>
      <c r="M16" s="228"/>
    </row>
    <row r="17" spans="1:13" ht="24" customHeight="1" thickBot="1" x14ac:dyDescent="0.3">
      <c r="A17" s="207"/>
      <c r="B17" s="231" t="s">
        <v>100</v>
      </c>
      <c r="C17" s="226">
        <f>G14</f>
        <v>1205.25</v>
      </c>
      <c r="D17" s="227" t="s">
        <v>5</v>
      </c>
      <c r="E17" s="228"/>
      <c r="F17" s="222"/>
      <c r="G17" s="223"/>
      <c r="H17" s="228"/>
      <c r="I17" s="228"/>
      <c r="J17" s="228"/>
      <c r="K17" s="228"/>
      <c r="L17" s="228"/>
      <c r="M17" s="228"/>
    </row>
    <row r="18" spans="1:13" ht="20.100000000000001" customHeight="1" x14ac:dyDescent="0.25">
      <c r="B18" s="229"/>
      <c r="C18" s="229"/>
      <c r="D18" s="229"/>
      <c r="E18" s="229"/>
      <c r="F18" s="229"/>
      <c r="G18" s="229"/>
      <c r="H18" s="229"/>
      <c r="I18" s="229"/>
      <c r="J18" s="229"/>
      <c r="K18" s="229"/>
      <c r="L18" s="229"/>
      <c r="M18" s="229"/>
    </row>
    <row r="19" spans="1:13" ht="20.100000000000001" customHeight="1" x14ac:dyDescent="0.25">
      <c r="B19" s="229"/>
      <c r="C19" s="229"/>
      <c r="D19" s="229"/>
      <c r="E19" s="229"/>
      <c r="F19" s="229"/>
      <c r="G19" s="229"/>
      <c r="H19" s="229"/>
      <c r="I19" s="229"/>
      <c r="J19" s="229"/>
      <c r="K19" s="229"/>
      <c r="L19" s="229"/>
      <c r="M19" s="229"/>
    </row>
    <row r="20" spans="1:13" ht="20.100000000000001" customHeight="1" x14ac:dyDescent="0.25">
      <c r="B20" s="229"/>
      <c r="C20" s="229"/>
      <c r="D20" s="229"/>
      <c r="E20" s="229"/>
      <c r="F20" s="229"/>
      <c r="G20" s="229"/>
      <c r="H20" s="229"/>
      <c r="I20" s="229"/>
      <c r="J20" s="229"/>
      <c r="K20" s="229"/>
      <c r="L20" s="229"/>
      <c r="M20" s="229"/>
    </row>
  </sheetData>
  <mergeCells count="23">
    <mergeCell ref="A5:B5"/>
    <mergeCell ref="C5:H5"/>
    <mergeCell ref="I5:J5"/>
    <mergeCell ref="K5:M5"/>
    <mergeCell ref="B11:M11"/>
    <mergeCell ref="A6:B6"/>
    <mergeCell ref="C6:H6"/>
    <mergeCell ref="I6:J6"/>
    <mergeCell ref="K6:M6"/>
    <mergeCell ref="A8:M8"/>
    <mergeCell ref="B10:M10"/>
    <mergeCell ref="A1:M1"/>
    <mergeCell ref="A2:B2"/>
    <mergeCell ref="C2:H2"/>
    <mergeCell ref="I2:J2"/>
    <mergeCell ref="K2:M2"/>
    <mergeCell ref="A3:B3"/>
    <mergeCell ref="C3:H3"/>
    <mergeCell ref="I3:J4"/>
    <mergeCell ref="K3:M3"/>
    <mergeCell ref="A4:B4"/>
    <mergeCell ref="C4:H4"/>
    <mergeCell ref="K4:M4"/>
  </mergeCells>
  <pageMargins left="0.511811024" right="0.511811024" top="0.78740157499999996" bottom="0.78740157499999996" header="0.31496062000000002" footer="0.31496062000000002"/>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12</vt:i4>
      </vt:variant>
    </vt:vector>
  </HeadingPairs>
  <TitlesOfParts>
    <vt:vector size="23" baseType="lpstr">
      <vt:lpstr>BDI</vt:lpstr>
      <vt:lpstr>CRONOGRAMA</vt:lpstr>
      <vt:lpstr>COMPOSIÇÕES</vt:lpstr>
      <vt:lpstr>ORÇAMENTO</vt:lpstr>
      <vt:lpstr>1. ADM. LOC.</vt:lpstr>
      <vt:lpstr>2. SER.PRE.</vt:lpstr>
      <vt:lpstr>3. DEMOLIÇÃO</vt:lpstr>
      <vt:lpstr>4. PAVIM.</vt:lpstr>
      <vt:lpstr>5. URB. </vt:lpstr>
      <vt:lpstr>6. INST. ELE</vt:lpstr>
      <vt:lpstr>7. SER.FINAIS</vt:lpstr>
      <vt:lpstr>'1. ADM. LOC.'!Area_de_impressao</vt:lpstr>
      <vt:lpstr>'2. SER.PRE.'!Area_de_impressao</vt:lpstr>
      <vt:lpstr>'3. DEMOLIÇÃO'!Area_de_impressao</vt:lpstr>
      <vt:lpstr>'4. PAVIM.'!Area_de_impressao</vt:lpstr>
      <vt:lpstr>'5. URB. '!Area_de_impressao</vt:lpstr>
      <vt:lpstr>'6. INST. ELE'!Area_de_impressao</vt:lpstr>
      <vt:lpstr>'7. SER.FINAIS'!Area_de_impressao</vt:lpstr>
      <vt:lpstr>BDI!Area_de_impressao</vt:lpstr>
      <vt:lpstr>COMPOSIÇÕES!Area_de_impressao</vt:lpstr>
      <vt:lpstr>CRONOGRAMA!Area_de_impressao</vt:lpstr>
      <vt:lpstr>ORÇAMENTO!Area_de_impressao</vt:lpstr>
      <vt:lpstr>ORÇAMENTO!Titulos_de_impressao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2006-09-25T12:47:36Z</dcterms:created>
  <dcterms:modified xsi:type="dcterms:W3CDTF">2024-04-19T19:38:50Z</dcterms:modified>
</cp:coreProperties>
</file>