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736" windowHeight="11328" activeTab="4"/>
  </bookViews>
  <sheets>
    <sheet name="Orçamento" sheetId="1" r:id="rId1"/>
    <sheet name="Encargos Sociais" sheetId="2" r:id="rId2"/>
    <sheet name="BDI" sheetId="3" r:id="rId3"/>
    <sheet name="Cronograma" sheetId="4" r:id="rId4"/>
    <sheet name="CPU" sheetId="5" r:id="rId5"/>
    <sheet name="Memória de Cálculo" sheetId="6" r:id="rId6"/>
  </sheets>
  <externalReferences>
    <externalReference r:id="rId9"/>
  </externalReferences>
  <definedNames>
    <definedName name="_xlnm.Print_Area" localSheetId="2">'BDI'!$A$1:$I$46</definedName>
    <definedName name="_xlnm.Print_Area" localSheetId="4">'CPU'!$A$1:$I$32</definedName>
    <definedName name="_xlnm.Print_Area" localSheetId="3">'Cronograma'!$A$1:$F$33</definedName>
    <definedName name="_xlnm.Print_Area" localSheetId="5">'Memória de Cálculo'!$A$1:$M$370</definedName>
    <definedName name="_xlnm.Print_Area" localSheetId="0">'Orçamento'!$A$1:$I$65</definedName>
    <definedName name="_xlnm.Print_Titles" localSheetId="0">'Orçamento'!$11:$12</definedName>
  </definedNames>
  <calcPr fullCalcOnLoad="1"/>
</workbook>
</file>

<file path=xl/sharedStrings.xml><?xml version="1.0" encoding="utf-8"?>
<sst xmlns="http://schemas.openxmlformats.org/spreadsheetml/2006/main" count="813" uniqueCount="358">
  <si>
    <t>Item</t>
  </si>
  <si>
    <t>Unid.</t>
  </si>
  <si>
    <t>Quant.</t>
  </si>
  <si>
    <t>1.1</t>
  </si>
  <si>
    <t>m²</t>
  </si>
  <si>
    <t>2.1</t>
  </si>
  <si>
    <t>m³</t>
  </si>
  <si>
    <t>3</t>
  </si>
  <si>
    <t>2</t>
  </si>
  <si>
    <t>TOTAL</t>
  </si>
  <si>
    <t xml:space="preserve">PREÇO UNIT. </t>
  </si>
  <si>
    <t>VALOR TOTAL</t>
  </si>
  <si>
    <t>TABELA</t>
  </si>
  <si>
    <t>CÓDIGO</t>
  </si>
  <si>
    <t>INSTALAÇÕES ELÉTRICAS</t>
  </si>
  <si>
    <t>DESCRIÇÃO</t>
  </si>
  <si>
    <t>1º MÊS</t>
  </si>
  <si>
    <t>2º MÊS</t>
  </si>
  <si>
    <t>CRONOGRAMA FÍSICO - FINANCEIRO</t>
  </si>
  <si>
    <t>4</t>
  </si>
  <si>
    <t>4.1</t>
  </si>
  <si>
    <t xml:space="preserve">Colchão de areia e = 20 Cm </t>
  </si>
  <si>
    <t>1</t>
  </si>
  <si>
    <t>SERVIÇOS INICIAIS</t>
  </si>
  <si>
    <t>TOTAL DO ORÇAMENTO</t>
  </si>
  <si>
    <t>2.3</t>
  </si>
  <si>
    <t>DRENAGEM DE ÁGUAS PLUVIAIS</t>
  </si>
  <si>
    <t>SERVIÇOS FINAIS</t>
  </si>
  <si>
    <t>3.1</t>
  </si>
  <si>
    <t>3.3</t>
  </si>
  <si>
    <t>L=</t>
  </si>
  <si>
    <t>x</t>
  </si>
  <si>
    <t>E=</t>
  </si>
  <si>
    <t>B=</t>
  </si>
  <si>
    <t>A=</t>
  </si>
  <si>
    <t>Seixo com espalhamento</t>
  </si>
  <si>
    <t>Piso Cimentado</t>
  </si>
  <si>
    <t>3.2</t>
  </si>
  <si>
    <t>3.4</t>
  </si>
  <si>
    <t>SEDOP</t>
  </si>
  <si>
    <t>PREÇO C/ BDI</t>
  </si>
  <si>
    <t>Chapisco de cimento e areia no traço 1:3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</si>
  <si>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</si>
  <si>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</si>
  <si>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</si>
  <si>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</si>
  <si>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</si>
  <si>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</si>
  <si>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</si>
  <si>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</si>
  <si>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</si>
  <si>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</si>
  <si>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</si>
  <si>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</si>
  <si>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</si>
  <si>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</si>
  <si>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</si>
  <si>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</si>
  <si>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</si>
  <si>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</si>
  <si>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</si>
  <si>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</si>
  <si>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</si>
  <si>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</si>
  <si>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</si>
  <si>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/>
  </si>
  <si>
    <t>BDI</t>
  </si>
  <si>
    <t xml:space="preserve">TOTAL DO ITEM 2 </t>
  </si>
  <si>
    <t>TOTAL DO ITEM 3</t>
  </si>
  <si>
    <t>TOTAL DO ITEM 4</t>
  </si>
  <si>
    <t>=</t>
  </si>
  <si>
    <t>+</t>
  </si>
  <si>
    <t>cj</t>
  </si>
  <si>
    <t>REGISTRO PROFISSIONAL:</t>
  </si>
  <si>
    <t xml:space="preserve">LOCAL: </t>
  </si>
  <si>
    <t>REFERÊNCIA:</t>
  </si>
  <si>
    <t>RESPONSÁVEL TÉCNICO:</t>
  </si>
  <si>
    <t>3.5</t>
  </si>
  <si>
    <t>4.2</t>
  </si>
  <si>
    <t>4.3</t>
  </si>
  <si>
    <t>5</t>
  </si>
  <si>
    <t>5.1</t>
  </si>
  <si>
    <t>largura</t>
  </si>
  <si>
    <t>comprimento</t>
  </si>
  <si>
    <t>largura + calçada</t>
  </si>
  <si>
    <t>comprimento + calçada</t>
  </si>
  <si>
    <t>altura</t>
  </si>
  <si>
    <t>m</t>
  </si>
  <si>
    <t>Volume de escavação</t>
  </si>
  <si>
    <t>V=</t>
  </si>
  <si>
    <t>Perímetro</t>
  </si>
  <si>
    <t xml:space="preserve">largura </t>
  </si>
  <si>
    <t>Alvenaria tijolo de barro a cutelo</t>
  </si>
  <si>
    <t>quant.</t>
  </si>
  <si>
    <t>quant. De pilaretes</t>
  </si>
  <si>
    <t>2 lados</t>
  </si>
  <si>
    <t>Calçada (incl.alicerce, baldrame e concreto c/ junta seca)</t>
  </si>
  <si>
    <t>quant. De trechos</t>
  </si>
  <si>
    <t>diagonais</t>
  </si>
  <si>
    <t>principal</t>
  </si>
  <si>
    <t>total</t>
  </si>
  <si>
    <t>comp. Total</t>
  </si>
  <si>
    <t>lagura</t>
  </si>
  <si>
    <t>Caixa em alvenaria de 60x60x60cm c/ tpo. Concreto</t>
  </si>
  <si>
    <t>Portão tubo/tela arame galv.c/ferragens(incl.pint.anti-corrosiva)</t>
  </si>
  <si>
    <t>Alambrado para quadra (tubo fo e tela de arame galv.-12 #2")</t>
  </si>
  <si>
    <t>Laterais</t>
  </si>
  <si>
    <t>Frente e Fundos</t>
  </si>
  <si>
    <t>(</t>
  </si>
  <si>
    <t>)</t>
  </si>
  <si>
    <t>Cantos - Trapézios</t>
  </si>
  <si>
    <t>área do trapézio</t>
  </si>
  <si>
    <t>Somatória das áreas</t>
  </si>
  <si>
    <t>Escavação manual ate 1.50m de profundidade</t>
  </si>
  <si>
    <t>Reboco com argamassa 1:6:Adit. Plast.</t>
  </si>
  <si>
    <t>quant. refletores p/ poste</t>
  </si>
  <si>
    <t>quant. De postes</t>
  </si>
  <si>
    <t>Locação da obra a trena</t>
  </si>
  <si>
    <t>3º MÊS</t>
  </si>
  <si>
    <t>2) Alíquota máxima de PIS é de até 0,65% conforme Lei nº10.637/02 em consonância com o Regime de Tributação da Empresa</t>
  </si>
  <si>
    <t>COMPOSIÇÃO BDI DESONERADO</t>
  </si>
  <si>
    <t>MEMÓRIA DE CÁLCULO</t>
  </si>
  <si>
    <t>Descrição dos Serviços</t>
  </si>
  <si>
    <t>Barracão de madeira/Almoxarifado</t>
  </si>
  <si>
    <t>-</t>
  </si>
  <si>
    <t xml:space="preserve">Largura do portão </t>
  </si>
  <si>
    <t>Refletor aluminio c/ lâmp mista 250W E-27</t>
  </si>
  <si>
    <t>Caixa em alvenaria de 30x30x30cm c/ tpo. Concreto</t>
  </si>
  <si>
    <t>Cabo de cobre 4mm2 - 750 V</t>
  </si>
  <si>
    <t>Circuito 1</t>
  </si>
  <si>
    <t>4.4</t>
  </si>
  <si>
    <t>Tubo em PVC - 100mm (LS)</t>
  </si>
  <si>
    <t>Valas de drenagem</t>
  </si>
  <si>
    <t>Tubo</t>
  </si>
  <si>
    <t>3.6</t>
  </si>
  <si>
    <t>Haste de Aço cobreada 3/4"x3m c/ conector</t>
  </si>
  <si>
    <t>3.7</t>
  </si>
  <si>
    <t>Cordoalha de cobre nu - seçao 35 a 50mm2 - isoladores</t>
  </si>
  <si>
    <t xml:space="preserve">Obs.: </t>
  </si>
  <si>
    <t>Considerou-se 1,50m de cordoalha por poste</t>
  </si>
  <si>
    <t>comp. p/ poste</t>
  </si>
  <si>
    <t>3.8</t>
  </si>
  <si>
    <t>3.9</t>
  </si>
  <si>
    <t>Centro de distribuição p/ 03 disjuntores (s/ barramento)</t>
  </si>
  <si>
    <t>un.</t>
  </si>
  <si>
    <t>TOTAL DO ITEM 1</t>
  </si>
  <si>
    <t>TOTAL DO ITEM 5</t>
  </si>
  <si>
    <t xml:space="preserve"> Esmalte s/ ferro (superf. lisa)</t>
  </si>
  <si>
    <t>Desconto - Portão</t>
  </si>
  <si>
    <t>AREA DE ALAMBRADO</t>
  </si>
  <si>
    <t>desconto</t>
  </si>
  <si>
    <t>quant. de fios</t>
  </si>
  <si>
    <t>Total</t>
  </si>
  <si>
    <t>ADMINISTRAÇÃO LOCAL</t>
  </si>
  <si>
    <t>4.5</t>
  </si>
  <si>
    <t>4.6</t>
  </si>
  <si>
    <t>5.2</t>
  </si>
  <si>
    <t>5.3</t>
  </si>
  <si>
    <t>5.4</t>
  </si>
  <si>
    <t>6</t>
  </si>
  <si>
    <t>TOTAL DO ITEM 6</t>
  </si>
  <si>
    <t>ADMINISTRAÇÃO LOCAL (ENGENHEIRO CIVIL E ENCARREGADO DE OBRAS)</t>
  </si>
  <si>
    <t>COMPOSIÇÕES</t>
  </si>
  <si>
    <t>Descrição do item</t>
  </si>
  <si>
    <t>unidade</t>
  </si>
  <si>
    <t>Código</t>
  </si>
  <si>
    <t>UNID</t>
  </si>
  <si>
    <t>Valor</t>
  </si>
  <si>
    <t>h</t>
  </si>
  <si>
    <t>Total do item</t>
  </si>
  <si>
    <t>CPU 01</t>
  </si>
  <si>
    <t>SINAPI</t>
  </si>
  <si>
    <t>ENGENHEIRO CIVIL DE OBRA JUNIOR COM ENCARGOS COMPLEMENTARES</t>
  </si>
  <si>
    <t>ENCARREGADO GERAL COM ENCARGOS COMPLEMENTARES</t>
  </si>
  <si>
    <t>Memória de cálculo dos quant. Utilizados na CPU 01</t>
  </si>
  <si>
    <t>h/dia</t>
  </si>
  <si>
    <t>dias/mês</t>
  </si>
  <si>
    <t>prazo</t>
  </si>
  <si>
    <t>Concreto armado Fck=15 MPA c/forma mad. branca (incl. lançamento e adensamento)</t>
  </si>
  <si>
    <t>Acrílica fosca int./ext. c/fdo. preparador 3 dem.(reforma)s/massa</t>
  </si>
  <si>
    <t>anti-ferruginosa</t>
  </si>
  <si>
    <t>Poste em fo.go. h=11m (incl.base concr.ciclópico)</t>
  </si>
  <si>
    <t>Eletroduto PVC Rígido de 3/4</t>
  </si>
  <si>
    <t>Mureta de mediçao em alv.c/laje em conc.(c=2.20/l=0.50/h=2.0m)</t>
  </si>
  <si>
    <t>Disjuntor 2P - 6 a 32A - PADRÃO DIN</t>
  </si>
  <si>
    <t>Área Total</t>
  </si>
  <si>
    <t>Total (m²)</t>
  </si>
  <si>
    <t>Áreas</t>
  </si>
  <si>
    <t>Quantidade</t>
  </si>
  <si>
    <t>Área</t>
  </si>
  <si>
    <t>Volume (m³)</t>
  </si>
  <si>
    <t>Volume Total</t>
  </si>
  <si>
    <t>102487</t>
  </si>
  <si>
    <t>CONCRETO CICLÓPICO FCK = 15MPA, 30% PEDRA DE MÃO EM VOLUME REAL, INCLUSIVE LANÇAMENTO. AF_05/2021</t>
  </si>
  <si>
    <t>96536</t>
  </si>
  <si>
    <t>FABRICAÇÃO, MONTAGEM E DESMONTAGEM DE FÔRMA PARA VIGA BALDRAME, EM MADEIRA SERRADA, E=25 MM, 4 UTILIZAÇÕES. AF_06/2017</t>
  </si>
  <si>
    <t>Comprimento Total</t>
  </si>
  <si>
    <t>largura+lastro</t>
  </si>
  <si>
    <t>altura+lastro</t>
  </si>
  <si>
    <t>Comp. Total</t>
  </si>
  <si>
    <t xml:space="preserve">Área Total </t>
  </si>
  <si>
    <t>Volume</t>
  </si>
  <si>
    <t>Vol. Total</t>
  </si>
  <si>
    <t>Área interna da arena</t>
  </si>
  <si>
    <t>Portão</t>
  </si>
  <si>
    <t>Total Parcial</t>
  </si>
  <si>
    <t xml:space="preserve">Área total </t>
  </si>
  <si>
    <t>Comprimento</t>
  </si>
  <si>
    <t>Largura</t>
  </si>
  <si>
    <t>und</t>
  </si>
  <si>
    <t>Total (m)</t>
  </si>
  <si>
    <t>Total Escavado</t>
  </si>
  <si>
    <t>Volume de Seixo</t>
  </si>
  <si>
    <t>Caixa de Inspeção</t>
  </si>
  <si>
    <t>Área da arena</t>
  </si>
  <si>
    <t>5.5</t>
  </si>
  <si>
    <t>5.6</t>
  </si>
  <si>
    <t>5.7</t>
  </si>
  <si>
    <t>5.8</t>
  </si>
  <si>
    <t>5.9</t>
  </si>
  <si>
    <t>5.10</t>
  </si>
  <si>
    <t>7</t>
  </si>
  <si>
    <t>7.1</t>
  </si>
  <si>
    <t>PAVIMENTAÇÃO</t>
  </si>
  <si>
    <t>ALVENARIA</t>
  </si>
  <si>
    <t>TOTAL DO ITEM 7</t>
  </si>
  <si>
    <t>LASTRO DE CONCRETO MAGRO, APLICADO EM BLOCOS DE COROAMENTO OU SAPATAS, ESPESSURA DE 5 CM. AF_08/2017</t>
  </si>
  <si>
    <t>96619</t>
  </si>
  <si>
    <t>Área de lastro</t>
  </si>
  <si>
    <t>Largura +0,1</t>
  </si>
  <si>
    <t>ITEM</t>
  </si>
  <si>
    <t>CPU 02</t>
  </si>
  <si>
    <t>Fonte</t>
  </si>
  <si>
    <t>SINAPI-I</t>
  </si>
  <si>
    <t>TERMINAL A COMPRESSAO EM COBRE ESTANHADO PARA CABO 16 MM2, 1 FURO E 1 COMPRESSAO, PARA PARAFUSO DE FIXACAO M6</t>
  </si>
  <si>
    <t>DISJUNTOR TIPO DIN/IEC, BIPOLAR 63 A</t>
  </si>
  <si>
    <t>88247</t>
  </si>
  <si>
    <t>AUXILIAR DE ELETRICISTA COM ENCARGOS COMPLEMENTARES</t>
  </si>
  <si>
    <t>ELETRICISTA COM ENCARGOS COMPLEMENTARES</t>
  </si>
  <si>
    <t>DISJUNTOR BIPOLAR TIPO DIN, CORRENTE NOMINAL DE 60A - FORNECIMENTO E INSTALAÇÃO.</t>
  </si>
  <si>
    <t>5.11</t>
  </si>
  <si>
    <t>5.12</t>
  </si>
  <si>
    <t>5.13</t>
  </si>
  <si>
    <t>5.14</t>
  </si>
  <si>
    <t>92980</t>
  </si>
  <si>
    <t>CABO DE COBRE FLEXÍVEL ISOLADO, 10 MM², ANTI-CHAMA 0,6/1,0 KV, PARA DISTRIBUIÇÃO - FORNECIMENTO E INSTALAÇÃO. AF_12/2015</t>
  </si>
  <si>
    <t>97360</t>
  </si>
  <si>
    <t>QUADRO DE MEDIÇÃO GERAL DE ENERGIA COM 12 MEDIDORES - FORNECIMENTO E INSTALAÇÃO. AF_10/2020</t>
  </si>
  <si>
    <t>171029</t>
  </si>
  <si>
    <t>Poste de concreto circular 300 Dan h = 9m (incl. base em concreto ciclópico)</t>
  </si>
  <si>
    <t>Repasse</t>
  </si>
  <si>
    <t>Contrapartida</t>
  </si>
  <si>
    <t>Valor Global</t>
  </si>
  <si>
    <t>Licenças e taxas da obra (até 100m2)</t>
  </si>
  <si>
    <t xml:space="preserve">LIMPEZA DE CONTRAPISO COM VASSOURA A SECO. AF_04/2019 </t>
  </si>
  <si>
    <t>repasse</t>
  </si>
  <si>
    <t>cp</t>
  </si>
  <si>
    <t>PLANILHA DE COMPOSIÇÃO DE PREÇOS UNITÁRIOS/ OBRA</t>
  </si>
  <si>
    <t xml:space="preserve"> SECRETARIA MUNICIPAL DE EDUCAÇÃO DE OUREM
       CNPJ: 28.548.893/0001-23
</t>
  </si>
  <si>
    <t>Proponente:</t>
  </si>
  <si>
    <t>SECRETARIA MUNICIPAL DE EDUCAÇÃO DE OUREM</t>
  </si>
  <si>
    <t>Município/UF:</t>
  </si>
  <si>
    <t>OUREM / PA</t>
  </si>
  <si>
    <t>Objeto:</t>
  </si>
  <si>
    <t>Data Base</t>
  </si>
  <si>
    <t>SEDOP SETEMBRO 2022 / SINAPI SETEMBRO 2022</t>
  </si>
  <si>
    <t xml:space="preserve">Responsável Técnico:    </t>
  </si>
  <si>
    <t>Patrick Sidrim</t>
  </si>
  <si>
    <t xml:space="preserve">Registro Profissional:  </t>
  </si>
  <si>
    <t>CREA/PA: 1517032679</t>
  </si>
  <si>
    <t xml:space="preserve">OBRA: </t>
  </si>
  <si>
    <t xml:space="preserve">CONVENENTE:  </t>
  </si>
  <si>
    <t xml:space="preserve">DATA: </t>
  </si>
  <si>
    <t xml:space="preserve">VALOR: </t>
  </si>
  <si>
    <t>CONSTRUÇÃO DE UMA ARENA ESPORTIVA</t>
  </si>
  <si>
    <t>SETEMBRO 2022.</t>
  </si>
  <si>
    <t>VILA DO MONTEVIDÉO - ZONA RURAL DO MUNICÍPIO DE OURÉM - PARÁ</t>
  </si>
  <si>
    <t>OUREM</t>
  </si>
  <si>
    <t>Data Base:</t>
  </si>
  <si>
    <t>SEDOP SETEMBRO 2022</t>
  </si>
  <si>
    <t>Endereço Da Obra:</t>
  </si>
  <si>
    <t>SINAPI SETEMBRO 2022 - DESONERADA</t>
  </si>
  <si>
    <t>BDI (%):</t>
  </si>
  <si>
    <t>ENCARGOS SOCIAIS</t>
  </si>
  <si>
    <t>DISCRIMINAÇÃO</t>
  </si>
  <si>
    <t>HORISTAS</t>
  </si>
  <si>
    <t>MENSALISTAS</t>
  </si>
  <si>
    <t>%</t>
  </si>
  <si>
    <t>GRUPO A</t>
  </si>
  <si>
    <t>A.</t>
  </si>
  <si>
    <t>ENCARGOS SOCIAIS  Basicos</t>
  </si>
  <si>
    <t>A.1</t>
  </si>
  <si>
    <t>INSS</t>
  </si>
  <si>
    <t>A.2</t>
  </si>
  <si>
    <t>FGTS</t>
  </si>
  <si>
    <t>A.3</t>
  </si>
  <si>
    <t>Salario-Educação</t>
  </si>
  <si>
    <t>A.4</t>
  </si>
  <si>
    <t>SESI</t>
  </si>
  <si>
    <t>A.5</t>
  </si>
  <si>
    <t>SENAI</t>
  </si>
  <si>
    <t>A.6</t>
  </si>
  <si>
    <t>SEBRAE</t>
  </si>
  <si>
    <t>A.7</t>
  </si>
  <si>
    <t>INCRA</t>
  </si>
  <si>
    <t>A.8</t>
  </si>
  <si>
    <t xml:space="preserve"> Seguro</t>
  </si>
  <si>
    <t>A.9</t>
  </si>
  <si>
    <t>SECONCI</t>
  </si>
  <si>
    <t>A</t>
  </si>
  <si>
    <t xml:space="preserve">TOTAL </t>
  </si>
  <si>
    <t>GRUPO B</t>
  </si>
  <si>
    <t>B.</t>
  </si>
  <si>
    <t>ENCARGOS SOCIAIS  com incidencias de A</t>
  </si>
  <si>
    <t>B.1</t>
  </si>
  <si>
    <t>Repouso Semanal e feriados</t>
  </si>
  <si>
    <t>B.2</t>
  </si>
  <si>
    <t>Feriados</t>
  </si>
  <si>
    <t>B.3</t>
  </si>
  <si>
    <t>Auxilio-enfermidade</t>
  </si>
  <si>
    <t>B.4</t>
  </si>
  <si>
    <t>Licença-paternidade</t>
  </si>
  <si>
    <t>B.5</t>
  </si>
  <si>
    <t>Falta Justificada</t>
  </si>
  <si>
    <t>B.6</t>
  </si>
  <si>
    <t>13o. Salario</t>
  </si>
  <si>
    <t>B.7</t>
  </si>
  <si>
    <t>Dias de chuva/faltas justificadas</t>
  </si>
  <si>
    <t>B.8</t>
  </si>
  <si>
    <t>Auxilio Acidente de Trabalho</t>
  </si>
  <si>
    <t>B.9</t>
  </si>
  <si>
    <t>Férias Gozadas</t>
  </si>
  <si>
    <t>B.10</t>
  </si>
  <si>
    <t>Salário Maternidade</t>
  </si>
  <si>
    <t>B</t>
  </si>
  <si>
    <t>GRUPO C</t>
  </si>
  <si>
    <t>C.</t>
  </si>
  <si>
    <t>ENCARGOS SOCIAIS  sem incidencias de A</t>
  </si>
  <si>
    <t>C.1</t>
  </si>
  <si>
    <t xml:space="preserve">Deposito despedida s/ justa causa </t>
  </si>
  <si>
    <t>C.2</t>
  </si>
  <si>
    <t>Ferias idenizadas</t>
  </si>
  <si>
    <t>C.3</t>
  </si>
  <si>
    <t>Aviso-previo indenizado</t>
  </si>
  <si>
    <t>C.4</t>
  </si>
  <si>
    <t>Aviso Prévio Trabalhado</t>
  </si>
  <si>
    <t>C.5</t>
  </si>
  <si>
    <t>Indenização adicional</t>
  </si>
  <si>
    <t>C</t>
  </si>
  <si>
    <t>D.</t>
  </si>
  <si>
    <t>Taxas das reincidencias</t>
  </si>
  <si>
    <t>D.1</t>
  </si>
  <si>
    <t>Reincidencia de A sobre B</t>
  </si>
  <si>
    <t>D.2</t>
  </si>
  <si>
    <t>Reincidencia de A.2 sobre Aviso Prévio Trabalhado</t>
  </si>
  <si>
    <t>D</t>
  </si>
  <si>
    <t xml:space="preserve">TOTAL (A+B+C+D) </t>
  </si>
  <si>
    <t>2.2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</si>
</sst>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R$ &quot;#,##0.00"/>
    <numFmt numFmtId="174" formatCode="_(&quot;R$ &quot;* #,##0.0_);_(&quot;R$ &quot;* \(#,##0.0\);_(&quot;R$ &quot;* &quot;-&quot;??_);_(@_)"/>
    <numFmt numFmtId="175" formatCode="_(&quot;R$ &quot;* #,##0.000_);_(&quot;R$ &quot;* \(#,##0.000\);_(&quot;R$ &quot;* &quot;-&quot;??_);_(@_)"/>
    <numFmt numFmtId="176" formatCode="_(&quot;R$ &quot;* #,##0.0000_);_(&quot;R$ &quot;* \(#,##0.0000\);_(&quot;R$ &quot;* &quot;-&quot;??_);_(@_)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;;;"/>
    <numFmt numFmtId="190" formatCode="000\-00\-0000"/>
    <numFmt numFmtId="191" formatCode="0.0%"/>
    <numFmt numFmtId="192" formatCode="_(* #,##0.000_);_(* \(#,##0.000\);_(* &quot;-&quot;??_);_(@_)"/>
    <numFmt numFmtId="193" formatCode="0.000"/>
    <numFmt numFmtId="194" formatCode="_(&quot;R$ &quot;* #,##0.000_);_(&quot;R$ &quot;* \(#,##0.000\);_(&quot;R$ &quot;* &quot;-&quot;???_);_(@_)"/>
    <numFmt numFmtId="195" formatCode="#,##0.00;[Red]#,##0.00"/>
    <numFmt numFmtId="196" formatCode="_(* #,##0.000_);_(* \(#,##0.000\);_(* &quot;-&quot;???_);_(@_)"/>
    <numFmt numFmtId="197" formatCode="0.0000"/>
    <numFmt numFmtId="198" formatCode="&quot;Ativado&quot;;&quot;Ativado&quot;;&quot;Desativado&quot;"/>
    <numFmt numFmtId="199" formatCode="0.00;[Red]0.00"/>
    <numFmt numFmtId="200" formatCode="#,##0.00_ ;\-#,##0.00\ "/>
    <numFmt numFmtId="201" formatCode="[$-416]mmmm\-yy;@"/>
    <numFmt numFmtId="202" formatCode="_-[$R$-416]\ * #,##0.00_-;\-[$R$-416]\ * #,##0.00_-;_-[$R$-416]\ * &quot;-&quot;??_-;_-@_-"/>
    <numFmt numFmtId="203" formatCode="0.000000"/>
    <numFmt numFmtId="204" formatCode="0.0000000"/>
    <numFmt numFmtId="205" formatCode="[$-416]dddd\,\ d&quot; de &quot;mmmm&quot; de &quot;yyyy"/>
    <numFmt numFmtId="206" formatCode="&quot;R$&quot;\ #,##0.00"/>
    <numFmt numFmtId="207" formatCode="#,##0.000"/>
    <numFmt numFmtId="208" formatCode="#,##0.0000"/>
    <numFmt numFmtId="209" formatCode="#,##0.00000"/>
    <numFmt numFmtId="210" formatCode="#,##0.0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 Narrow"/>
      <family val="2"/>
    </font>
    <font>
      <sz val="12"/>
      <name val="Times New Roman"/>
      <family val="1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9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8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9" fontId="0" fillId="0" borderId="0" xfId="0" applyNumberFormat="1" applyAlignment="1">
      <alignment horizontal="center"/>
    </xf>
    <xf numFmtId="39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39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34" borderId="0" xfId="0" applyFill="1" applyBorder="1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0" fontId="50" fillId="0" borderId="20" xfId="58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10" fontId="50" fillId="0" borderId="23" xfId="58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vertical="center"/>
    </xf>
    <xf numFmtId="10" fontId="50" fillId="35" borderId="24" xfId="58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10" fontId="0" fillId="0" borderId="22" xfId="0" applyNumberForma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10" fontId="0" fillId="0" borderId="28" xfId="58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0" fontId="50" fillId="0" borderId="24" xfId="58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0" fillId="0" borderId="0" xfId="0" applyFont="1" applyBorder="1" applyAlignment="1">
      <alignment horizontal="righ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6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0" fontId="1" fillId="35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33" xfId="0" applyFont="1" applyBorder="1" applyAlignment="1" quotePrefix="1">
      <alignment vertical="center"/>
    </xf>
    <xf numFmtId="39" fontId="0" fillId="0" borderId="0" xfId="0" applyNumberFormat="1" applyAlignment="1">
      <alignment/>
    </xf>
    <xf numFmtId="39" fontId="0" fillId="35" borderId="0" xfId="0" applyNumberFormat="1" applyFill="1" applyAlignment="1">
      <alignment/>
    </xf>
    <xf numFmtId="39" fontId="1" fillId="35" borderId="0" xfId="0" applyNumberFormat="1" applyFont="1" applyFill="1" applyBorder="1" applyAlignment="1">
      <alignment horizontal="right"/>
    </xf>
    <xf numFmtId="39" fontId="1" fillId="35" borderId="0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8" fontId="1" fillId="0" borderId="39" xfId="0" applyNumberFormat="1" applyFont="1" applyBorder="1" applyAlignment="1">
      <alignment/>
    </xf>
    <xf numFmtId="8" fontId="0" fillId="0" borderId="39" xfId="0" applyNumberFormat="1" applyBorder="1" applyAlignment="1">
      <alignment/>
    </xf>
    <xf numFmtId="10" fontId="50" fillId="0" borderId="16" xfId="58" applyNumberFormat="1" applyFont="1" applyFill="1" applyBorder="1" applyAlignment="1" applyProtection="1">
      <alignment horizontal="center"/>
      <protection/>
    </xf>
    <xf numFmtId="10" fontId="0" fillId="0" borderId="16" xfId="0" applyNumberFormat="1" applyBorder="1" applyAlignment="1">
      <alignment horizontal="center"/>
    </xf>
    <xf numFmtId="39" fontId="1" fillId="35" borderId="0" xfId="0" applyNumberFormat="1" applyFont="1" applyFill="1" applyBorder="1" applyAlignment="1">
      <alignment/>
    </xf>
    <xf numFmtId="39" fontId="0" fillId="35" borderId="0" xfId="0" applyNumberFormat="1" applyFont="1" applyFill="1" applyBorder="1" applyAlignment="1">
      <alignment horizontal="right"/>
    </xf>
    <xf numFmtId="0" fontId="6" fillId="0" borderId="40" xfId="0" applyFont="1" applyBorder="1" applyAlignment="1">
      <alignment vertical="center"/>
    </xf>
    <xf numFmtId="0" fontId="6" fillId="0" borderId="40" xfId="0" applyFont="1" applyFill="1" applyBorder="1" applyAlignment="1" applyProtection="1">
      <alignment horizontal="left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39" fontId="6" fillId="0" borderId="40" xfId="71" applyNumberFormat="1" applyFont="1" applyFill="1" applyBorder="1" applyAlignment="1" applyProtection="1">
      <alignment horizontal="right" vertical="center" wrapText="1"/>
      <protection/>
    </xf>
    <xf numFmtId="8" fontId="6" fillId="0" borderId="40" xfId="47" applyNumberFormat="1" applyFont="1" applyFill="1" applyBorder="1" applyAlignment="1" applyProtection="1">
      <alignment horizontal="right" vertical="center"/>
      <protection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39" fontId="0" fillId="35" borderId="0" xfId="0" applyNumberFormat="1" applyFill="1" applyAlignment="1">
      <alignment horizontal="center"/>
    </xf>
    <xf numFmtId="39" fontId="0" fillId="35" borderId="0" xfId="0" applyNumberFormat="1" applyFont="1" applyFill="1" applyAlignment="1">
      <alignment horizontal="center"/>
    </xf>
    <xf numFmtId="39" fontId="1" fillId="35" borderId="0" xfId="0" applyNumberFormat="1" applyFont="1" applyFill="1" applyAlignment="1">
      <alignment horizontal="center"/>
    </xf>
    <xf numFmtId="39" fontId="0" fillId="0" borderId="0" xfId="0" applyNumberFormat="1" applyFont="1" applyAlignment="1">
      <alignment/>
    </xf>
    <xf numFmtId="39" fontId="1" fillId="36" borderId="41" xfId="0" applyNumberFormat="1" applyFont="1" applyFill="1" applyBorder="1" applyAlignment="1">
      <alignment horizontal="center"/>
    </xf>
    <xf numFmtId="39" fontId="1" fillId="36" borderId="42" xfId="0" applyNumberFormat="1" applyFont="1" applyFill="1" applyBorder="1" applyAlignment="1">
      <alignment/>
    </xf>
    <xf numFmtId="39" fontId="0" fillId="36" borderId="42" xfId="0" applyNumberFormat="1" applyFill="1" applyBorder="1" applyAlignment="1">
      <alignment/>
    </xf>
    <xf numFmtId="39" fontId="0" fillId="36" borderId="43" xfId="0" applyNumberFormat="1" applyFill="1" applyBorder="1" applyAlignment="1">
      <alignment/>
    </xf>
    <xf numFmtId="39" fontId="1" fillId="35" borderId="0" xfId="0" applyNumberFormat="1" applyFont="1" applyFill="1" applyBorder="1" applyAlignment="1">
      <alignment horizontal="left"/>
    </xf>
    <xf numFmtId="39" fontId="1" fillId="36" borderId="41" xfId="0" applyNumberFormat="1" applyFont="1" applyFill="1" applyBorder="1" applyAlignment="1">
      <alignment horizontal="center" vertical="center"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 horizontal="center" wrapText="1"/>
    </xf>
    <xf numFmtId="49" fontId="6" fillId="0" borderId="40" xfId="0" applyNumberFormat="1" applyFont="1" applyFill="1" applyBorder="1" applyAlignment="1" applyProtection="1">
      <alignment horizontal="center" vertical="center" wrapText="1"/>
      <protection/>
    </xf>
    <xf numFmtId="39" fontId="1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49" fontId="6" fillId="35" borderId="40" xfId="0" applyNumberFormat="1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left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39" fontId="6" fillId="0" borderId="0" xfId="0" applyNumberFormat="1" applyFont="1" applyAlignment="1">
      <alignment vertical="center"/>
    </xf>
    <xf numFmtId="8" fontId="6" fillId="0" borderId="0" xfId="47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39" fontId="0" fillId="0" borderId="44" xfId="0" applyNumberFormat="1" applyFont="1" applyBorder="1" applyAlignment="1">
      <alignment horizontal="center"/>
    </xf>
    <xf numFmtId="39" fontId="0" fillId="0" borderId="44" xfId="0" applyNumberFormat="1" applyBorder="1" applyAlignment="1">
      <alignment horizontal="center"/>
    </xf>
    <xf numFmtId="39" fontId="0" fillId="35" borderId="0" xfId="0" applyNumberFormat="1" applyFont="1" applyFill="1" applyBorder="1" applyAlignment="1">
      <alignment horizontal="center"/>
    </xf>
    <xf numFmtId="39" fontId="0" fillId="35" borderId="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10" fontId="0" fillId="0" borderId="14" xfId="0" applyNumberFormat="1" applyBorder="1" applyAlignment="1">
      <alignment horizontal="center"/>
    </xf>
    <xf numFmtId="0" fontId="0" fillId="37" borderId="11" xfId="0" applyFill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0" xfId="57" applyFont="1" applyAlignment="1">
      <alignment/>
    </xf>
    <xf numFmtId="0" fontId="2" fillId="0" borderId="0" xfId="0" applyFont="1" applyBorder="1" applyAlignment="1">
      <alignment vertical="center"/>
    </xf>
    <xf numFmtId="39" fontId="0" fillId="35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9" fontId="11" fillId="35" borderId="0" xfId="0" applyNumberFormat="1" applyFont="1" applyFill="1" applyBorder="1" applyAlignment="1">
      <alignment horizontal="center"/>
    </xf>
    <xf numFmtId="39" fontId="11" fillId="0" borderId="0" xfId="0" applyNumberFormat="1" applyFont="1" applyAlignment="1">
      <alignment/>
    </xf>
    <xf numFmtId="39" fontId="11" fillId="0" borderId="0" xfId="0" applyNumberFormat="1" applyFont="1" applyAlignment="1">
      <alignment horizontal="center"/>
    </xf>
    <xf numFmtId="39" fontId="0" fillId="35" borderId="0" xfId="0" applyNumberFormat="1" applyFont="1" applyFill="1" applyBorder="1" applyAlignment="1">
      <alignment horizontal="center"/>
    </xf>
    <xf numFmtId="39" fontId="0" fillId="35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9" fontId="0" fillId="35" borderId="0" xfId="0" applyNumberFormat="1" applyFont="1" applyFill="1" applyBorder="1" applyAlignment="1">
      <alignment horizontal="left"/>
    </xf>
    <xf numFmtId="39" fontId="0" fillId="0" borderId="0" xfId="0" applyNumberFormat="1" applyFont="1" applyAlignment="1" quotePrefix="1">
      <alignment horizontal="center"/>
    </xf>
    <xf numFmtId="39" fontId="0" fillId="35" borderId="44" xfId="0" applyNumberFormat="1" applyFont="1" applyFill="1" applyBorder="1" applyAlignment="1">
      <alignment horizontal="center"/>
    </xf>
    <xf numFmtId="39" fontId="0" fillId="35" borderId="44" xfId="0" applyNumberFormat="1" applyFill="1" applyBorder="1" applyAlignment="1">
      <alignment horizontal="center"/>
    </xf>
    <xf numFmtId="39" fontId="0" fillId="35" borderId="0" xfId="0" applyNumberFormat="1" applyFont="1" applyFill="1" applyAlignment="1">
      <alignment horizontal="left"/>
    </xf>
    <xf numFmtId="0" fontId="5" fillId="38" borderId="45" xfId="51" applyFont="1" applyFill="1" applyBorder="1" applyAlignment="1">
      <alignment horizontal="center" vertical="center"/>
      <protection/>
    </xf>
    <xf numFmtId="0" fontId="5" fillId="38" borderId="42" xfId="51" applyFont="1" applyFill="1" applyBorder="1" applyAlignment="1">
      <alignment horizontal="center" vertical="center"/>
      <protection/>
    </xf>
    <xf numFmtId="0" fontId="5" fillId="38" borderId="41" xfId="51" applyFont="1" applyFill="1" applyBorder="1" applyAlignment="1">
      <alignment/>
      <protection/>
    </xf>
    <xf numFmtId="0" fontId="5" fillId="38" borderId="42" xfId="51" applyFont="1" applyFill="1" applyBorder="1" applyAlignment="1">
      <alignment/>
      <protection/>
    </xf>
    <xf numFmtId="0" fontId="5" fillId="38" borderId="40" xfId="51" applyFont="1" applyFill="1" applyBorder="1" applyAlignment="1">
      <alignment horizontal="center"/>
      <protection/>
    </xf>
    <xf numFmtId="0" fontId="5" fillId="38" borderId="46" xfId="51" applyFont="1" applyFill="1" applyBorder="1" applyAlignment="1">
      <alignment horizontal="center"/>
      <protection/>
    </xf>
    <xf numFmtId="4" fontId="6" fillId="0" borderId="47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/>
    </xf>
    <xf numFmtId="0" fontId="5" fillId="35" borderId="40" xfId="51" applyFont="1" applyFill="1" applyBorder="1" applyAlignment="1">
      <alignment horizontal="center" vertical="center"/>
      <protection/>
    </xf>
    <xf numFmtId="0" fontId="5" fillId="35" borderId="41" xfId="51" applyFont="1" applyFill="1" applyBorder="1" applyAlignment="1">
      <alignment/>
      <protection/>
    </xf>
    <xf numFmtId="0" fontId="5" fillId="35" borderId="42" xfId="51" applyFont="1" applyFill="1" applyBorder="1" applyAlignment="1">
      <alignment/>
      <protection/>
    </xf>
    <xf numFmtId="0" fontId="5" fillId="35" borderId="40" xfId="51" applyFont="1" applyFill="1" applyBorder="1" applyAlignment="1">
      <alignment horizontal="center"/>
      <protection/>
    </xf>
    <xf numFmtId="8" fontId="5" fillId="35" borderId="40" xfId="51" applyNumberFormat="1" applyFont="1" applyFill="1" applyBorder="1" applyAlignment="1">
      <alignment horizontal="center"/>
      <protection/>
    </xf>
    <xf numFmtId="8" fontId="5" fillId="35" borderId="46" xfId="51" applyNumberFormat="1" applyFont="1" applyFill="1" applyBorder="1" applyAlignment="1">
      <alignment horizontal="center"/>
      <protection/>
    </xf>
    <xf numFmtId="0" fontId="6" fillId="0" borderId="45" xfId="0" applyFont="1" applyBorder="1" applyAlignment="1">
      <alignment horizontal="center" vertical="center"/>
    </xf>
    <xf numFmtId="0" fontId="6" fillId="35" borderId="40" xfId="51" applyFont="1" applyFill="1" applyBorder="1" applyAlignment="1">
      <alignment horizontal="center" vertical="center" wrapText="1"/>
      <protection/>
    </xf>
    <xf numFmtId="0" fontId="6" fillId="35" borderId="40" xfId="51" applyFont="1" applyFill="1" applyBorder="1" applyAlignment="1">
      <alignment horizontal="center" vertical="center"/>
      <protection/>
    </xf>
    <xf numFmtId="4" fontId="6" fillId="35" borderId="40" xfId="51" applyNumberFormat="1" applyFont="1" applyFill="1" applyBorder="1" applyAlignment="1">
      <alignment horizontal="center" vertical="center" wrapText="1"/>
      <protection/>
    </xf>
    <xf numFmtId="206" fontId="6" fillId="0" borderId="40" xfId="51" applyNumberFormat="1" applyFont="1" applyFill="1" applyBorder="1" applyAlignment="1">
      <alignment horizontal="right" vertical="center" wrapText="1"/>
      <protection/>
    </xf>
    <xf numFmtId="8" fontId="6" fillId="35" borderId="46" xfId="51" applyNumberFormat="1" applyFont="1" applyFill="1" applyBorder="1" applyAlignment="1">
      <alignment horizontal="right" vertical="center"/>
      <protection/>
    </xf>
    <xf numFmtId="0" fontId="6" fillId="38" borderId="38" xfId="51" applyFont="1" applyFill="1" applyBorder="1" applyAlignment="1">
      <alignment horizontal="center" vertical="center"/>
      <protection/>
    </xf>
    <xf numFmtId="0" fontId="6" fillId="38" borderId="49" xfId="51" applyFont="1" applyFill="1" applyBorder="1" applyAlignment="1">
      <alignment horizontal="center" vertical="center"/>
      <protection/>
    </xf>
    <xf numFmtId="0" fontId="5" fillId="38" borderId="39" xfId="51" applyFont="1" applyFill="1" applyBorder="1" applyAlignment="1">
      <alignment horizontal="center"/>
      <protection/>
    </xf>
    <xf numFmtId="8" fontId="5" fillId="38" borderId="39" xfId="51" applyNumberFormat="1" applyFont="1" applyFill="1" applyBorder="1" applyAlignment="1">
      <alignment horizontal="center" vertical="center"/>
      <protection/>
    </xf>
    <xf numFmtId="8" fontId="5" fillId="38" borderId="50" xfId="51" applyNumberFormat="1" applyFont="1" applyFill="1" applyBorder="1" applyAlignment="1">
      <alignment horizontal="right"/>
      <protection/>
    </xf>
    <xf numFmtId="0" fontId="5" fillId="35" borderId="4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1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1" fillId="0" borderId="58" xfId="58" applyNumberFormat="1" applyFont="1" applyFill="1" applyBorder="1" applyAlignment="1" applyProtection="1">
      <alignment horizontal="center" vertical="center"/>
      <protection/>
    </xf>
    <xf numFmtId="10" fontId="1" fillId="0" borderId="58" xfId="0" applyNumberFormat="1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4" fontId="6" fillId="0" borderId="40" xfId="47" applyNumberFormat="1" applyFont="1" applyFill="1" applyBorder="1" applyAlignment="1" applyProtection="1">
      <alignment horizontal="center" vertical="center"/>
      <protection/>
    </xf>
    <xf numFmtId="44" fontId="6" fillId="35" borderId="40" xfId="47" applyNumberFormat="1" applyFont="1" applyFill="1" applyBorder="1" applyAlignment="1" applyProtection="1">
      <alignment horizontal="center" vertical="center"/>
      <protection/>
    </xf>
    <xf numFmtId="44" fontId="6" fillId="35" borderId="40" xfId="0" applyNumberFormat="1" applyFont="1" applyFill="1" applyBorder="1" applyAlignment="1" applyProtection="1">
      <alignment horizontal="center" vertical="center" wrapText="1"/>
      <protection/>
    </xf>
    <xf numFmtId="44" fontId="5" fillId="0" borderId="40" xfId="71" applyNumberFormat="1" applyFont="1" applyFill="1" applyBorder="1" applyAlignment="1" applyProtection="1">
      <alignment horizontal="center" vertical="center" wrapText="1"/>
      <protection/>
    </xf>
    <xf numFmtId="10" fontId="0" fillId="34" borderId="0" xfId="57" applyNumberFormat="1" applyFont="1" applyFill="1" applyBorder="1" applyAlignment="1">
      <alignment/>
    </xf>
    <xf numFmtId="39" fontId="1" fillId="39" borderId="41" xfId="0" applyNumberFormat="1" applyFont="1" applyFill="1" applyBorder="1" applyAlignment="1">
      <alignment horizontal="center"/>
    </xf>
    <xf numFmtId="39" fontId="1" fillId="39" borderId="42" xfId="0" applyNumberFormat="1" applyFont="1" applyFill="1" applyBorder="1" applyAlignment="1">
      <alignment horizontal="center"/>
    </xf>
    <xf numFmtId="39" fontId="1" fillId="39" borderId="43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" vertical="center"/>
    </xf>
    <xf numFmtId="39" fontId="0" fillId="0" borderId="0" xfId="0" applyNumberFormat="1" applyFont="1" applyAlignment="1">
      <alignment horizontal="center" vertical="center" wrapText="1"/>
    </xf>
    <xf numFmtId="39" fontId="0" fillId="0" borderId="0" xfId="0" applyNumberFormat="1" applyAlignment="1">
      <alignment horizontal="center" vertical="center"/>
    </xf>
    <xf numFmtId="39" fontId="0" fillId="0" borderId="0" xfId="0" applyNumberFormat="1" applyFont="1" applyAlignment="1">
      <alignment horizontal="center" vertical="center"/>
    </xf>
    <xf numFmtId="39" fontId="0" fillId="0" borderId="0" xfId="0" applyNumberFormat="1" applyAlignment="1">
      <alignment vertical="center"/>
    </xf>
    <xf numFmtId="0" fontId="0" fillId="0" borderId="59" xfId="0" applyBorder="1" applyAlignment="1">
      <alignment horizontal="center"/>
    </xf>
    <xf numFmtId="44" fontId="0" fillId="0" borderId="15" xfId="0" applyNumberFormat="1" applyBorder="1" applyAlignment="1">
      <alignment/>
    </xf>
    <xf numFmtId="44" fontId="0" fillId="0" borderId="55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7" xfId="0" applyBorder="1" applyAlignment="1">
      <alignment/>
    </xf>
    <xf numFmtId="49" fontId="0" fillId="0" borderId="15" xfId="0" applyNumberForma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60" xfId="0" applyNumberFormat="1" applyBorder="1" applyAlignment="1">
      <alignment horizontal="center"/>
    </xf>
    <xf numFmtId="0" fontId="0" fillId="37" borderId="61" xfId="0" applyFill="1" applyBorder="1" applyAlignment="1">
      <alignment horizontal="center"/>
    </xf>
    <xf numFmtId="8" fontId="0" fillId="0" borderId="62" xfId="0" applyNumberFormat="1" applyBorder="1" applyAlignment="1">
      <alignment horizontal="center"/>
    </xf>
    <xf numFmtId="10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8" fontId="0" fillId="0" borderId="62" xfId="0" applyNumberFormat="1" applyBorder="1" applyAlignment="1">
      <alignment/>
    </xf>
    <xf numFmtId="49" fontId="0" fillId="0" borderId="48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8" fontId="0" fillId="0" borderId="50" xfId="0" applyNumberFormat="1" applyBorder="1" applyAlignment="1">
      <alignment/>
    </xf>
    <xf numFmtId="206" fontId="0" fillId="0" borderId="0" xfId="0" applyNumberFormat="1" applyAlignment="1">
      <alignment/>
    </xf>
    <xf numFmtId="0" fontId="5" fillId="38" borderId="39" xfId="51" applyFont="1" applyFill="1" applyBorder="1" applyAlignment="1">
      <alignment horizontal="center"/>
      <protection/>
    </xf>
    <xf numFmtId="4" fontId="6" fillId="0" borderId="40" xfId="0" applyNumberFormat="1" applyFont="1" applyFill="1" applyBorder="1" applyAlignment="1" applyProtection="1">
      <alignment horizontal="left" vertical="center" wrapText="1"/>
      <protection/>
    </xf>
    <xf numFmtId="44" fontId="6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70" fontId="0" fillId="0" borderId="0" xfId="47" applyFont="1" applyAlignment="1">
      <alignment/>
    </xf>
    <xf numFmtId="0" fontId="5" fillId="35" borderId="40" xfId="0" applyFont="1" applyFill="1" applyBorder="1" applyAlignment="1">
      <alignment horizontal="left" vertical="center"/>
    </xf>
    <xf numFmtId="0" fontId="5" fillId="16" borderId="40" xfId="50" applyFont="1" applyFill="1" applyBorder="1" applyAlignment="1">
      <alignment horizontal="center" vertical="center" wrapText="1"/>
      <protection/>
    </xf>
    <xf numFmtId="0" fontId="5" fillId="35" borderId="42" xfId="50" applyFont="1" applyFill="1" applyBorder="1" applyAlignment="1">
      <alignment vertical="center"/>
      <protection/>
    </xf>
    <xf numFmtId="0" fontId="5" fillId="35" borderId="43" xfId="50" applyFont="1" applyFill="1" applyBorder="1" applyAlignment="1">
      <alignment horizontal="right" vertical="center"/>
      <protection/>
    </xf>
    <xf numFmtId="4" fontId="5" fillId="16" borderId="41" xfId="50" applyNumberFormat="1" applyFont="1" applyFill="1" applyBorder="1" applyAlignment="1">
      <alignment horizontal="center" vertical="center" wrapText="1"/>
      <protection/>
    </xf>
    <xf numFmtId="8" fontId="6" fillId="0" borderId="40" xfId="47" applyNumberFormat="1" applyFont="1" applyFill="1" applyBorder="1" applyAlignment="1" applyProtection="1">
      <alignment horizontal="center" vertical="center"/>
      <protection/>
    </xf>
    <xf numFmtId="0" fontId="5" fillId="16" borderId="40" xfId="0" applyFont="1" applyFill="1" applyBorder="1" applyAlignment="1">
      <alignment horizontal="center" vertical="center"/>
    </xf>
    <xf numFmtId="49" fontId="5" fillId="16" borderId="40" xfId="0" applyNumberFormat="1" applyFont="1" applyFill="1" applyBorder="1" applyAlignment="1" applyProtection="1">
      <alignment horizontal="center" vertical="center" wrapText="1"/>
      <protection/>
    </xf>
    <xf numFmtId="49" fontId="5" fillId="16" borderId="40" xfId="0" applyNumberFormat="1" applyFont="1" applyFill="1" applyBorder="1" applyAlignment="1" applyProtection="1">
      <alignment horizontal="left" vertical="center" wrapText="1"/>
      <protection/>
    </xf>
    <xf numFmtId="39" fontId="5" fillId="16" borderId="40" xfId="0" applyNumberFormat="1" applyFont="1" applyFill="1" applyBorder="1" applyAlignment="1" applyProtection="1">
      <alignment horizontal="center" vertical="center" wrapText="1"/>
      <protection/>
    </xf>
    <xf numFmtId="8" fontId="5" fillId="16" borderId="40" xfId="0" applyNumberFormat="1" applyFont="1" applyFill="1" applyBorder="1" applyAlignment="1">
      <alignment horizontal="center" vertical="center"/>
    </xf>
    <xf numFmtId="8" fontId="5" fillId="16" borderId="40" xfId="0" applyNumberFormat="1" applyFont="1" applyFill="1" applyBorder="1" applyAlignment="1" applyProtection="1">
      <alignment horizontal="center" vertical="center"/>
      <protection/>
    </xf>
    <xf numFmtId="39" fontId="5" fillId="16" borderId="40" xfId="0" applyNumberFormat="1" applyFont="1" applyFill="1" applyBorder="1" applyAlignment="1" applyProtection="1">
      <alignment horizontal="left" vertical="center" wrapText="1"/>
      <protection/>
    </xf>
    <xf numFmtId="8" fontId="5" fillId="16" borderId="40" xfId="0" applyNumberFormat="1" applyFont="1" applyFill="1" applyBorder="1" applyAlignment="1">
      <alignment horizontal="left" vertical="center"/>
    </xf>
    <xf numFmtId="8" fontId="5" fillId="16" borderId="40" xfId="0" applyNumberFormat="1" applyFont="1" applyFill="1" applyBorder="1" applyAlignment="1" applyProtection="1">
      <alignment horizontal="left" vertical="center"/>
      <protection/>
    </xf>
    <xf numFmtId="0" fontId="5" fillId="16" borderId="40" xfId="0" applyFont="1" applyFill="1" applyBorder="1" applyAlignment="1">
      <alignment vertical="center"/>
    </xf>
    <xf numFmtId="44" fontId="5" fillId="16" borderId="40" xfId="0" applyNumberFormat="1" applyFont="1" applyFill="1" applyBorder="1" applyAlignment="1">
      <alignment horizontal="center" vertical="center"/>
    </xf>
    <xf numFmtId="0" fontId="1" fillId="16" borderId="36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6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/>
    </xf>
    <xf numFmtId="0" fontId="5" fillId="38" borderId="65" xfId="50" applyFont="1" applyFill="1" applyBorder="1" applyAlignment="1">
      <alignment vertical="center"/>
      <protection/>
    </xf>
    <xf numFmtId="0" fontId="6" fillId="38" borderId="66" xfId="0" applyFont="1" applyFill="1" applyBorder="1" applyAlignment="1">
      <alignment/>
    </xf>
    <xf numFmtId="10" fontId="5" fillId="35" borderId="41" xfId="50" applyNumberFormat="1" applyFont="1" applyFill="1" applyBorder="1" applyAlignment="1">
      <alignment horizontal="left" vertical="center"/>
      <protection/>
    </xf>
    <xf numFmtId="10" fontId="5" fillId="35" borderId="42" xfId="50" applyNumberFormat="1" applyFont="1" applyFill="1" applyBorder="1" applyAlignment="1">
      <alignment vertical="center"/>
      <protection/>
    </xf>
    <xf numFmtId="0" fontId="5" fillId="35" borderId="67" xfId="50" applyFont="1" applyFill="1" applyBorder="1" applyAlignment="1">
      <alignment vertical="center"/>
      <protection/>
    </xf>
    <xf numFmtId="0" fontId="5" fillId="35" borderId="68" xfId="50" applyFont="1" applyFill="1" applyBorder="1" applyAlignment="1">
      <alignment vertical="center" wrapText="1"/>
      <protection/>
    </xf>
    <xf numFmtId="0" fontId="6" fillId="0" borderId="68" xfId="0" applyFont="1" applyBorder="1" applyAlignment="1">
      <alignment/>
    </xf>
    <xf numFmtId="202" fontId="5" fillId="35" borderId="68" xfId="0" applyNumberFormat="1" applyFont="1" applyFill="1" applyBorder="1" applyAlignment="1">
      <alignment vertical="center" wrapText="1"/>
    </xf>
    <xf numFmtId="40" fontId="5" fillId="35" borderId="54" xfId="55" applyNumberFormat="1" applyFont="1" applyFill="1" applyBorder="1" applyAlignment="1">
      <alignment vertical="center"/>
      <protection/>
    </xf>
    <xf numFmtId="40" fontId="5" fillId="35" borderId="0" xfId="55" applyNumberFormat="1" applyFont="1" applyFill="1" applyAlignment="1">
      <alignment vertical="center"/>
      <protection/>
    </xf>
    <xf numFmtId="40" fontId="5" fillId="35" borderId="44" xfId="55" applyNumberFormat="1" applyFont="1" applyFill="1" applyBorder="1" applyAlignment="1">
      <alignment vertical="center"/>
      <protection/>
    </xf>
    <xf numFmtId="40" fontId="5" fillId="35" borderId="57" xfId="55" applyNumberFormat="1" applyFont="1" applyFill="1" applyBorder="1" applyAlignment="1">
      <alignment vertical="center"/>
      <protection/>
    </xf>
    <xf numFmtId="0" fontId="17" fillId="35" borderId="69" xfId="53" applyFont="1" applyFill="1" applyBorder="1">
      <alignment/>
      <protection/>
    </xf>
    <xf numFmtId="0" fontId="16" fillId="35" borderId="65" xfId="53" applyFont="1" applyFill="1" applyBorder="1" applyAlignment="1">
      <alignment horizontal="center"/>
      <protection/>
    </xf>
    <xf numFmtId="0" fontId="16" fillId="35" borderId="70" xfId="53" applyFont="1" applyFill="1" applyBorder="1" applyAlignment="1">
      <alignment horizontal="center"/>
      <protection/>
    </xf>
    <xf numFmtId="0" fontId="17" fillId="35" borderId="71" xfId="53" applyFont="1" applyFill="1" applyBorder="1">
      <alignment/>
      <protection/>
    </xf>
    <xf numFmtId="0" fontId="16" fillId="35" borderId="72" xfId="53" applyFont="1" applyFill="1" applyBorder="1" applyAlignment="1">
      <alignment horizontal="center"/>
      <protection/>
    </xf>
    <xf numFmtId="0" fontId="16" fillId="35" borderId="73" xfId="53" applyFont="1" applyFill="1" applyBorder="1" applyAlignment="1">
      <alignment horizontal="center"/>
      <protection/>
    </xf>
    <xf numFmtId="0" fontId="16" fillId="0" borderId="69" xfId="53" applyFont="1" applyBorder="1" applyAlignment="1">
      <alignment horizontal="center"/>
      <protection/>
    </xf>
    <xf numFmtId="0" fontId="18" fillId="0" borderId="74" xfId="51" applyFont="1" applyBorder="1" applyAlignment="1">
      <alignment horizontal="left"/>
      <protection/>
    </xf>
    <xf numFmtId="0" fontId="18" fillId="0" borderId="65" xfId="51" applyFont="1" applyBorder="1" applyAlignment="1">
      <alignment horizontal="left"/>
      <protection/>
    </xf>
    <xf numFmtId="0" fontId="18" fillId="0" borderId="70" xfId="51" applyFont="1" applyBorder="1" applyAlignment="1">
      <alignment horizontal="left"/>
      <protection/>
    </xf>
    <xf numFmtId="0" fontId="19" fillId="0" borderId="36" xfId="53" applyFont="1" applyBorder="1" applyAlignment="1">
      <alignment horizontal="center"/>
      <protection/>
    </xf>
    <xf numFmtId="171" fontId="19" fillId="0" borderId="15" xfId="62" applyFont="1" applyFill="1" applyBorder="1" applyAlignment="1">
      <alignment/>
    </xf>
    <xf numFmtId="10" fontId="19" fillId="0" borderId="15" xfId="59" applyNumberFormat="1" applyFont="1" applyBorder="1" applyAlignment="1">
      <alignment horizontal="center"/>
    </xf>
    <xf numFmtId="10" fontId="19" fillId="0" borderId="75" xfId="59" applyNumberFormat="1" applyFont="1" applyBorder="1" applyAlignment="1">
      <alignment horizontal="center"/>
    </xf>
    <xf numFmtId="0" fontId="19" fillId="0" borderId="37" xfId="53" applyFont="1" applyBorder="1" applyAlignment="1">
      <alignment horizontal="center"/>
      <protection/>
    </xf>
    <xf numFmtId="171" fontId="19" fillId="0" borderId="12" xfId="62" applyFont="1" applyFill="1" applyBorder="1" applyAlignment="1">
      <alignment/>
    </xf>
    <xf numFmtId="10" fontId="19" fillId="0" borderId="12" xfId="59" applyNumberFormat="1" applyFont="1" applyBorder="1" applyAlignment="1">
      <alignment horizontal="center"/>
    </xf>
    <xf numFmtId="10" fontId="19" fillId="0" borderId="64" xfId="59" applyNumberFormat="1" applyFont="1" applyBorder="1" applyAlignment="1">
      <alignment horizontal="center"/>
    </xf>
    <xf numFmtId="0" fontId="16" fillId="0" borderId="38" xfId="53" applyFont="1" applyBorder="1" applyAlignment="1">
      <alignment horizontal="center"/>
      <protection/>
    </xf>
    <xf numFmtId="171" fontId="16" fillId="0" borderId="39" xfId="62" applyFont="1" applyBorder="1" applyAlignment="1">
      <alignment horizontal="right"/>
    </xf>
    <xf numFmtId="10" fontId="16" fillId="0" borderId="39" xfId="59" applyNumberFormat="1" applyFont="1" applyBorder="1" applyAlignment="1">
      <alignment horizontal="center"/>
    </xf>
    <xf numFmtId="10" fontId="16" fillId="0" borderId="50" xfId="59" applyNumberFormat="1" applyFont="1" applyBorder="1" applyAlignment="1">
      <alignment horizontal="center"/>
    </xf>
    <xf numFmtId="0" fontId="16" fillId="0" borderId="36" xfId="53" applyFont="1" applyBorder="1" applyAlignment="1">
      <alignment horizontal="center"/>
      <protection/>
    </xf>
    <xf numFmtId="171" fontId="16" fillId="0" borderId="15" xfId="62" applyFont="1" applyBorder="1" applyAlignment="1">
      <alignment/>
    </xf>
    <xf numFmtId="171" fontId="19" fillId="0" borderId="0" xfId="62" applyFont="1" applyFill="1" applyBorder="1" applyAlignment="1">
      <alignment/>
    </xf>
    <xf numFmtId="0" fontId="19" fillId="0" borderId="37" xfId="53" applyFont="1" applyBorder="1">
      <alignment/>
      <protection/>
    </xf>
    <xf numFmtId="171" fontId="19" fillId="0" borderId="12" xfId="62" applyFont="1" applyBorder="1" applyAlignment="1">
      <alignment horizontal="right"/>
    </xf>
    <xf numFmtId="10" fontId="19" fillId="0" borderId="12" xfId="53" applyNumberFormat="1" applyFont="1" applyBorder="1" applyAlignment="1">
      <alignment horizontal="center"/>
      <protection/>
    </xf>
    <xf numFmtId="10" fontId="19" fillId="0" borderId="64" xfId="53" applyNumberFormat="1" applyFont="1" applyBorder="1" applyAlignment="1">
      <alignment horizontal="center"/>
      <protection/>
    </xf>
    <xf numFmtId="0" fontId="16" fillId="35" borderId="17" xfId="53" applyFont="1" applyFill="1" applyBorder="1" applyAlignment="1">
      <alignment horizontal="center"/>
      <protection/>
    </xf>
    <xf numFmtId="171" fontId="16" fillId="35" borderId="76" xfId="62" applyFont="1" applyFill="1" applyBorder="1" applyAlignment="1">
      <alignment horizontal="right"/>
    </xf>
    <xf numFmtId="10" fontId="16" fillId="35" borderId="77" xfId="59" applyNumberFormat="1" applyFont="1" applyFill="1" applyBorder="1" applyAlignment="1">
      <alignment horizontal="center"/>
    </xf>
    <xf numFmtId="10" fontId="16" fillId="35" borderId="78" xfId="59" applyNumberFormat="1" applyFont="1" applyFill="1" applyBorder="1" applyAlignment="1">
      <alignment horizontal="center"/>
    </xf>
    <xf numFmtId="0" fontId="5" fillId="38" borderId="0" xfId="50" applyFont="1" applyFill="1" applyBorder="1" applyAlignment="1">
      <alignment vertical="center"/>
      <protection/>
    </xf>
    <xf numFmtId="0" fontId="6" fillId="38" borderId="55" xfId="0" applyFont="1" applyFill="1" applyBorder="1" applyAlignment="1">
      <alignment/>
    </xf>
    <xf numFmtId="0" fontId="5" fillId="35" borderId="54" xfId="50" applyFont="1" applyFill="1" applyBorder="1" applyAlignment="1">
      <alignment horizontal="left" vertical="center"/>
      <protection/>
    </xf>
    <xf numFmtId="0" fontId="5" fillId="35" borderId="0" xfId="50" applyFont="1" applyFill="1" applyBorder="1" applyAlignment="1">
      <alignment horizontal="left" vertical="center"/>
      <protection/>
    </xf>
    <xf numFmtId="0" fontId="5" fillId="35" borderId="79" xfId="50" applyFont="1" applyFill="1" applyBorder="1" applyAlignment="1">
      <alignment horizontal="left" vertical="center"/>
      <protection/>
    </xf>
    <xf numFmtId="0" fontId="6" fillId="0" borderId="42" xfId="0" applyFont="1" applyBorder="1" applyAlignment="1">
      <alignment horizontal="center" vertical="center" wrapText="1"/>
    </xf>
    <xf numFmtId="0" fontId="5" fillId="35" borderId="52" xfId="50" applyFont="1" applyFill="1" applyBorder="1" applyAlignment="1">
      <alignment horizontal="left" vertical="center" wrapText="1"/>
      <protection/>
    </xf>
    <xf numFmtId="0" fontId="5" fillId="35" borderId="53" xfId="50" applyFont="1" applyFill="1" applyBorder="1" applyAlignment="1">
      <alignment horizontal="left" vertical="center" wrapText="1"/>
      <protection/>
    </xf>
    <xf numFmtId="0" fontId="5" fillId="35" borderId="56" xfId="50" applyFont="1" applyFill="1" applyBorder="1" applyAlignment="1">
      <alignment horizontal="left" vertical="center" wrapText="1"/>
      <protection/>
    </xf>
    <xf numFmtId="0" fontId="5" fillId="35" borderId="57" xfId="50" applyFont="1" applyFill="1" applyBorder="1" applyAlignment="1">
      <alignment horizontal="left" vertical="center" wrapText="1"/>
      <protection/>
    </xf>
    <xf numFmtId="202" fontId="5" fillId="16" borderId="41" xfId="0" applyNumberFormat="1" applyFont="1" applyFill="1" applyBorder="1" applyAlignment="1">
      <alignment horizontal="right" vertical="center" wrapText="1"/>
    </xf>
    <xf numFmtId="202" fontId="5" fillId="16" borderId="43" xfId="0" applyNumberFormat="1" applyFont="1" applyFill="1" applyBorder="1" applyAlignment="1">
      <alignment horizontal="right" vertical="center" wrapText="1"/>
    </xf>
    <xf numFmtId="202" fontId="5" fillId="35" borderId="41" xfId="0" applyNumberFormat="1" applyFont="1" applyFill="1" applyBorder="1" applyAlignment="1">
      <alignment horizontal="left" vertical="center" wrapText="1"/>
    </xf>
    <xf numFmtId="202" fontId="5" fillId="35" borderId="42" xfId="0" applyNumberFormat="1" applyFont="1" applyFill="1" applyBorder="1" applyAlignment="1">
      <alignment horizontal="left" vertical="center" wrapText="1"/>
    </xf>
    <xf numFmtId="202" fontId="5" fillId="35" borderId="43" xfId="0" applyNumberFormat="1" applyFont="1" applyFill="1" applyBorder="1" applyAlignment="1">
      <alignment horizontal="left" vertical="center" wrapText="1"/>
    </xf>
    <xf numFmtId="49" fontId="5" fillId="16" borderId="10" xfId="0" applyNumberFormat="1" applyFont="1" applyFill="1" applyBorder="1" applyAlignment="1" applyProtection="1">
      <alignment horizontal="center" vertical="center" wrapText="1"/>
      <protection/>
    </xf>
    <xf numFmtId="49" fontId="5" fillId="16" borderId="12" xfId="0" applyNumberFormat="1" applyFont="1" applyFill="1" applyBorder="1" applyAlignment="1" applyProtection="1">
      <alignment horizontal="center" vertical="center" wrapText="1"/>
      <protection/>
    </xf>
    <xf numFmtId="39" fontId="5" fillId="16" borderId="10" xfId="0" applyNumberFormat="1" applyFont="1" applyFill="1" applyBorder="1" applyAlignment="1" applyProtection="1">
      <alignment horizontal="center" vertical="center" wrapText="1"/>
      <protection/>
    </xf>
    <xf numFmtId="39" fontId="5" fillId="16" borderId="12" xfId="0" applyNumberFormat="1" applyFont="1" applyFill="1" applyBorder="1" applyAlignment="1" applyProtection="1">
      <alignment horizontal="center" vertical="center" wrapText="1"/>
      <protection/>
    </xf>
    <xf numFmtId="8" fontId="5" fillId="16" borderId="10" xfId="0" applyNumberFormat="1" applyFont="1" applyFill="1" applyBorder="1" applyAlignment="1">
      <alignment horizontal="center" vertical="center"/>
    </xf>
    <xf numFmtId="8" fontId="5" fillId="16" borderId="12" xfId="0" applyNumberFormat="1" applyFont="1" applyFill="1" applyBorder="1" applyAlignment="1">
      <alignment horizontal="center" vertical="center"/>
    </xf>
    <xf numFmtId="8" fontId="5" fillId="16" borderId="10" xfId="0" applyNumberFormat="1" applyFont="1" applyFill="1" applyBorder="1" applyAlignment="1" applyProtection="1">
      <alignment horizontal="center" vertical="center"/>
      <protection/>
    </xf>
    <xf numFmtId="8" fontId="5" fillId="16" borderId="12" xfId="0" applyNumberFormat="1" applyFont="1" applyFill="1" applyBorder="1" applyAlignment="1" applyProtection="1">
      <alignment horizontal="center" vertical="center"/>
      <protection/>
    </xf>
    <xf numFmtId="0" fontId="62" fillId="40" borderId="41" xfId="50" applyFont="1" applyFill="1" applyBorder="1" applyAlignment="1">
      <alignment horizontal="center" vertical="center"/>
      <protection/>
    </xf>
    <xf numFmtId="0" fontId="62" fillId="40" borderId="42" xfId="50" applyFont="1" applyFill="1" applyBorder="1" applyAlignment="1">
      <alignment horizontal="center" vertical="center"/>
      <protection/>
    </xf>
    <xf numFmtId="0" fontId="62" fillId="40" borderId="43" xfId="50" applyFont="1" applyFill="1" applyBorder="1" applyAlignment="1">
      <alignment horizontal="center" vertical="center"/>
      <protection/>
    </xf>
    <xf numFmtId="0" fontId="62" fillId="41" borderId="52" xfId="50" applyFont="1" applyFill="1" applyBorder="1" applyAlignment="1">
      <alignment horizontal="center" vertical="center" wrapText="1"/>
      <protection/>
    </xf>
    <xf numFmtId="0" fontId="62" fillId="41" borderId="51" xfId="50" applyFont="1" applyFill="1" applyBorder="1" applyAlignment="1">
      <alignment horizontal="center" vertical="center"/>
      <protection/>
    </xf>
    <xf numFmtId="0" fontId="62" fillId="41" borderId="53" xfId="50" applyFont="1" applyFill="1" applyBorder="1" applyAlignment="1">
      <alignment horizontal="center" vertical="center"/>
      <protection/>
    </xf>
    <xf numFmtId="0" fontId="62" fillId="41" borderId="54" xfId="50" applyFont="1" applyFill="1" applyBorder="1" applyAlignment="1">
      <alignment horizontal="center" vertical="center"/>
      <protection/>
    </xf>
    <xf numFmtId="0" fontId="62" fillId="41" borderId="0" xfId="50" applyFont="1" applyFill="1" applyAlignment="1">
      <alignment horizontal="center" vertical="center"/>
      <protection/>
    </xf>
    <xf numFmtId="0" fontId="62" fillId="41" borderId="55" xfId="50" applyFont="1" applyFill="1" applyBorder="1" applyAlignment="1">
      <alignment horizontal="center" vertical="center"/>
      <protection/>
    </xf>
    <xf numFmtId="0" fontId="5" fillId="35" borderId="41" xfId="50" applyFont="1" applyFill="1" applyBorder="1" applyAlignment="1">
      <alignment horizontal="center" vertical="center"/>
      <protection/>
    </xf>
    <xf numFmtId="0" fontId="5" fillId="35" borderId="42" xfId="50" applyFont="1" applyFill="1" applyBorder="1" applyAlignment="1">
      <alignment horizontal="center" vertical="center"/>
      <protection/>
    </xf>
    <xf numFmtId="0" fontId="5" fillId="35" borderId="43" xfId="50" applyFont="1" applyFill="1" applyBorder="1" applyAlignment="1">
      <alignment horizontal="center" vertical="center"/>
      <protection/>
    </xf>
    <xf numFmtId="0" fontId="5" fillId="16" borderId="41" xfId="50" applyFont="1" applyFill="1" applyBorder="1" applyAlignment="1">
      <alignment horizontal="center" vertical="center"/>
      <protection/>
    </xf>
    <xf numFmtId="0" fontId="5" fillId="16" borderId="43" xfId="50" applyFont="1" applyFill="1" applyBorder="1" applyAlignment="1">
      <alignment horizontal="center" vertical="center"/>
      <protection/>
    </xf>
    <xf numFmtId="0" fontId="5" fillId="0" borderId="41" xfId="50" applyFont="1" applyBorder="1" applyAlignment="1">
      <alignment horizontal="left" vertical="center" wrapText="1"/>
      <protection/>
    </xf>
    <xf numFmtId="0" fontId="5" fillId="0" borderId="42" xfId="50" applyFont="1" applyBorder="1" applyAlignment="1">
      <alignment horizontal="left" vertical="center" wrapText="1"/>
      <protection/>
    </xf>
    <xf numFmtId="0" fontId="5" fillId="0" borderId="43" xfId="50" applyFont="1" applyBorder="1" applyAlignment="1">
      <alignment horizontal="left" vertical="center" wrapText="1"/>
      <protection/>
    </xf>
    <xf numFmtId="10" fontId="5" fillId="0" borderId="41" xfId="50" applyNumberFormat="1" applyFont="1" applyBorder="1" applyAlignment="1">
      <alignment horizontal="left" vertical="center"/>
      <protection/>
    </xf>
    <xf numFmtId="10" fontId="5" fillId="0" borderId="43" xfId="50" applyNumberFormat="1" applyFont="1" applyBorder="1" applyAlignment="1">
      <alignment horizontal="left" vertical="center"/>
      <protection/>
    </xf>
    <xf numFmtId="0" fontId="5" fillId="34" borderId="10" xfId="50" applyFont="1" applyFill="1" applyBorder="1" applyAlignment="1">
      <alignment horizontal="center" vertical="center"/>
      <protection/>
    </xf>
    <xf numFmtId="0" fontId="5" fillId="34" borderId="12" xfId="50" applyFont="1" applyFill="1" applyBorder="1" applyAlignment="1">
      <alignment horizontal="center" vertical="center"/>
      <protection/>
    </xf>
    <xf numFmtId="0" fontId="5" fillId="16" borderId="53" xfId="50" applyFont="1" applyFill="1" applyBorder="1" applyAlignment="1">
      <alignment horizontal="center" vertical="center" wrapText="1"/>
      <protection/>
    </xf>
    <xf numFmtId="0" fontId="5" fillId="16" borderId="57" xfId="50" applyFont="1" applyFill="1" applyBorder="1" applyAlignment="1">
      <alignment horizontal="center" vertical="center" wrapText="1"/>
      <protection/>
    </xf>
    <xf numFmtId="201" fontId="5" fillId="35" borderId="52" xfId="50" applyNumberFormat="1" applyFont="1" applyFill="1" applyBorder="1" applyAlignment="1">
      <alignment horizontal="center" vertical="center" wrapText="1"/>
      <protection/>
    </xf>
    <xf numFmtId="201" fontId="5" fillId="35" borderId="51" xfId="50" applyNumberFormat="1" applyFont="1" applyFill="1" applyBorder="1" applyAlignment="1">
      <alignment horizontal="center" vertical="center" wrapText="1"/>
      <protection/>
    </xf>
    <xf numFmtId="201" fontId="5" fillId="35" borderId="53" xfId="50" applyNumberFormat="1" applyFont="1" applyFill="1" applyBorder="1" applyAlignment="1">
      <alignment horizontal="center" vertical="center" wrapText="1"/>
      <protection/>
    </xf>
    <xf numFmtId="201" fontId="5" fillId="35" borderId="56" xfId="50" applyNumberFormat="1" applyFont="1" applyFill="1" applyBorder="1" applyAlignment="1">
      <alignment horizontal="center" vertical="center" wrapText="1"/>
      <protection/>
    </xf>
    <xf numFmtId="201" fontId="5" fillId="35" borderId="44" xfId="50" applyNumberFormat="1" applyFont="1" applyFill="1" applyBorder="1" applyAlignment="1">
      <alignment horizontal="center" vertical="center" wrapText="1"/>
      <protection/>
    </xf>
    <xf numFmtId="201" fontId="5" fillId="35" borderId="57" xfId="50" applyNumberFormat="1" applyFont="1" applyFill="1" applyBorder="1" applyAlignment="1">
      <alignment horizontal="center" vertical="center" wrapText="1"/>
      <protection/>
    </xf>
    <xf numFmtId="0" fontId="5" fillId="16" borderId="10" xfId="50" applyFont="1" applyFill="1" applyBorder="1" applyAlignment="1">
      <alignment horizontal="center" vertical="center" wrapText="1"/>
      <protection/>
    </xf>
    <xf numFmtId="0" fontId="5" fillId="16" borderId="12" xfId="50" applyFont="1" applyFill="1" applyBorder="1" applyAlignment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16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171" fontId="16" fillId="42" borderId="17" xfId="62" applyFont="1" applyFill="1" applyBorder="1" applyAlignment="1">
      <alignment horizontal="center"/>
    </xf>
    <xf numFmtId="171" fontId="16" fillId="42" borderId="18" xfId="62" applyFont="1" applyFill="1" applyBorder="1" applyAlignment="1">
      <alignment horizontal="center"/>
    </xf>
    <xf numFmtId="171" fontId="16" fillId="42" borderId="19" xfId="62" applyFont="1" applyFill="1" applyBorder="1" applyAlignment="1">
      <alignment horizontal="center"/>
    </xf>
    <xf numFmtId="0" fontId="5" fillId="35" borderId="80" xfId="50" applyFont="1" applyFill="1" applyBorder="1" applyAlignment="1">
      <alignment horizontal="center" vertical="center" wrapText="1"/>
      <protection/>
    </xf>
    <xf numFmtId="0" fontId="5" fillId="35" borderId="74" xfId="50" applyFont="1" applyFill="1" applyBorder="1" applyAlignment="1">
      <alignment horizontal="center" vertical="center" wrapText="1"/>
      <protection/>
    </xf>
    <xf numFmtId="0" fontId="5" fillId="35" borderId="54" xfId="50" applyFont="1" applyFill="1" applyBorder="1" applyAlignment="1">
      <alignment horizontal="center" vertical="center" wrapText="1"/>
      <protection/>
    </xf>
    <xf numFmtId="0" fontId="5" fillId="35" borderId="0" xfId="50" applyFont="1" applyFill="1" applyBorder="1" applyAlignment="1">
      <alignment horizontal="center" vertical="center" wrapText="1"/>
      <protection/>
    </xf>
    <xf numFmtId="0" fontId="5" fillId="38" borderId="81" xfId="50" applyFont="1" applyFill="1" applyBorder="1" applyAlignment="1">
      <alignment horizontal="left" vertical="center" wrapText="1"/>
      <protection/>
    </xf>
    <xf numFmtId="0" fontId="5" fillId="38" borderId="66" xfId="50" applyFont="1" applyFill="1" applyBorder="1" applyAlignment="1">
      <alignment horizontal="left" vertical="center" wrapText="1"/>
      <protection/>
    </xf>
    <xf numFmtId="0" fontId="5" fillId="38" borderId="63" xfId="50" applyFont="1" applyFill="1" applyBorder="1" applyAlignment="1">
      <alignment horizontal="left" vertical="center" wrapText="1"/>
      <protection/>
    </xf>
    <xf numFmtId="0" fontId="5" fillId="38" borderId="57" xfId="50" applyFont="1" applyFill="1" applyBorder="1" applyAlignment="1">
      <alignment horizontal="left" vertical="center" wrapText="1"/>
      <protection/>
    </xf>
    <xf numFmtId="0" fontId="5" fillId="38" borderId="82" xfId="50" applyFont="1" applyFill="1" applyBorder="1" applyAlignment="1">
      <alignment horizontal="left" vertical="center" wrapText="1"/>
      <protection/>
    </xf>
    <xf numFmtId="0" fontId="5" fillId="38" borderId="49" xfId="50" applyFont="1" applyFill="1" applyBorder="1" applyAlignment="1">
      <alignment horizontal="left" vertical="center" wrapText="1"/>
      <protection/>
    </xf>
    <xf numFmtId="202" fontId="5" fillId="38" borderId="67" xfId="0" applyNumberFormat="1" applyFont="1" applyFill="1" applyBorder="1" applyAlignment="1">
      <alignment horizontal="left" vertical="center"/>
    </xf>
    <xf numFmtId="202" fontId="5" fillId="38" borderId="49" xfId="0" applyNumberFormat="1" applyFont="1" applyFill="1" applyBorder="1" applyAlignment="1">
      <alignment horizontal="left" vertical="center"/>
    </xf>
    <xf numFmtId="202" fontId="5" fillId="35" borderId="67" xfId="0" applyNumberFormat="1" applyFont="1" applyFill="1" applyBorder="1" applyAlignment="1">
      <alignment horizontal="left" vertical="center"/>
    </xf>
    <xf numFmtId="202" fontId="5" fillId="35" borderId="68" xfId="0" applyNumberFormat="1" applyFont="1" applyFill="1" applyBorder="1" applyAlignment="1">
      <alignment horizontal="left" vertical="center"/>
    </xf>
    <xf numFmtId="202" fontId="5" fillId="35" borderId="83" xfId="0" applyNumberFormat="1" applyFont="1" applyFill="1" applyBorder="1" applyAlignment="1">
      <alignment horizontal="left" vertical="center"/>
    </xf>
    <xf numFmtId="171" fontId="16" fillId="0" borderId="17" xfId="62" applyFont="1" applyBorder="1" applyAlignment="1">
      <alignment horizontal="center"/>
    </xf>
    <xf numFmtId="171" fontId="16" fillId="0" borderId="18" xfId="62" applyFont="1" applyBorder="1" applyAlignment="1">
      <alignment horizontal="center"/>
    </xf>
    <xf numFmtId="171" fontId="16" fillId="0" borderId="19" xfId="62" applyFont="1" applyBorder="1" applyAlignment="1">
      <alignment horizontal="center"/>
    </xf>
    <xf numFmtId="171" fontId="16" fillId="35" borderId="65" xfId="62" applyFont="1" applyFill="1" applyBorder="1" applyAlignment="1">
      <alignment horizontal="center" vertical="center"/>
    </xf>
    <xf numFmtId="171" fontId="16" fillId="35" borderId="72" xfId="62" applyFont="1" applyFill="1" applyBorder="1" applyAlignment="1">
      <alignment horizontal="center" vertical="center"/>
    </xf>
    <xf numFmtId="0" fontId="5" fillId="35" borderId="80" xfId="50" applyFont="1" applyFill="1" applyBorder="1" applyAlignment="1">
      <alignment horizontal="left" vertical="center"/>
      <protection/>
    </xf>
    <xf numFmtId="0" fontId="5" fillId="35" borderId="74" xfId="50" applyFont="1" applyFill="1" applyBorder="1" applyAlignment="1">
      <alignment horizontal="left" vertical="center"/>
      <protection/>
    </xf>
    <xf numFmtId="0" fontId="5" fillId="35" borderId="84" xfId="50" applyFont="1" applyFill="1" applyBorder="1" applyAlignment="1">
      <alignment horizontal="left" vertical="center"/>
      <protection/>
    </xf>
    <xf numFmtId="0" fontId="5" fillId="38" borderId="47" xfId="50" applyFont="1" applyFill="1" applyBorder="1" applyAlignment="1">
      <alignment horizontal="left" vertical="center" wrapText="1"/>
      <protection/>
    </xf>
    <xf numFmtId="0" fontId="5" fillId="38" borderId="43" xfId="50" applyFont="1" applyFill="1" applyBorder="1" applyAlignment="1">
      <alignment horizontal="left" vertical="center" wrapText="1"/>
      <protection/>
    </xf>
    <xf numFmtId="0" fontId="5" fillId="38" borderId="51" xfId="50" applyFont="1" applyFill="1" applyBorder="1" applyAlignment="1">
      <alignment horizontal="center" vertical="center" wrapText="1"/>
      <protection/>
    </xf>
    <xf numFmtId="0" fontId="5" fillId="38" borderId="53" xfId="50" applyFont="1" applyFill="1" applyBorder="1" applyAlignment="1">
      <alignment horizontal="center" vertical="center" wrapText="1"/>
      <protection/>
    </xf>
    <xf numFmtId="0" fontId="5" fillId="38" borderId="0" xfId="50" applyFont="1" applyFill="1" applyAlignment="1">
      <alignment horizontal="center" vertical="center" wrapText="1"/>
      <protection/>
    </xf>
    <xf numFmtId="0" fontId="5" fillId="38" borderId="55" xfId="50" applyFont="1" applyFill="1" applyBorder="1" applyAlignment="1">
      <alignment horizontal="center" vertical="center" wrapText="1"/>
      <protection/>
    </xf>
    <xf numFmtId="0" fontId="5" fillId="38" borderId="44" xfId="50" applyFont="1" applyFill="1" applyBorder="1" applyAlignment="1">
      <alignment horizontal="center" vertical="center" wrapText="1"/>
      <protection/>
    </xf>
    <xf numFmtId="0" fontId="5" fillId="38" borderId="57" xfId="50" applyFont="1" applyFill="1" applyBorder="1" applyAlignment="1">
      <alignment horizontal="center" vertical="center" wrapText="1"/>
      <protection/>
    </xf>
    <xf numFmtId="0" fontId="5" fillId="35" borderId="41" xfId="50" applyFont="1" applyFill="1" applyBorder="1" applyAlignment="1">
      <alignment horizontal="left" vertical="center" wrapText="1"/>
      <protection/>
    </xf>
    <xf numFmtId="0" fontId="5" fillId="35" borderId="42" xfId="50" applyFont="1" applyFill="1" applyBorder="1" applyAlignment="1">
      <alignment horizontal="left" vertical="center" wrapText="1"/>
      <protection/>
    </xf>
    <xf numFmtId="0" fontId="5" fillId="35" borderId="85" xfId="50" applyFont="1" applyFill="1" applyBorder="1" applyAlignment="1">
      <alignment horizontal="left" vertical="center" wrapText="1"/>
      <protection/>
    </xf>
    <xf numFmtId="0" fontId="5" fillId="35" borderId="56" xfId="50" applyFont="1" applyFill="1" applyBorder="1" applyAlignment="1">
      <alignment horizontal="center" vertical="center" wrapText="1"/>
      <protection/>
    </xf>
    <xf numFmtId="0" fontId="5" fillId="35" borderId="44" xfId="50" applyFont="1" applyFill="1" applyBorder="1" applyAlignment="1">
      <alignment horizontal="center" vertical="center" wrapText="1"/>
      <protection/>
    </xf>
    <xf numFmtId="201" fontId="5" fillId="35" borderId="52" xfId="50" applyNumberFormat="1" applyFont="1" applyFill="1" applyBorder="1" applyAlignment="1">
      <alignment horizontal="left" vertical="center" wrapText="1"/>
      <protection/>
    </xf>
    <xf numFmtId="201" fontId="5" fillId="35" borderId="51" xfId="50" applyNumberFormat="1" applyFont="1" applyFill="1" applyBorder="1" applyAlignment="1">
      <alignment horizontal="left" vertical="center" wrapText="1"/>
      <protection/>
    </xf>
    <xf numFmtId="201" fontId="5" fillId="35" borderId="86" xfId="50" applyNumberFormat="1" applyFont="1" applyFill="1" applyBorder="1" applyAlignment="1">
      <alignment horizontal="left" vertical="center" wrapText="1"/>
      <protection/>
    </xf>
    <xf numFmtId="201" fontId="5" fillId="35" borderId="56" xfId="50" applyNumberFormat="1" applyFont="1" applyFill="1" applyBorder="1" applyAlignment="1">
      <alignment horizontal="left" vertical="center" wrapText="1"/>
      <protection/>
    </xf>
    <xf numFmtId="201" fontId="5" fillId="35" borderId="44" xfId="50" applyNumberFormat="1" applyFont="1" applyFill="1" applyBorder="1" applyAlignment="1">
      <alignment horizontal="left" vertical="center" wrapText="1"/>
      <protection/>
    </xf>
    <xf numFmtId="201" fontId="5" fillId="35" borderId="87" xfId="50" applyNumberFormat="1" applyFont="1" applyFill="1" applyBorder="1" applyAlignment="1">
      <alignment horizontal="left" vertical="center" wrapText="1"/>
      <protection/>
    </xf>
    <xf numFmtId="9" fontId="6" fillId="35" borderId="41" xfId="57" applyFont="1" applyFill="1" applyBorder="1" applyAlignment="1">
      <alignment horizontal="left" vertical="center"/>
    </xf>
    <xf numFmtId="9" fontId="6" fillId="35" borderId="42" xfId="57" applyFont="1" applyFill="1" applyBorder="1" applyAlignment="1">
      <alignment horizontal="left" vertical="center"/>
    </xf>
    <xf numFmtId="9" fontId="6" fillId="35" borderId="43" xfId="57" applyFont="1" applyFill="1" applyBorder="1" applyAlignment="1">
      <alignment horizontal="left" vertical="center"/>
    </xf>
    <xf numFmtId="0" fontId="10" fillId="0" borderId="5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6" fillId="35" borderId="41" xfId="0" applyFont="1" applyFill="1" applyBorder="1" applyAlignment="1">
      <alignment horizontal="left" vertical="center"/>
    </xf>
    <xf numFmtId="0" fontId="6" fillId="35" borderId="42" xfId="0" applyFont="1" applyFill="1" applyBorder="1" applyAlignment="1">
      <alignment horizontal="left" vertical="center"/>
    </xf>
    <xf numFmtId="0" fontId="6" fillId="35" borderId="43" xfId="0" applyFont="1" applyFill="1" applyBorder="1" applyAlignment="1">
      <alignment horizontal="left" vertical="center"/>
    </xf>
    <xf numFmtId="206" fontId="6" fillId="35" borderId="41" xfId="47" applyNumberFormat="1" applyFont="1" applyFill="1" applyBorder="1" applyAlignment="1">
      <alignment horizontal="left" vertical="center"/>
    </xf>
    <xf numFmtId="206" fontId="6" fillId="35" borderId="42" xfId="47" applyNumberFormat="1" applyFont="1" applyFill="1" applyBorder="1" applyAlignment="1">
      <alignment horizontal="left" vertical="center"/>
    </xf>
    <xf numFmtId="206" fontId="6" fillId="35" borderId="43" xfId="47" applyNumberFormat="1" applyFont="1" applyFill="1" applyBorder="1" applyAlignment="1">
      <alignment horizontal="left" vertical="center"/>
    </xf>
    <xf numFmtId="0" fontId="5" fillId="35" borderId="4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0" fontId="6" fillId="35" borderId="40" xfId="0" applyNumberFormat="1" applyFont="1" applyFill="1" applyBorder="1" applyAlignment="1">
      <alignment horizontal="left"/>
    </xf>
    <xf numFmtId="0" fontId="6" fillId="35" borderId="40" xfId="0" applyFont="1" applyFill="1" applyBorder="1" applyAlignment="1">
      <alignment horizontal="left"/>
    </xf>
    <xf numFmtId="206" fontId="6" fillId="35" borderId="40" xfId="47" applyNumberFormat="1" applyFont="1" applyFill="1" applyBorder="1" applyAlignment="1">
      <alignment horizontal="left"/>
    </xf>
    <xf numFmtId="10" fontId="6" fillId="35" borderId="40" xfId="57" applyNumberFormat="1" applyFont="1" applyFill="1" applyBorder="1" applyAlignment="1">
      <alignment horizontal="left"/>
    </xf>
    <xf numFmtId="0" fontId="10" fillId="0" borderId="8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5" fillId="38" borderId="39" xfId="51" applyFont="1" applyFill="1" applyBorder="1" applyAlignment="1">
      <alignment horizontal="center"/>
      <protection/>
    </xf>
    <xf numFmtId="0" fontId="5" fillId="38" borderId="81" xfId="51" applyFont="1" applyFill="1" applyBorder="1" applyAlignment="1">
      <alignment horizontal="center" vertical="center"/>
      <protection/>
    </xf>
    <xf numFmtId="0" fontId="5" fillId="38" borderId="74" xfId="51" applyFont="1" applyFill="1" applyBorder="1" applyAlignment="1">
      <alignment horizontal="center" vertical="center"/>
      <protection/>
    </xf>
    <xf numFmtId="0" fontId="5" fillId="38" borderId="84" xfId="51" applyFont="1" applyFill="1" applyBorder="1" applyAlignment="1">
      <alignment horizontal="center" vertical="center"/>
      <protection/>
    </xf>
    <xf numFmtId="4" fontId="6" fillId="0" borderId="52" xfId="0" applyNumberFormat="1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13" fillId="35" borderId="41" xfId="51" applyFont="1" applyFill="1" applyBorder="1" applyAlignment="1">
      <alignment horizontal="left" vertical="center" wrapText="1"/>
      <protection/>
    </xf>
    <xf numFmtId="0" fontId="13" fillId="35" borderId="42" xfId="51" applyFont="1" applyFill="1" applyBorder="1" applyAlignment="1">
      <alignment horizontal="left" vertical="center" wrapText="1"/>
      <protection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9" fontId="0" fillId="0" borderId="0" xfId="0" applyNumberFormat="1" applyFont="1" applyAlignment="1">
      <alignment horizontal="center"/>
    </xf>
    <xf numFmtId="39" fontId="1" fillId="36" borderId="42" xfId="0" applyNumberFormat="1" applyFont="1" applyFill="1" applyBorder="1" applyAlignment="1">
      <alignment horizontal="left" wrapText="1"/>
    </xf>
    <xf numFmtId="39" fontId="1" fillId="36" borderId="43" xfId="0" applyNumberFormat="1" applyFont="1" applyFill="1" applyBorder="1" applyAlignment="1">
      <alignment horizontal="left" wrapText="1"/>
    </xf>
    <xf numFmtId="39" fontId="0" fillId="0" borderId="0" xfId="0" applyNumberFormat="1" applyAlignment="1">
      <alignment horizontal="center"/>
    </xf>
    <xf numFmtId="39" fontId="0" fillId="35" borderId="0" xfId="0" applyNumberFormat="1" applyFont="1" applyFill="1" applyBorder="1" applyAlignment="1">
      <alignment horizontal="center"/>
    </xf>
    <xf numFmtId="39" fontId="1" fillId="35" borderId="0" xfId="0" applyNumberFormat="1" applyFont="1" applyFill="1" applyBorder="1" applyAlignment="1">
      <alignment horizontal="left" wrapText="1"/>
    </xf>
    <xf numFmtId="0" fontId="6" fillId="35" borderId="42" xfId="0" applyFont="1" applyFill="1" applyBorder="1" applyAlignment="1">
      <alignment horizontal="left"/>
    </xf>
    <xf numFmtId="0" fontId="6" fillId="35" borderId="43" xfId="0" applyFont="1" applyFill="1" applyBorder="1" applyAlignment="1">
      <alignment horizontal="left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9" fontId="1" fillId="0" borderId="0" xfId="0" applyNumberFormat="1" applyFont="1" applyAlignment="1">
      <alignment horizontal="left" wrapText="1"/>
    </xf>
    <xf numFmtId="39" fontId="0" fillId="0" borderId="0" xfId="0" applyNumberFormat="1" applyAlignment="1">
      <alignment horizontal="center" vertical="center"/>
    </xf>
    <xf numFmtId="39" fontId="0" fillId="0" borderId="0" xfId="0" applyNumberFormat="1" applyFill="1" applyAlignment="1">
      <alignment horizontal="center"/>
    </xf>
    <xf numFmtId="39" fontId="0" fillId="0" borderId="0" xfId="0" applyNumberFormat="1" applyBorder="1" applyAlignment="1">
      <alignment horizontal="center"/>
    </xf>
    <xf numFmtId="39" fontId="1" fillId="39" borderId="40" xfId="0" applyNumberFormat="1" applyFont="1" applyFill="1" applyBorder="1" applyAlignment="1">
      <alignment horizontal="center"/>
    </xf>
    <xf numFmtId="10" fontId="6" fillId="35" borderId="41" xfId="0" applyNumberFormat="1" applyFont="1" applyFill="1" applyBorder="1" applyAlignment="1">
      <alignment horizontal="left"/>
    </xf>
    <xf numFmtId="206" fontId="6" fillId="35" borderId="41" xfId="0" applyNumberFormat="1" applyFont="1" applyFill="1" applyBorder="1" applyAlignment="1">
      <alignment horizontal="left"/>
    </xf>
    <xf numFmtId="206" fontId="6" fillId="35" borderId="42" xfId="0" applyNumberFormat="1" applyFont="1" applyFill="1" applyBorder="1" applyAlignment="1">
      <alignment horizontal="left"/>
    </xf>
    <xf numFmtId="206" fontId="6" fillId="35" borderId="43" xfId="0" applyNumberFormat="1" applyFont="1" applyFill="1" applyBorder="1" applyAlignment="1">
      <alignment horizontal="left"/>
    </xf>
    <xf numFmtId="10" fontId="6" fillId="35" borderId="41" xfId="0" applyNumberFormat="1" applyFont="1" applyFill="1" applyBorder="1" applyAlignment="1">
      <alignment horizontal="left" vertical="center"/>
    </xf>
    <xf numFmtId="206" fontId="6" fillId="35" borderId="41" xfId="0" applyNumberFormat="1" applyFont="1" applyFill="1" applyBorder="1" applyAlignment="1">
      <alignment horizontal="left" vertical="center"/>
    </xf>
    <xf numFmtId="206" fontId="6" fillId="35" borderId="42" xfId="0" applyNumberFormat="1" applyFont="1" applyFill="1" applyBorder="1" applyAlignment="1">
      <alignment horizontal="left" vertical="center"/>
    </xf>
    <xf numFmtId="206" fontId="6" fillId="35" borderId="43" xfId="0" applyNumberFormat="1" applyFont="1" applyFill="1" applyBorder="1" applyAlignment="1">
      <alignment horizontal="left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7" xfId="50"/>
    <cellStyle name="Normal 2" xfId="51"/>
    <cellStyle name="Normal 3" xfId="52"/>
    <cellStyle name="Normal 3 2" xfId="53"/>
    <cellStyle name="Normal 4" xfId="54"/>
    <cellStyle name="Normal 5" xfId="55"/>
    <cellStyle name="Nota" xfId="56"/>
    <cellStyle name="Percent" xfId="57"/>
    <cellStyle name="Porcentagem 2" xfId="58"/>
    <cellStyle name="Porcentagem 3" xfId="59"/>
    <cellStyle name="Saída" xfId="60"/>
    <cellStyle name="Comma [0]" xfId="61"/>
    <cellStyle name="Separador de milhares 3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123825</xdr:rowOff>
    </xdr:from>
    <xdr:to>
      <xdr:col>6</xdr:col>
      <xdr:colOff>0</xdr:colOff>
      <xdr:row>5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287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26</xdr:row>
      <xdr:rowOff>47625</xdr:rowOff>
    </xdr:from>
    <xdr:to>
      <xdr:col>5</xdr:col>
      <xdr:colOff>171450</xdr:colOff>
      <xdr:row>26</xdr:row>
      <xdr:rowOff>504825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295900"/>
          <a:ext cx="3486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0001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0001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5</xdr:row>
      <xdr:rowOff>142875</xdr:rowOff>
    </xdr:from>
    <xdr:to>
      <xdr:col>6</xdr:col>
      <xdr:colOff>847725</xdr:colOff>
      <xdr:row>6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477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5</xdr:row>
      <xdr:rowOff>142875</xdr:rowOff>
    </xdr:from>
    <xdr:to>
      <xdr:col>6</xdr:col>
      <xdr:colOff>847725</xdr:colOff>
      <xdr:row>6</xdr:row>
      <xdr:rowOff>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477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6</xdr:row>
      <xdr:rowOff>142875</xdr:rowOff>
    </xdr:from>
    <xdr:to>
      <xdr:col>6</xdr:col>
      <xdr:colOff>847725</xdr:colOff>
      <xdr:row>7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4954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6</xdr:row>
      <xdr:rowOff>142875</xdr:rowOff>
    </xdr:from>
    <xdr:to>
      <xdr:col>6</xdr:col>
      <xdr:colOff>847725</xdr:colOff>
      <xdr:row>7</xdr:row>
      <xdr:rowOff>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4954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</xdr:row>
      <xdr:rowOff>142875</xdr:rowOff>
    </xdr:from>
    <xdr:to>
      <xdr:col>6</xdr:col>
      <xdr:colOff>847725</xdr:colOff>
      <xdr:row>8</xdr:row>
      <xdr:rowOff>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7430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</xdr:row>
      <xdr:rowOff>142875</xdr:rowOff>
    </xdr:from>
    <xdr:to>
      <xdr:col>6</xdr:col>
      <xdr:colOff>847725</xdr:colOff>
      <xdr:row>8</xdr:row>
      <xdr:rowOff>0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7430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</xdr:row>
      <xdr:rowOff>142875</xdr:rowOff>
    </xdr:from>
    <xdr:to>
      <xdr:col>6</xdr:col>
      <xdr:colOff>847725</xdr:colOff>
      <xdr:row>8</xdr:row>
      <xdr:rowOff>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7430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</xdr:row>
      <xdr:rowOff>142875</xdr:rowOff>
    </xdr:from>
    <xdr:to>
      <xdr:col>6</xdr:col>
      <xdr:colOff>847725</xdr:colOff>
      <xdr:row>8</xdr:row>
      <xdr:rowOff>0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7430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</xdr:row>
      <xdr:rowOff>142875</xdr:rowOff>
    </xdr:from>
    <xdr:to>
      <xdr:col>6</xdr:col>
      <xdr:colOff>847725</xdr:colOff>
      <xdr:row>8</xdr:row>
      <xdr:rowOff>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7430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</xdr:row>
      <xdr:rowOff>142875</xdr:rowOff>
    </xdr:from>
    <xdr:to>
      <xdr:col>6</xdr:col>
      <xdr:colOff>847725</xdr:colOff>
      <xdr:row>8</xdr:row>
      <xdr:rowOff>0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7430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8</xdr:row>
      <xdr:rowOff>142875</xdr:rowOff>
    </xdr:from>
    <xdr:to>
      <xdr:col>6</xdr:col>
      <xdr:colOff>847725</xdr:colOff>
      <xdr:row>9</xdr:row>
      <xdr:rowOff>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9907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8</xdr:row>
      <xdr:rowOff>142875</xdr:rowOff>
    </xdr:from>
    <xdr:to>
      <xdr:col>6</xdr:col>
      <xdr:colOff>847725</xdr:colOff>
      <xdr:row>9</xdr:row>
      <xdr:rowOff>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9907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8</xdr:row>
      <xdr:rowOff>142875</xdr:rowOff>
    </xdr:from>
    <xdr:to>
      <xdr:col>6</xdr:col>
      <xdr:colOff>847725</xdr:colOff>
      <xdr:row>9</xdr:row>
      <xdr:rowOff>0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9907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8</xdr:row>
      <xdr:rowOff>142875</xdr:rowOff>
    </xdr:from>
    <xdr:to>
      <xdr:col>6</xdr:col>
      <xdr:colOff>847725</xdr:colOff>
      <xdr:row>9</xdr:row>
      <xdr:rowOff>0</xdr:rowOff>
    </xdr:to>
    <xdr:pic>
      <xdr:nvPicPr>
        <xdr:cNvPr id="1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9907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8</xdr:row>
      <xdr:rowOff>142875</xdr:rowOff>
    </xdr:from>
    <xdr:to>
      <xdr:col>6</xdr:col>
      <xdr:colOff>847725</xdr:colOff>
      <xdr:row>9</xdr:row>
      <xdr:rowOff>0</xdr:rowOff>
    </xdr:to>
    <xdr:pic>
      <xdr:nvPicPr>
        <xdr:cNvPr id="18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9907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8</xdr:row>
      <xdr:rowOff>142875</xdr:rowOff>
    </xdr:from>
    <xdr:to>
      <xdr:col>6</xdr:col>
      <xdr:colOff>847725</xdr:colOff>
      <xdr:row>9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9907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</xdr:row>
      <xdr:rowOff>142875</xdr:rowOff>
    </xdr:from>
    <xdr:to>
      <xdr:col>6</xdr:col>
      <xdr:colOff>847725</xdr:colOff>
      <xdr:row>8</xdr:row>
      <xdr:rowOff>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7430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</xdr:row>
      <xdr:rowOff>142875</xdr:rowOff>
    </xdr:from>
    <xdr:to>
      <xdr:col>6</xdr:col>
      <xdr:colOff>847725</xdr:colOff>
      <xdr:row>8</xdr:row>
      <xdr:rowOff>0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7430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4</xdr:row>
      <xdr:rowOff>142875</xdr:rowOff>
    </xdr:from>
    <xdr:to>
      <xdr:col>6</xdr:col>
      <xdr:colOff>619125</xdr:colOff>
      <xdr:row>5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858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4</xdr:row>
      <xdr:rowOff>142875</xdr:rowOff>
    </xdr:from>
    <xdr:to>
      <xdr:col>6</xdr:col>
      <xdr:colOff>619125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858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UR&#201;M%202023\ADEQUA&#199;&#195;O%20DE%20UM%20PR&#201;DIO%20ESCOLA%20MUNICIPAL%20PINTINHO%20DE%20OURO%20I\ADEQUA&#199;&#195;O%20DE%20UM%20PR&#201;DIO%20P&#218;BLICO%20PARA%20O%20FUNCIONAMENTO%20DO%20PINTINHO%20DEOURO%201%20-%20SETEMBR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cronograma(Const.)"/>
      <sheetName val="Encargos"/>
      <sheetName val="Memória de Cálc.(Constr.)"/>
      <sheetName val="plan.analítica(Contr.)"/>
      <sheetName val="SERV INIC 1.0"/>
      <sheetName val="ADM. 2.0"/>
      <sheetName val="URBANIZAÇÃO 3.0"/>
      <sheetName val="PISO. 5,0"/>
      <sheetName val="PINTURA. 8,0"/>
      <sheetName val="SERVIÇOS FINAIS. 12,0 "/>
    </sheetNames>
    <sheetDataSet>
      <sheetData sheetId="0">
        <row r="6">
          <cell r="C6">
            <v>0.288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="85" zoomScaleNormal="70" zoomScaleSheetLayoutView="85" workbookViewId="0" topLeftCell="A19">
      <selection activeCell="J20" sqref="J20"/>
    </sheetView>
  </sheetViews>
  <sheetFormatPr defaultColWidth="9.140625" defaultRowHeight="12.75"/>
  <cols>
    <col min="1" max="1" width="9.57421875" style="107" customWidth="1"/>
    <col min="2" max="2" width="12.28125" style="107" customWidth="1"/>
    <col min="3" max="3" width="7.8515625" style="107" customWidth="1"/>
    <col min="4" max="4" width="70.8515625" style="107" customWidth="1"/>
    <col min="5" max="5" width="7.00390625" style="107" bestFit="1" customWidth="1"/>
    <col min="6" max="6" width="9.8515625" style="113" bestFit="1" customWidth="1"/>
    <col min="7" max="8" width="16.8515625" style="114" customWidth="1"/>
    <col min="9" max="9" width="20.57421875" style="115" bestFit="1" customWidth="1"/>
    <col min="10" max="10" width="15.421875" style="0" customWidth="1"/>
    <col min="11" max="11" width="13.140625" style="0" bestFit="1" customWidth="1"/>
  </cols>
  <sheetData>
    <row r="1" spans="1:9" ht="13.5">
      <c r="A1" s="319" t="s">
        <v>257</v>
      </c>
      <c r="B1" s="320"/>
      <c r="C1" s="320"/>
      <c r="D1" s="320"/>
      <c r="E1" s="320"/>
      <c r="F1" s="320"/>
      <c r="G1" s="320"/>
      <c r="H1" s="320"/>
      <c r="I1" s="321"/>
    </row>
    <row r="2" spans="1:9" ht="12.75">
      <c r="A2" s="322" t="s">
        <v>258</v>
      </c>
      <c r="B2" s="323"/>
      <c r="C2" s="323"/>
      <c r="D2" s="323"/>
      <c r="E2" s="323"/>
      <c r="F2" s="323"/>
      <c r="G2" s="323"/>
      <c r="H2" s="323"/>
      <c r="I2" s="324"/>
    </row>
    <row r="3" spans="1:9" ht="12.75">
      <c r="A3" s="325"/>
      <c r="B3" s="326"/>
      <c r="C3" s="326"/>
      <c r="D3" s="326"/>
      <c r="E3" s="326"/>
      <c r="F3" s="326"/>
      <c r="G3" s="326"/>
      <c r="H3" s="326"/>
      <c r="I3" s="327"/>
    </row>
    <row r="4" spans="1:9" ht="12.75">
      <c r="A4" s="325"/>
      <c r="B4" s="326"/>
      <c r="C4" s="326"/>
      <c r="D4" s="326"/>
      <c r="E4" s="326"/>
      <c r="F4" s="326"/>
      <c r="G4" s="326"/>
      <c r="H4" s="326"/>
      <c r="I4" s="327"/>
    </row>
    <row r="5" spans="1:9" ht="12.75">
      <c r="A5" s="325"/>
      <c r="B5" s="326"/>
      <c r="C5" s="326"/>
      <c r="D5" s="326"/>
      <c r="E5" s="326"/>
      <c r="F5" s="326"/>
      <c r="G5" s="326"/>
      <c r="H5" s="326"/>
      <c r="I5" s="327"/>
    </row>
    <row r="6" spans="1:9" ht="27">
      <c r="A6" s="230" t="s">
        <v>259</v>
      </c>
      <c r="B6" s="328" t="s">
        <v>260</v>
      </c>
      <c r="C6" s="329"/>
      <c r="D6" s="329"/>
      <c r="E6" s="330"/>
      <c r="F6" s="331" t="s">
        <v>261</v>
      </c>
      <c r="G6" s="332"/>
      <c r="H6" s="231" t="s">
        <v>262</v>
      </c>
      <c r="I6" s="232"/>
    </row>
    <row r="7" spans="1:9" ht="13.5">
      <c r="A7" s="230" t="s">
        <v>263</v>
      </c>
      <c r="B7" s="333" t="s">
        <v>274</v>
      </c>
      <c r="C7" s="334"/>
      <c r="D7" s="334"/>
      <c r="E7" s="334"/>
      <c r="F7" s="334"/>
      <c r="G7" s="334"/>
      <c r="H7" s="334"/>
      <c r="I7" s="335"/>
    </row>
    <row r="8" spans="1:9" ht="13.5">
      <c r="A8" s="233" t="s">
        <v>66</v>
      </c>
      <c r="B8" s="336">
        <v>0.288</v>
      </c>
      <c r="C8" s="337"/>
      <c r="D8" s="338" t="s">
        <v>276</v>
      </c>
      <c r="E8" s="340" t="s">
        <v>264</v>
      </c>
      <c r="F8" s="342" t="s">
        <v>265</v>
      </c>
      <c r="G8" s="343"/>
      <c r="H8" s="343"/>
      <c r="I8" s="344"/>
    </row>
    <row r="9" spans="1:9" ht="12.75">
      <c r="A9" s="348" t="s">
        <v>266</v>
      </c>
      <c r="B9" s="302" t="s">
        <v>267</v>
      </c>
      <c r="C9" s="303"/>
      <c r="D9" s="339"/>
      <c r="E9" s="341"/>
      <c r="F9" s="345"/>
      <c r="G9" s="346"/>
      <c r="H9" s="346"/>
      <c r="I9" s="347"/>
    </row>
    <row r="10" spans="1:9" ht="13.5">
      <c r="A10" s="349"/>
      <c r="B10" s="304"/>
      <c r="C10" s="305"/>
      <c r="D10" s="306" t="s">
        <v>268</v>
      </c>
      <c r="E10" s="307"/>
      <c r="F10" s="308" t="s">
        <v>269</v>
      </c>
      <c r="G10" s="309"/>
      <c r="H10" s="309"/>
      <c r="I10" s="310"/>
    </row>
    <row r="11" spans="1:11" ht="15" customHeight="1">
      <c r="A11" s="354" t="s">
        <v>12</v>
      </c>
      <c r="B11" s="354" t="s">
        <v>13</v>
      </c>
      <c r="C11" s="311" t="s">
        <v>0</v>
      </c>
      <c r="D11" s="311" t="s">
        <v>122</v>
      </c>
      <c r="E11" s="311" t="s">
        <v>1</v>
      </c>
      <c r="F11" s="313" t="s">
        <v>2</v>
      </c>
      <c r="G11" s="315" t="s">
        <v>10</v>
      </c>
      <c r="H11" s="315" t="s">
        <v>40</v>
      </c>
      <c r="I11" s="317" t="s">
        <v>11</v>
      </c>
      <c r="J11" s="1"/>
      <c r="K11" s="223">
        <v>263436.82</v>
      </c>
    </row>
    <row r="12" spans="1:10" ht="15" customHeight="1">
      <c r="A12" s="355"/>
      <c r="B12" s="355"/>
      <c r="C12" s="312"/>
      <c r="D12" s="312"/>
      <c r="E12" s="312"/>
      <c r="F12" s="314"/>
      <c r="G12" s="316"/>
      <c r="H12" s="316"/>
      <c r="I12" s="318"/>
      <c r="J12" s="2">
        <v>1.2882</v>
      </c>
    </row>
    <row r="13" spans="1:11" ht="13.5">
      <c r="A13" s="235"/>
      <c r="B13" s="235"/>
      <c r="C13" s="236" t="s">
        <v>22</v>
      </c>
      <c r="D13" s="237" t="s">
        <v>153</v>
      </c>
      <c r="E13" s="236"/>
      <c r="F13" s="238"/>
      <c r="G13" s="239"/>
      <c r="H13" s="239"/>
      <c r="I13" s="240"/>
      <c r="J13" s="20"/>
      <c r="K13" s="74" t="e">
        <f>#REF!-K11</f>
        <v>#REF!</v>
      </c>
    </row>
    <row r="14" spans="1:10" ht="27">
      <c r="A14" s="356" t="str">
        <f>CPU!A11</f>
        <v>CPU 01</v>
      </c>
      <c r="B14" s="357"/>
      <c r="C14" s="108" t="s">
        <v>3</v>
      </c>
      <c r="D14" s="109" t="s">
        <v>161</v>
      </c>
      <c r="E14" s="110" t="s">
        <v>209</v>
      </c>
      <c r="F14" s="89">
        <f>'Memória de Cálculo'!C26</f>
        <v>1</v>
      </c>
      <c r="G14" s="234">
        <f>CPU!I17</f>
        <v>12228.3</v>
      </c>
      <c r="H14" s="194">
        <f>ROUND((G14*$J$12),2)</f>
        <v>15752.5</v>
      </c>
      <c r="I14" s="195">
        <f>ROUND((H14*F14),2)</f>
        <v>15752.5</v>
      </c>
      <c r="J14" s="197"/>
    </row>
    <row r="15" spans="1:10" ht="13.5">
      <c r="A15" s="86"/>
      <c r="B15" s="86"/>
      <c r="C15" s="105"/>
      <c r="D15" s="350" t="s">
        <v>145</v>
      </c>
      <c r="E15" s="350"/>
      <c r="F15" s="350"/>
      <c r="G15" s="350"/>
      <c r="H15" s="111"/>
      <c r="I15" s="196">
        <f>SUM(I14)</f>
        <v>15752.5</v>
      </c>
      <c r="J15" s="3"/>
    </row>
    <row r="16" spans="1:10" ht="13.5">
      <c r="A16" s="235"/>
      <c r="B16" s="235"/>
      <c r="C16" s="236" t="s">
        <v>8</v>
      </c>
      <c r="D16" s="237" t="s">
        <v>23</v>
      </c>
      <c r="E16" s="236"/>
      <c r="F16" s="238"/>
      <c r="G16" s="239"/>
      <c r="H16" s="239"/>
      <c r="I16" s="240"/>
      <c r="J16" s="20"/>
    </row>
    <row r="17" spans="1:10" ht="13.5">
      <c r="A17" s="190" t="s">
        <v>39</v>
      </c>
      <c r="B17" s="190">
        <v>10009</v>
      </c>
      <c r="C17" s="108" t="s">
        <v>5</v>
      </c>
      <c r="D17" s="109" t="s">
        <v>117</v>
      </c>
      <c r="E17" s="110" t="s">
        <v>4</v>
      </c>
      <c r="F17" s="89">
        <f>'Memória de Cálculo'!C34</f>
        <v>855.79</v>
      </c>
      <c r="G17" s="193">
        <v>5.1</v>
      </c>
      <c r="H17" s="194">
        <f>ROUND((G17*$J$12),2)</f>
        <v>6.57</v>
      </c>
      <c r="I17" s="195">
        <f>ROUND((H17*F17),2)</f>
        <v>5622.54</v>
      </c>
      <c r="J17" s="21"/>
    </row>
    <row r="18" spans="1:10" ht="13.5">
      <c r="A18" s="191" t="s">
        <v>39</v>
      </c>
      <c r="B18" s="191">
        <v>11170</v>
      </c>
      <c r="C18" s="108" t="s">
        <v>357</v>
      </c>
      <c r="D18" s="87" t="s">
        <v>253</v>
      </c>
      <c r="E18" s="88" t="s">
        <v>72</v>
      </c>
      <c r="F18" s="89">
        <f>'Memória de Cálculo'!C39</f>
        <v>1</v>
      </c>
      <c r="G18" s="193">
        <v>2900.13</v>
      </c>
      <c r="H18" s="194">
        <f>ROUND((G18*$J$12),2)</f>
        <v>3735.95</v>
      </c>
      <c r="I18" s="195">
        <f>ROUND((H18*F18),2)</f>
        <v>3735.95</v>
      </c>
      <c r="J18" s="3"/>
    </row>
    <row r="19" spans="1:10" s="132" customFormat="1" ht="13.5">
      <c r="A19" s="192" t="s">
        <v>39</v>
      </c>
      <c r="B19" s="192">
        <v>10005</v>
      </c>
      <c r="C19" s="108" t="s">
        <v>25</v>
      </c>
      <c r="D19" s="87" t="s">
        <v>123</v>
      </c>
      <c r="E19" s="88" t="s">
        <v>4</v>
      </c>
      <c r="F19" s="89">
        <f>'Memória de Cálculo'!C46</f>
        <v>18</v>
      </c>
      <c r="G19" s="193">
        <v>405.36</v>
      </c>
      <c r="H19" s="194">
        <f>ROUND((G19*$J$12),2)</f>
        <v>522.18</v>
      </c>
      <c r="I19" s="195">
        <f>ROUND((H19*F19),2)</f>
        <v>9399.24</v>
      </c>
      <c r="J19" s="131"/>
    </row>
    <row r="20" spans="1:10" ht="13.5">
      <c r="A20" s="191"/>
      <c r="B20" s="191"/>
      <c r="C20" s="105"/>
      <c r="D20" s="350" t="s">
        <v>67</v>
      </c>
      <c r="E20" s="350"/>
      <c r="F20" s="350"/>
      <c r="G20" s="350"/>
      <c r="H20" s="111"/>
      <c r="I20" s="196">
        <f>SUM(I17:I19)</f>
        <v>18757.73</v>
      </c>
      <c r="J20" s="3"/>
    </row>
    <row r="21" spans="1:10" ht="13.5">
      <c r="A21" s="235"/>
      <c r="B21" s="235"/>
      <c r="C21" s="236" t="s">
        <v>7</v>
      </c>
      <c r="D21" s="237" t="s">
        <v>224</v>
      </c>
      <c r="E21" s="237"/>
      <c r="F21" s="241"/>
      <c r="G21" s="242"/>
      <c r="H21" s="242"/>
      <c r="I21" s="243"/>
      <c r="J21" s="3"/>
    </row>
    <row r="22" spans="1:10" ht="13.5">
      <c r="A22" s="190" t="s">
        <v>39</v>
      </c>
      <c r="B22" s="191">
        <v>30010</v>
      </c>
      <c r="C22" s="105" t="s">
        <v>28</v>
      </c>
      <c r="D22" s="87" t="s">
        <v>113</v>
      </c>
      <c r="E22" s="88" t="s">
        <v>6</v>
      </c>
      <c r="F22" s="89">
        <f>'Memória de Cálculo'!C60</f>
        <v>17.33</v>
      </c>
      <c r="G22" s="193">
        <v>72.64</v>
      </c>
      <c r="H22" s="194">
        <f aca="true" t="shared" si="0" ref="H22:H30">ROUND((G22*$J$12),2)</f>
        <v>93.57</v>
      </c>
      <c r="I22" s="195">
        <f aca="true" t="shared" si="1" ref="I22:I30">ROUND((H22*F22),2)</f>
        <v>1621.57</v>
      </c>
      <c r="J22" s="3"/>
    </row>
    <row r="23" spans="1:10" ht="27">
      <c r="A23" s="190" t="s">
        <v>171</v>
      </c>
      <c r="B23" s="191" t="s">
        <v>227</v>
      </c>
      <c r="C23" s="105" t="s">
        <v>37</v>
      </c>
      <c r="D23" s="87" t="s">
        <v>226</v>
      </c>
      <c r="E23" s="88" t="s">
        <v>4</v>
      </c>
      <c r="F23" s="89">
        <f>'Memória de Cálculo'!C67</f>
        <v>44</v>
      </c>
      <c r="G23" s="193">
        <v>34.08</v>
      </c>
      <c r="H23" s="194">
        <f t="shared" si="0"/>
        <v>43.9</v>
      </c>
      <c r="I23" s="195">
        <f t="shared" si="1"/>
        <v>1931.6</v>
      </c>
      <c r="J23" s="3"/>
    </row>
    <row r="24" spans="1:10" ht="41.25">
      <c r="A24" s="192" t="s">
        <v>171</v>
      </c>
      <c r="B24" s="192" t="s">
        <v>194</v>
      </c>
      <c r="C24" s="105" t="s">
        <v>29</v>
      </c>
      <c r="D24" s="87" t="s">
        <v>195</v>
      </c>
      <c r="E24" s="88" t="s">
        <v>4</v>
      </c>
      <c r="F24" s="89">
        <f>'Memória de Cálculo'!G72</f>
        <v>154</v>
      </c>
      <c r="G24" s="193">
        <v>65.54</v>
      </c>
      <c r="H24" s="194">
        <f t="shared" si="0"/>
        <v>84.43</v>
      </c>
      <c r="I24" s="195">
        <f>ROUND((H24*F24),2)</f>
        <v>13002.22</v>
      </c>
      <c r="J24" s="3"/>
    </row>
    <row r="25" spans="1:10" ht="27">
      <c r="A25" s="192" t="s">
        <v>171</v>
      </c>
      <c r="B25" s="192" t="s">
        <v>192</v>
      </c>
      <c r="C25" s="105" t="s">
        <v>38</v>
      </c>
      <c r="D25" s="87" t="s">
        <v>193</v>
      </c>
      <c r="E25" s="88" t="s">
        <v>6</v>
      </c>
      <c r="F25" s="89">
        <f>'Memória de Cálculo'!C83</f>
        <v>13.2</v>
      </c>
      <c r="G25" s="193">
        <v>633.17</v>
      </c>
      <c r="H25" s="194">
        <f t="shared" si="0"/>
        <v>815.65</v>
      </c>
      <c r="I25" s="195">
        <f t="shared" si="1"/>
        <v>10766.58</v>
      </c>
      <c r="J25" s="3"/>
    </row>
    <row r="26" spans="1:10" ht="13.5">
      <c r="A26" s="190" t="s">
        <v>39</v>
      </c>
      <c r="B26" s="191">
        <v>60046</v>
      </c>
      <c r="C26" s="105" t="s">
        <v>77</v>
      </c>
      <c r="D26" s="87" t="s">
        <v>92</v>
      </c>
      <c r="E26" s="88" t="s">
        <v>4</v>
      </c>
      <c r="F26" s="89">
        <f>'Memória de Cálculo'!C94</f>
        <v>108.5</v>
      </c>
      <c r="G26" s="193">
        <v>70.42</v>
      </c>
      <c r="H26" s="194">
        <f t="shared" si="0"/>
        <v>90.72</v>
      </c>
      <c r="I26" s="195">
        <f t="shared" si="1"/>
        <v>9843.12</v>
      </c>
      <c r="J26" s="3"/>
    </row>
    <row r="27" spans="1:11" ht="27">
      <c r="A27" s="190" t="s">
        <v>39</v>
      </c>
      <c r="B27" s="191">
        <v>50681</v>
      </c>
      <c r="C27" s="105" t="s">
        <v>134</v>
      </c>
      <c r="D27" s="87" t="s">
        <v>178</v>
      </c>
      <c r="E27" s="88" t="s">
        <v>6</v>
      </c>
      <c r="F27" s="89">
        <f>'Memória de Cálculo'!C101</f>
        <v>1.05</v>
      </c>
      <c r="G27" s="193">
        <v>3384.41</v>
      </c>
      <c r="H27" s="194">
        <f t="shared" si="0"/>
        <v>4359.8</v>
      </c>
      <c r="I27" s="195">
        <f t="shared" si="1"/>
        <v>4577.79</v>
      </c>
      <c r="J27" s="3"/>
      <c r="K27" s="128">
        <f>SUM(I22:I29)/I39</f>
        <v>0.34799386625695844</v>
      </c>
    </row>
    <row r="28" spans="1:10" ht="13.5">
      <c r="A28" s="190" t="s">
        <v>39</v>
      </c>
      <c r="B28" s="191">
        <v>110143</v>
      </c>
      <c r="C28" s="105" t="s">
        <v>136</v>
      </c>
      <c r="D28" s="87" t="s">
        <v>41</v>
      </c>
      <c r="E28" s="88" t="s">
        <v>4</v>
      </c>
      <c r="F28" s="89">
        <f>'Memória de Cálculo'!C112</f>
        <v>220</v>
      </c>
      <c r="G28" s="193">
        <v>11.69</v>
      </c>
      <c r="H28" s="194">
        <f t="shared" si="0"/>
        <v>15.06</v>
      </c>
      <c r="I28" s="195">
        <f t="shared" si="1"/>
        <v>3313.2</v>
      </c>
      <c r="J28" s="3"/>
    </row>
    <row r="29" spans="1:10" ht="13.5">
      <c r="A29" s="190" t="s">
        <v>39</v>
      </c>
      <c r="B29" s="191">
        <v>110763</v>
      </c>
      <c r="C29" s="105" t="s">
        <v>141</v>
      </c>
      <c r="D29" s="87" t="s">
        <v>114</v>
      </c>
      <c r="E29" s="88" t="s">
        <v>4</v>
      </c>
      <c r="F29" s="89">
        <f>'Memória de Cálculo'!C123</f>
        <v>220</v>
      </c>
      <c r="G29" s="193">
        <v>47.73</v>
      </c>
      <c r="H29" s="194">
        <f t="shared" si="0"/>
        <v>61.49</v>
      </c>
      <c r="I29" s="195">
        <f t="shared" si="1"/>
        <v>13527.8</v>
      </c>
      <c r="J29" s="3"/>
    </row>
    <row r="30" spans="1:11" ht="13.5">
      <c r="A30" s="190" t="s">
        <v>39</v>
      </c>
      <c r="B30" s="191">
        <v>150480</v>
      </c>
      <c r="C30" s="105" t="s">
        <v>142</v>
      </c>
      <c r="D30" s="87" t="s">
        <v>179</v>
      </c>
      <c r="E30" s="88" t="s">
        <v>4</v>
      </c>
      <c r="F30" s="89">
        <f>'Memória de Cálculo'!C134</f>
        <v>220</v>
      </c>
      <c r="G30" s="193">
        <v>23.64</v>
      </c>
      <c r="H30" s="194">
        <f t="shared" si="0"/>
        <v>30.45</v>
      </c>
      <c r="I30" s="195">
        <f t="shared" si="1"/>
        <v>6699</v>
      </c>
      <c r="J30" s="3"/>
      <c r="K30" s="128">
        <f>SUM(I33:I35)/I39</f>
        <v>0.76653825169315</v>
      </c>
    </row>
    <row r="31" spans="1:11" ht="13.5">
      <c r="A31" s="191"/>
      <c r="B31" s="191"/>
      <c r="C31" s="105"/>
      <c r="D31" s="350" t="s">
        <v>68</v>
      </c>
      <c r="E31" s="350"/>
      <c r="F31" s="350"/>
      <c r="G31" s="350"/>
      <c r="H31" s="111"/>
      <c r="I31" s="196">
        <f>SUM(I22:I30)</f>
        <v>65282.880000000005</v>
      </c>
      <c r="J31" s="3"/>
      <c r="K31" s="128"/>
    </row>
    <row r="32" spans="1:11" ht="13.5">
      <c r="A32" s="235"/>
      <c r="B32" s="235"/>
      <c r="C32" s="236" t="s">
        <v>19</v>
      </c>
      <c r="D32" s="237" t="s">
        <v>223</v>
      </c>
      <c r="E32" s="237"/>
      <c r="F32" s="241"/>
      <c r="G32" s="242"/>
      <c r="H32" s="242"/>
      <c r="I32" s="243"/>
      <c r="J32" s="3"/>
      <c r="K32" s="128"/>
    </row>
    <row r="33" spans="1:10" ht="13.5">
      <c r="A33" s="190" t="s">
        <v>39</v>
      </c>
      <c r="B33" s="190">
        <v>260278</v>
      </c>
      <c r="C33" s="105" t="s">
        <v>20</v>
      </c>
      <c r="D33" s="87" t="s">
        <v>21</v>
      </c>
      <c r="E33" s="88" t="s">
        <v>4</v>
      </c>
      <c r="F33" s="89">
        <f>'Memória de Cálculo'!C142</f>
        <v>700</v>
      </c>
      <c r="G33" s="193">
        <v>38.59</v>
      </c>
      <c r="H33" s="193">
        <f aca="true" t="shared" si="2" ref="H33:H38">ROUND((G33*$J$12),2)</f>
        <v>49.71</v>
      </c>
      <c r="I33" s="195">
        <f aca="true" t="shared" si="3" ref="I33:I38">ROUND((H33*F33),2)</f>
        <v>34797</v>
      </c>
      <c r="J33" s="21"/>
    </row>
    <row r="34" spans="1:10" ht="13.5">
      <c r="A34" s="190" t="s">
        <v>39</v>
      </c>
      <c r="B34" s="191">
        <v>90623</v>
      </c>
      <c r="C34" s="105" t="s">
        <v>78</v>
      </c>
      <c r="D34" s="87" t="s">
        <v>104</v>
      </c>
      <c r="E34" s="88" t="s">
        <v>4</v>
      </c>
      <c r="F34" s="89">
        <f>'Memória de Cálculo'!C149</f>
        <v>2.8</v>
      </c>
      <c r="G34" s="193">
        <v>549.84</v>
      </c>
      <c r="H34" s="193">
        <f t="shared" si="2"/>
        <v>708.3</v>
      </c>
      <c r="I34" s="195">
        <f t="shared" si="3"/>
        <v>1983.24</v>
      </c>
      <c r="J34" s="3"/>
    </row>
    <row r="35" spans="1:10" ht="13.5">
      <c r="A35" s="190" t="s">
        <v>39</v>
      </c>
      <c r="B35" s="191">
        <v>240244</v>
      </c>
      <c r="C35" s="105" t="s">
        <v>79</v>
      </c>
      <c r="D35" s="112" t="s">
        <v>105</v>
      </c>
      <c r="E35" s="88" t="s">
        <v>4</v>
      </c>
      <c r="F35" s="89">
        <f>'Memória de Cálculo'!C179</f>
        <v>158.99999999999997</v>
      </c>
      <c r="G35" s="193">
        <v>450.46</v>
      </c>
      <c r="H35" s="193">
        <f t="shared" si="2"/>
        <v>580.28</v>
      </c>
      <c r="I35" s="195">
        <f t="shared" si="3"/>
        <v>92264.52</v>
      </c>
      <c r="J35" s="3"/>
    </row>
    <row r="36" spans="1:10" ht="13.5">
      <c r="A36" s="190" t="s">
        <v>39</v>
      </c>
      <c r="B36" s="191">
        <v>150131</v>
      </c>
      <c r="C36" s="105" t="s">
        <v>130</v>
      </c>
      <c r="D36" s="112" t="s">
        <v>180</v>
      </c>
      <c r="E36" s="88" t="s">
        <v>4</v>
      </c>
      <c r="F36" s="89">
        <f>'Memória de Cálculo'!C209</f>
        <v>158.99999999999997</v>
      </c>
      <c r="G36" s="193">
        <v>39.6</v>
      </c>
      <c r="H36" s="193">
        <f t="shared" si="2"/>
        <v>51.01</v>
      </c>
      <c r="I36" s="195">
        <f t="shared" si="3"/>
        <v>8110.59</v>
      </c>
      <c r="J36" s="3"/>
    </row>
    <row r="37" spans="1:10" ht="13.5">
      <c r="A37" s="190" t="s">
        <v>39</v>
      </c>
      <c r="B37" s="191">
        <v>150302</v>
      </c>
      <c r="C37" s="105" t="s">
        <v>154</v>
      </c>
      <c r="D37" s="112" t="s">
        <v>147</v>
      </c>
      <c r="E37" s="88" t="s">
        <v>4</v>
      </c>
      <c r="F37" s="89">
        <f>'Memória de Cálculo'!C239</f>
        <v>158.99999999999997</v>
      </c>
      <c r="G37" s="193">
        <v>39.9</v>
      </c>
      <c r="H37" s="193">
        <f t="shared" si="2"/>
        <v>51.4</v>
      </c>
      <c r="I37" s="195">
        <f t="shared" si="3"/>
        <v>8172.6</v>
      </c>
      <c r="J37" s="3"/>
    </row>
    <row r="38" spans="1:10" ht="13.5">
      <c r="A38" s="190" t="s">
        <v>39</v>
      </c>
      <c r="B38" s="191">
        <v>130492</v>
      </c>
      <c r="C38" s="105" t="s">
        <v>155</v>
      </c>
      <c r="D38" s="87" t="s">
        <v>96</v>
      </c>
      <c r="E38" s="88" t="s">
        <v>4</v>
      </c>
      <c r="F38" s="89">
        <f>'Memória de Cálculo'!C249</f>
        <v>139.2</v>
      </c>
      <c r="G38" s="193">
        <v>128.37</v>
      </c>
      <c r="H38" s="193">
        <f t="shared" si="2"/>
        <v>165.37</v>
      </c>
      <c r="I38" s="195">
        <f t="shared" si="3"/>
        <v>23019.5</v>
      </c>
      <c r="J38" s="3"/>
    </row>
    <row r="39" spans="1:10" ht="13.5">
      <c r="A39" s="191"/>
      <c r="B39" s="191"/>
      <c r="C39" s="105"/>
      <c r="D39" s="350" t="s">
        <v>69</v>
      </c>
      <c r="E39" s="350"/>
      <c r="F39" s="350"/>
      <c r="G39" s="350"/>
      <c r="H39" s="111"/>
      <c r="I39" s="196">
        <f>SUM(I33:I38)</f>
        <v>168347.45</v>
      </c>
      <c r="J39" s="8"/>
    </row>
    <row r="40" spans="1:10" ht="13.5">
      <c r="A40" s="235"/>
      <c r="B40" s="235"/>
      <c r="C40" s="236" t="s">
        <v>80</v>
      </c>
      <c r="D40" s="237" t="s">
        <v>14</v>
      </c>
      <c r="E40" s="236"/>
      <c r="F40" s="238"/>
      <c r="G40" s="239"/>
      <c r="H40" s="239"/>
      <c r="I40" s="240"/>
      <c r="J40" s="3"/>
    </row>
    <row r="41" spans="1:10" ht="16.5" customHeight="1">
      <c r="A41" s="192" t="s">
        <v>39</v>
      </c>
      <c r="B41" s="192">
        <v>170625</v>
      </c>
      <c r="C41" s="105" t="s">
        <v>81</v>
      </c>
      <c r="D41" s="87" t="s">
        <v>181</v>
      </c>
      <c r="E41" s="88" t="s">
        <v>209</v>
      </c>
      <c r="F41" s="89">
        <f>'Memória de Cálculo'!C255</f>
        <v>4</v>
      </c>
      <c r="G41" s="193">
        <v>2951.01</v>
      </c>
      <c r="H41" s="193">
        <f aca="true" t="shared" si="4" ref="H41:H54">ROUND((G41*$J$12),2)</f>
        <v>3801.49</v>
      </c>
      <c r="I41" s="195">
        <f aca="true" t="shared" si="5" ref="I41:I60">ROUND((H41*F41),2)</f>
        <v>15205.96</v>
      </c>
      <c r="J41" s="4"/>
    </row>
    <row r="42" spans="1:10" ht="16.5" customHeight="1">
      <c r="A42" s="192" t="s">
        <v>39</v>
      </c>
      <c r="B42" s="192">
        <v>171163</v>
      </c>
      <c r="C42" s="105" t="s">
        <v>156</v>
      </c>
      <c r="D42" s="87" t="s">
        <v>135</v>
      </c>
      <c r="E42" s="88" t="s">
        <v>209</v>
      </c>
      <c r="F42" s="89">
        <f>'Memória de Cálculo'!C259</f>
        <v>5</v>
      </c>
      <c r="G42" s="193">
        <v>353.98</v>
      </c>
      <c r="H42" s="193">
        <f t="shared" si="4"/>
        <v>456</v>
      </c>
      <c r="I42" s="195">
        <f t="shared" si="5"/>
        <v>2280</v>
      </c>
      <c r="J42" s="4"/>
    </row>
    <row r="43" spans="1:10" ht="16.5" customHeight="1">
      <c r="A43" s="192" t="s">
        <v>39</v>
      </c>
      <c r="B43" s="192">
        <v>170381</v>
      </c>
      <c r="C43" s="105" t="s">
        <v>157</v>
      </c>
      <c r="D43" s="87" t="s">
        <v>137</v>
      </c>
      <c r="E43" s="88" t="s">
        <v>87</v>
      </c>
      <c r="F43" s="89">
        <f>'Memória de Cálculo'!C267</f>
        <v>6</v>
      </c>
      <c r="G43" s="193">
        <v>69.67</v>
      </c>
      <c r="H43" s="193">
        <f t="shared" si="4"/>
        <v>89.75</v>
      </c>
      <c r="I43" s="195">
        <f t="shared" si="5"/>
        <v>538.5</v>
      </c>
      <c r="J43" s="4"/>
    </row>
    <row r="44" spans="1:10" ht="13.5">
      <c r="A44" s="192" t="s">
        <v>39</v>
      </c>
      <c r="B44" s="192">
        <v>170975</v>
      </c>
      <c r="C44" s="105" t="s">
        <v>158</v>
      </c>
      <c r="D44" s="87" t="s">
        <v>126</v>
      </c>
      <c r="E44" s="88" t="s">
        <v>209</v>
      </c>
      <c r="F44" s="89">
        <f>'Memória de Cálculo'!C274</f>
        <v>8</v>
      </c>
      <c r="G44" s="193">
        <v>231.27</v>
      </c>
      <c r="H44" s="193">
        <f t="shared" si="4"/>
        <v>297.92</v>
      </c>
      <c r="I44" s="195">
        <f t="shared" si="5"/>
        <v>2383.36</v>
      </c>
      <c r="J44" s="4"/>
    </row>
    <row r="45" spans="1:9" ht="13.5">
      <c r="A45" s="192" t="s">
        <v>39</v>
      </c>
      <c r="B45" s="192">
        <v>180414</v>
      </c>
      <c r="C45" s="105" t="s">
        <v>215</v>
      </c>
      <c r="D45" s="87" t="s">
        <v>127</v>
      </c>
      <c r="E45" s="88" t="s">
        <v>209</v>
      </c>
      <c r="F45" s="89">
        <f>'Memória de Cálculo'!C278</f>
        <v>4</v>
      </c>
      <c r="G45" s="193">
        <v>200.16</v>
      </c>
      <c r="H45" s="193">
        <f t="shared" si="4"/>
        <v>257.85</v>
      </c>
      <c r="I45" s="195">
        <f t="shared" si="5"/>
        <v>1031.4</v>
      </c>
    </row>
    <row r="46" spans="1:9" ht="13.5">
      <c r="A46" s="192" t="s">
        <v>39</v>
      </c>
      <c r="B46" s="192">
        <v>170317</v>
      </c>
      <c r="C46" s="105" t="s">
        <v>216</v>
      </c>
      <c r="D46" s="87" t="s">
        <v>128</v>
      </c>
      <c r="E46" s="88" t="s">
        <v>87</v>
      </c>
      <c r="F46" s="89">
        <f>'Memória de Cálculo'!C289</f>
        <v>217.75</v>
      </c>
      <c r="G46" s="193">
        <v>9.73</v>
      </c>
      <c r="H46" s="193">
        <f t="shared" si="4"/>
        <v>12.53</v>
      </c>
      <c r="I46" s="195">
        <f t="shared" si="5"/>
        <v>2728.41</v>
      </c>
    </row>
    <row r="47" spans="1:9" ht="13.5">
      <c r="A47" s="192" t="s">
        <v>39</v>
      </c>
      <c r="B47" s="192">
        <v>170076</v>
      </c>
      <c r="C47" s="105" t="s">
        <v>217</v>
      </c>
      <c r="D47" s="87" t="s">
        <v>182</v>
      </c>
      <c r="E47" s="88" t="s">
        <v>87</v>
      </c>
      <c r="F47" s="89">
        <f>'Memória de Cálculo'!C298</f>
        <v>85.75</v>
      </c>
      <c r="G47" s="193">
        <v>13.93</v>
      </c>
      <c r="H47" s="193">
        <f t="shared" si="4"/>
        <v>17.94</v>
      </c>
      <c r="I47" s="195">
        <f t="shared" si="5"/>
        <v>1538.36</v>
      </c>
    </row>
    <row r="48" spans="1:9" ht="13.5">
      <c r="A48" s="192" t="s">
        <v>39</v>
      </c>
      <c r="B48" s="192">
        <v>170415</v>
      </c>
      <c r="C48" s="105" t="s">
        <v>218</v>
      </c>
      <c r="D48" s="87" t="s">
        <v>183</v>
      </c>
      <c r="E48" s="88" t="s">
        <v>209</v>
      </c>
      <c r="F48" s="89">
        <f>'Memória de Cálculo'!C302</f>
        <v>1</v>
      </c>
      <c r="G48" s="193">
        <v>3242.41</v>
      </c>
      <c r="H48" s="193">
        <f t="shared" si="4"/>
        <v>4176.87</v>
      </c>
      <c r="I48" s="195">
        <f t="shared" si="5"/>
        <v>4176.87</v>
      </c>
    </row>
    <row r="49" spans="1:9" ht="13.5">
      <c r="A49" s="192" t="s">
        <v>39</v>
      </c>
      <c r="B49" s="192">
        <v>170866</v>
      </c>
      <c r="C49" s="105" t="s">
        <v>219</v>
      </c>
      <c r="D49" s="87" t="s">
        <v>143</v>
      </c>
      <c r="E49" s="88" t="s">
        <v>209</v>
      </c>
      <c r="F49" s="89">
        <f>'Memória de Cálculo'!C306</f>
        <v>1</v>
      </c>
      <c r="G49" s="193">
        <v>59.43</v>
      </c>
      <c r="H49" s="193">
        <f t="shared" si="4"/>
        <v>76.56</v>
      </c>
      <c r="I49" s="195">
        <f t="shared" si="5"/>
        <v>76.56</v>
      </c>
    </row>
    <row r="50" spans="1:9" ht="13.5">
      <c r="A50" s="192" t="s">
        <v>39</v>
      </c>
      <c r="B50" s="192">
        <v>170362</v>
      </c>
      <c r="C50" s="105" t="s">
        <v>220</v>
      </c>
      <c r="D50" s="87" t="s">
        <v>184</v>
      </c>
      <c r="E50" s="88" t="s">
        <v>209</v>
      </c>
      <c r="F50" s="89">
        <f>'Memória de Cálculo'!C310</f>
        <v>3</v>
      </c>
      <c r="G50" s="193">
        <v>65.61</v>
      </c>
      <c r="H50" s="193">
        <f t="shared" si="4"/>
        <v>84.52</v>
      </c>
      <c r="I50" s="195">
        <f t="shared" si="5"/>
        <v>253.56</v>
      </c>
    </row>
    <row r="51" spans="1:9" ht="27">
      <c r="A51" s="352" t="str">
        <f>CPU!A19</f>
        <v>CPU 02</v>
      </c>
      <c r="B51" s="353"/>
      <c r="C51" s="105" t="s">
        <v>240</v>
      </c>
      <c r="D51" s="225" t="str">
        <f>CPU!C21</f>
        <v>DISJUNTOR BIPOLAR TIPO DIN, CORRENTE NOMINAL DE 60A - FORNECIMENTO E INSTALAÇÃO.</v>
      </c>
      <c r="E51" s="88" t="str">
        <f>CPU!I20</f>
        <v>und</v>
      </c>
      <c r="F51" s="89">
        <f>'Memória de Cálculo'!C314</f>
        <v>1</v>
      </c>
      <c r="G51" s="193">
        <f>CPU!I27</f>
        <v>90.69999999999999</v>
      </c>
      <c r="H51" s="193">
        <f t="shared" si="4"/>
        <v>116.84</v>
      </c>
      <c r="I51" s="195">
        <f t="shared" si="5"/>
        <v>116.84</v>
      </c>
    </row>
    <row r="52" spans="1:9" ht="31.5" customHeight="1">
      <c r="A52" s="192" t="s">
        <v>171</v>
      </c>
      <c r="B52" s="192" t="s">
        <v>244</v>
      </c>
      <c r="C52" s="105" t="s">
        <v>241</v>
      </c>
      <c r="D52" s="87" t="s">
        <v>245</v>
      </c>
      <c r="E52" s="88" t="s">
        <v>87</v>
      </c>
      <c r="F52" s="89">
        <f>'Memória de Cálculo'!C318</f>
        <v>15</v>
      </c>
      <c r="G52" s="193">
        <v>11.12</v>
      </c>
      <c r="H52" s="193">
        <f t="shared" si="4"/>
        <v>14.32</v>
      </c>
      <c r="I52" s="195">
        <f t="shared" si="5"/>
        <v>214.8</v>
      </c>
    </row>
    <row r="53" spans="1:9" ht="13.5">
      <c r="A53" s="192" t="s">
        <v>39</v>
      </c>
      <c r="B53" s="192" t="s">
        <v>248</v>
      </c>
      <c r="C53" s="105" t="s">
        <v>242</v>
      </c>
      <c r="D53" s="87" t="s">
        <v>249</v>
      </c>
      <c r="E53" s="88" t="s">
        <v>209</v>
      </c>
      <c r="F53" s="89">
        <f>'Memória de Cálculo'!C322</f>
        <v>1</v>
      </c>
      <c r="G53" s="193">
        <v>1291.52</v>
      </c>
      <c r="H53" s="193">
        <f t="shared" si="4"/>
        <v>1663.74</v>
      </c>
      <c r="I53" s="195">
        <f t="shared" si="5"/>
        <v>1663.74</v>
      </c>
    </row>
    <row r="54" spans="1:9" ht="27">
      <c r="A54" s="192" t="s">
        <v>171</v>
      </c>
      <c r="B54" s="192" t="s">
        <v>246</v>
      </c>
      <c r="C54" s="105" t="s">
        <v>243</v>
      </c>
      <c r="D54" s="87" t="s">
        <v>247</v>
      </c>
      <c r="E54" s="88" t="s">
        <v>209</v>
      </c>
      <c r="F54" s="89">
        <f>'Memória de Cálculo'!C326</f>
        <v>1</v>
      </c>
      <c r="G54" s="193">
        <v>6154.94</v>
      </c>
      <c r="H54" s="193">
        <f t="shared" si="4"/>
        <v>7928.79</v>
      </c>
      <c r="I54" s="195">
        <f t="shared" si="5"/>
        <v>7928.79</v>
      </c>
    </row>
    <row r="55" spans="1:9" ht="15" customHeight="1">
      <c r="A55" s="192"/>
      <c r="B55" s="192"/>
      <c r="C55" s="105"/>
      <c r="D55" s="350" t="s">
        <v>146</v>
      </c>
      <c r="E55" s="350"/>
      <c r="F55" s="350"/>
      <c r="G55" s="350"/>
      <c r="H55" s="111"/>
      <c r="I55" s="196">
        <f>SUM(I41:I54)</f>
        <v>40137.15</v>
      </c>
    </row>
    <row r="56" spans="1:9" ht="15" customHeight="1">
      <c r="A56" s="235"/>
      <c r="B56" s="235"/>
      <c r="C56" s="236" t="s">
        <v>159</v>
      </c>
      <c r="D56" s="237" t="s">
        <v>26</v>
      </c>
      <c r="E56" s="236"/>
      <c r="F56" s="238"/>
      <c r="G56" s="239"/>
      <c r="H56" s="239"/>
      <c r="I56" s="240"/>
    </row>
    <row r="57" spans="1:9" ht="29.25" customHeight="1">
      <c r="A57" s="190" t="s">
        <v>39</v>
      </c>
      <c r="B57" s="191">
        <v>30010</v>
      </c>
      <c r="C57" s="105" t="s">
        <v>50</v>
      </c>
      <c r="D57" s="87" t="s">
        <v>113</v>
      </c>
      <c r="E57" s="88" t="s">
        <v>6</v>
      </c>
      <c r="F57" s="89">
        <f>'Memória de Cálculo'!C346</f>
        <v>36.25</v>
      </c>
      <c r="G57" s="193">
        <v>72.64</v>
      </c>
      <c r="H57" s="194">
        <f>ROUND((G57*$J$12),2)</f>
        <v>93.57</v>
      </c>
      <c r="I57" s="195">
        <f t="shared" si="5"/>
        <v>3391.91</v>
      </c>
    </row>
    <row r="58" spans="1:10" ht="15" customHeight="1">
      <c r="A58" s="190" t="s">
        <v>39</v>
      </c>
      <c r="B58" s="191">
        <v>260850</v>
      </c>
      <c r="C58" s="105" t="s">
        <v>52</v>
      </c>
      <c r="D58" s="87" t="s">
        <v>35</v>
      </c>
      <c r="E58" s="88" t="s">
        <v>6</v>
      </c>
      <c r="F58" s="89">
        <f>'Memória de Cálculo'!C353</f>
        <v>30.25</v>
      </c>
      <c r="G58" s="193">
        <v>271.32</v>
      </c>
      <c r="H58" s="194">
        <f>ROUND((G58*$J$12),2)</f>
        <v>349.51</v>
      </c>
      <c r="I58" s="195">
        <f t="shared" si="5"/>
        <v>10572.68</v>
      </c>
      <c r="J58" s="90">
        <v>140.64</v>
      </c>
    </row>
    <row r="59" spans="1:9" ht="15" customHeight="1">
      <c r="A59" s="190" t="s">
        <v>39</v>
      </c>
      <c r="B59" s="191">
        <v>180678</v>
      </c>
      <c r="C59" s="105" t="s">
        <v>54</v>
      </c>
      <c r="D59" s="87" t="s">
        <v>103</v>
      </c>
      <c r="E59" s="110" t="s">
        <v>209</v>
      </c>
      <c r="F59" s="89">
        <f>'Memória de Cálculo'!C357</f>
        <v>1</v>
      </c>
      <c r="G59" s="193">
        <v>571.05</v>
      </c>
      <c r="H59" s="194">
        <f>ROUND((G59*$J$12),2)</f>
        <v>735.63</v>
      </c>
      <c r="I59" s="195">
        <f t="shared" si="5"/>
        <v>735.63</v>
      </c>
    </row>
    <row r="60" spans="1:9" ht="15" customHeight="1">
      <c r="A60" s="190" t="s">
        <v>39</v>
      </c>
      <c r="B60" s="191">
        <v>180102</v>
      </c>
      <c r="C60" s="105" t="s">
        <v>56</v>
      </c>
      <c r="D60" s="87" t="s">
        <v>131</v>
      </c>
      <c r="E60" s="88" t="s">
        <v>87</v>
      </c>
      <c r="F60" s="89">
        <f>'Memória de Cálculo'!C361</f>
        <v>50</v>
      </c>
      <c r="G60" s="193">
        <v>41.02</v>
      </c>
      <c r="H60" s="194">
        <f>ROUND((G60*$J$12),2)</f>
        <v>52.84</v>
      </c>
      <c r="I60" s="195">
        <f t="shared" si="5"/>
        <v>2642</v>
      </c>
    </row>
    <row r="61" spans="1:9" ht="15" customHeight="1">
      <c r="A61" s="191"/>
      <c r="B61" s="191"/>
      <c r="C61" s="105"/>
      <c r="D61" s="350" t="s">
        <v>160</v>
      </c>
      <c r="E61" s="350"/>
      <c r="F61" s="350"/>
      <c r="G61" s="350"/>
      <c r="H61" s="111"/>
      <c r="I61" s="196">
        <f>SUM(I57:I60)</f>
        <v>17342.22</v>
      </c>
    </row>
    <row r="62" spans="1:11" ht="15" customHeight="1">
      <c r="A62" s="235"/>
      <c r="B62" s="235"/>
      <c r="C62" s="236" t="s">
        <v>221</v>
      </c>
      <c r="D62" s="237" t="s">
        <v>27</v>
      </c>
      <c r="E62" s="236"/>
      <c r="F62" s="238"/>
      <c r="G62" s="239"/>
      <c r="H62" s="239"/>
      <c r="I62" s="240"/>
      <c r="J62">
        <f>50*0.3*0.4</f>
        <v>6</v>
      </c>
      <c r="K62" s="74">
        <f>J62*H57</f>
        <v>561.42</v>
      </c>
    </row>
    <row r="63" spans="1:9" ht="15" customHeight="1">
      <c r="A63" s="192" t="s">
        <v>171</v>
      </c>
      <c r="B63" s="191">
        <v>99811</v>
      </c>
      <c r="C63" s="105" t="s">
        <v>222</v>
      </c>
      <c r="D63" s="87" t="s">
        <v>254</v>
      </c>
      <c r="E63" s="88" t="s">
        <v>4</v>
      </c>
      <c r="F63" s="89">
        <f>'Memória de Cálculo'!C369</f>
        <v>855.79</v>
      </c>
      <c r="G63" s="193">
        <v>2.81</v>
      </c>
      <c r="H63" s="194">
        <f>ROUND((G63*$J$12),2)</f>
        <v>3.62</v>
      </c>
      <c r="I63" s="195">
        <f>ROUND((H63*F63),2)</f>
        <v>3097.96</v>
      </c>
    </row>
    <row r="64" spans="1:9" ht="15" customHeight="1">
      <c r="A64" s="86"/>
      <c r="B64" s="86"/>
      <c r="C64" s="105"/>
      <c r="D64" s="350" t="s">
        <v>225</v>
      </c>
      <c r="E64" s="350"/>
      <c r="F64" s="350"/>
      <c r="G64" s="350"/>
      <c r="H64" s="111"/>
      <c r="I64" s="196">
        <f>SUM(I63)</f>
        <v>3097.96</v>
      </c>
    </row>
    <row r="65" spans="1:10" ht="13.5">
      <c r="A65" s="244"/>
      <c r="B65" s="244"/>
      <c r="C65" s="244"/>
      <c r="D65" s="351" t="s">
        <v>24</v>
      </c>
      <c r="E65" s="351"/>
      <c r="F65" s="351"/>
      <c r="G65" s="351"/>
      <c r="H65" s="235"/>
      <c r="I65" s="245">
        <f>I15+I55+I39+I20+I61+I64+I31</f>
        <v>328717.89</v>
      </c>
      <c r="J65" s="22"/>
    </row>
    <row r="68" spans="8:10" ht="13.5">
      <c r="H68" s="114" t="s">
        <v>250</v>
      </c>
      <c r="I68" s="115">
        <v>150000</v>
      </c>
      <c r="J68" s="138"/>
    </row>
    <row r="69" spans="8:9" ht="13.5">
      <c r="H69" s="114" t="s">
        <v>251</v>
      </c>
      <c r="I69" s="115">
        <v>139611.47</v>
      </c>
    </row>
    <row r="71" spans="8:9" ht="13.5">
      <c r="H71" s="114" t="s">
        <v>252</v>
      </c>
      <c r="I71" s="115">
        <f>I68+I69</f>
        <v>289611.47</v>
      </c>
    </row>
    <row r="74" ht="13.5">
      <c r="I74" s="226">
        <f>I65-I71</f>
        <v>39106.42000000004</v>
      </c>
    </row>
  </sheetData>
  <sheetProtection/>
  <mergeCells count="32">
    <mergeCell ref="D15:G15"/>
    <mergeCell ref="A51:B51"/>
    <mergeCell ref="D31:G31"/>
    <mergeCell ref="A11:A12"/>
    <mergeCell ref="B11:B12"/>
    <mergeCell ref="C11:C12"/>
    <mergeCell ref="A14:B14"/>
    <mergeCell ref="D55:G55"/>
    <mergeCell ref="D65:G65"/>
    <mergeCell ref="D61:G61"/>
    <mergeCell ref="D64:G64"/>
    <mergeCell ref="D39:G39"/>
    <mergeCell ref="D20:G20"/>
    <mergeCell ref="A1:I1"/>
    <mergeCell ref="A2:I5"/>
    <mergeCell ref="B6:E6"/>
    <mergeCell ref="F6:G6"/>
    <mergeCell ref="B7:I7"/>
    <mergeCell ref="B8:C8"/>
    <mergeCell ref="D8:D9"/>
    <mergeCell ref="E8:E9"/>
    <mergeCell ref="F8:I9"/>
    <mergeCell ref="A9:A10"/>
    <mergeCell ref="B9:C10"/>
    <mergeCell ref="D10:E10"/>
    <mergeCell ref="F10:I10"/>
    <mergeCell ref="E11:E12"/>
    <mergeCell ref="F11:F12"/>
    <mergeCell ref="G11:G12"/>
    <mergeCell ref="D11:D12"/>
    <mergeCell ref="H11:H12"/>
    <mergeCell ref="I11:I12"/>
  </mergeCells>
  <printOptions horizontalCentered="1"/>
  <pageMargins left="0.7086614173228347" right="0.7086614173228347" top="1.4960629921259843" bottom="0.7480314960629921" header="0.1968503937007874" footer="0.31496062992125984"/>
  <pageSetup fitToHeight="0" horizontalDpi="600" verticalDpi="600" orientation="landscape" paperSize="9" scale="70" r:id="rId2"/>
  <headerFooter alignWithMargins="0">
    <oddHeader>&amp;C&amp;G</oddHeader>
    <oddFooter>&amp;C&amp;G</oddFooter>
  </headerFooter>
  <rowBreaks count="1" manualBreakCount="1">
    <brk id="31" max="8" man="1"/>
  </rowBreaks>
  <ignoredErrors>
    <ignoredError sqref="B52:B54 C56 C32 B23:B25 C21 C16 C13 C62 C40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60" zoomScalePageLayoutView="0" workbookViewId="0" topLeftCell="A1">
      <selection activeCell="I17" sqref="I17"/>
    </sheetView>
  </sheetViews>
  <sheetFormatPr defaultColWidth="9.140625" defaultRowHeight="12.75"/>
  <cols>
    <col min="2" max="2" width="28.140625" style="0" customWidth="1"/>
    <col min="3" max="3" width="11.7109375" style="0" customWidth="1"/>
    <col min="4" max="4" width="16.421875" style="0" customWidth="1"/>
    <col min="6" max="6" width="21.57421875" style="0" customWidth="1"/>
    <col min="8" max="8" width="14.28125" style="0" customWidth="1"/>
  </cols>
  <sheetData>
    <row r="1" spans="1:13" ht="15" customHeight="1">
      <c r="A1" s="365" t="s">
        <v>259</v>
      </c>
      <c r="B1" s="366"/>
      <c r="C1" s="361" t="str">
        <f>Orçamento!A2</f>
        <v> SECRETARIA MUNICIPAL DE EDUCAÇÃO DE OUREM
       CNPJ: 28.548.893/0001-23
</v>
      </c>
      <c r="D1" s="362"/>
      <c r="E1" s="362"/>
      <c r="F1" s="362"/>
      <c r="G1" s="251" t="s">
        <v>261</v>
      </c>
      <c r="H1" s="252"/>
      <c r="I1" s="381" t="s">
        <v>277</v>
      </c>
      <c r="J1" s="382"/>
      <c r="K1" s="382"/>
      <c r="L1" s="382"/>
      <c r="M1" s="383"/>
    </row>
    <row r="2" spans="1:13" ht="13.5">
      <c r="A2" s="367"/>
      <c r="B2" s="368"/>
      <c r="C2" s="363"/>
      <c r="D2" s="364"/>
      <c r="E2" s="364"/>
      <c r="F2" s="364"/>
      <c r="G2" s="296"/>
      <c r="H2" s="297"/>
      <c r="I2" s="298"/>
      <c r="J2" s="299"/>
      <c r="K2" s="299"/>
      <c r="L2" s="299"/>
      <c r="M2" s="300"/>
    </row>
    <row r="3" spans="1:13" ht="13.5">
      <c r="A3" s="384" t="s">
        <v>263</v>
      </c>
      <c r="B3" s="385"/>
      <c r="C3" s="328" t="str">
        <f>Orçamento!B7</f>
        <v>CONSTRUÇÃO DE UMA ARENA ESPORTIVA</v>
      </c>
      <c r="D3" s="329"/>
      <c r="E3" s="329"/>
      <c r="F3" s="329"/>
      <c r="G3" s="386" t="s">
        <v>278</v>
      </c>
      <c r="H3" s="387"/>
      <c r="I3" s="392" t="s">
        <v>279</v>
      </c>
      <c r="J3" s="393"/>
      <c r="K3" s="393"/>
      <c r="L3" s="393"/>
      <c r="M3" s="394"/>
    </row>
    <row r="4" spans="1:13" ht="29.25" customHeight="1">
      <c r="A4" s="384" t="s">
        <v>280</v>
      </c>
      <c r="B4" s="385"/>
      <c r="C4" s="395" t="str">
        <f>Orçamento!D8</f>
        <v>VILA DO MONTEVIDÉO - ZONA RURAL DO MUNICÍPIO DE OURÉM - PARÁ</v>
      </c>
      <c r="D4" s="396"/>
      <c r="E4" s="396"/>
      <c r="F4" s="396"/>
      <c r="G4" s="388"/>
      <c r="H4" s="389"/>
      <c r="I4" s="397" t="s">
        <v>281</v>
      </c>
      <c r="J4" s="398"/>
      <c r="K4" s="398"/>
      <c r="L4" s="398"/>
      <c r="M4" s="399"/>
    </row>
    <row r="5" spans="1:13" ht="13.5">
      <c r="A5" s="384" t="s">
        <v>282</v>
      </c>
      <c r="B5" s="385"/>
      <c r="C5" s="253">
        <f>'[1]BDI'!C6</f>
        <v>0.288</v>
      </c>
      <c r="D5" s="254"/>
      <c r="E5" s="301"/>
      <c r="F5" s="231"/>
      <c r="G5" s="390"/>
      <c r="H5" s="391"/>
      <c r="I5" s="400"/>
      <c r="J5" s="401"/>
      <c r="K5" s="401"/>
      <c r="L5" s="401"/>
      <c r="M5" s="402"/>
    </row>
    <row r="6" spans="1:13" ht="14.25" thickBot="1">
      <c r="A6" s="369" t="s">
        <v>266</v>
      </c>
      <c r="B6" s="370"/>
      <c r="C6" s="255" t="s">
        <v>267</v>
      </c>
      <c r="D6" s="256"/>
      <c r="E6" s="257"/>
      <c r="F6" s="258"/>
      <c r="G6" s="371" t="s">
        <v>268</v>
      </c>
      <c r="H6" s="372"/>
      <c r="I6" s="373" t="s">
        <v>269</v>
      </c>
      <c r="J6" s="374"/>
      <c r="K6" s="374"/>
      <c r="L6" s="374"/>
      <c r="M6" s="375"/>
    </row>
    <row r="7" spans="1:13" ht="14.25" thickBot="1">
      <c r="A7" s="259"/>
      <c r="B7" s="260"/>
      <c r="C7" s="260"/>
      <c r="D7" s="260"/>
      <c r="E7" s="261"/>
      <c r="F7" s="261"/>
      <c r="G7" s="261"/>
      <c r="H7" s="261"/>
      <c r="I7" s="261"/>
      <c r="J7" s="261"/>
      <c r="K7" s="261"/>
      <c r="L7" s="261"/>
      <c r="M7" s="262"/>
    </row>
    <row r="8" spans="1:4" ht="15.75" thickBot="1">
      <c r="A8" s="376" t="s">
        <v>283</v>
      </c>
      <c r="B8" s="377"/>
      <c r="C8" s="377"/>
      <c r="D8" s="378"/>
    </row>
    <row r="9" spans="1:4" ht="15">
      <c r="A9" s="263"/>
      <c r="B9" s="379" t="s">
        <v>284</v>
      </c>
      <c r="C9" s="264" t="s">
        <v>285</v>
      </c>
      <c r="D9" s="265" t="s">
        <v>286</v>
      </c>
    </row>
    <row r="10" spans="1:4" ht="15.75" thickBot="1">
      <c r="A10" s="266"/>
      <c r="B10" s="380"/>
      <c r="C10" s="267" t="s">
        <v>287</v>
      </c>
      <c r="D10" s="268" t="s">
        <v>287</v>
      </c>
    </row>
    <row r="11" spans="1:4" ht="15.75" thickBot="1">
      <c r="A11" s="358" t="s">
        <v>288</v>
      </c>
      <c r="B11" s="359"/>
      <c r="C11" s="359"/>
      <c r="D11" s="360"/>
    </row>
    <row r="12" spans="1:4" ht="15">
      <c r="A12" s="269" t="s">
        <v>289</v>
      </c>
      <c r="B12" s="270" t="s">
        <v>290</v>
      </c>
      <c r="C12" s="271"/>
      <c r="D12" s="272"/>
    </row>
    <row r="13" spans="1:4" ht="15">
      <c r="A13" s="273" t="s">
        <v>291</v>
      </c>
      <c r="B13" s="274" t="s">
        <v>292</v>
      </c>
      <c r="C13" s="275">
        <v>0.2</v>
      </c>
      <c r="D13" s="276">
        <v>0.2</v>
      </c>
    </row>
    <row r="14" spans="1:4" ht="15">
      <c r="A14" s="273" t="s">
        <v>293</v>
      </c>
      <c r="B14" s="274" t="s">
        <v>294</v>
      </c>
      <c r="C14" s="275">
        <v>0.08</v>
      </c>
      <c r="D14" s="276">
        <v>0.08</v>
      </c>
    </row>
    <row r="15" spans="1:4" ht="15">
      <c r="A15" s="273" t="s">
        <v>295</v>
      </c>
      <c r="B15" s="274" t="s">
        <v>296</v>
      </c>
      <c r="C15" s="275">
        <v>0.025</v>
      </c>
      <c r="D15" s="276">
        <v>0.025</v>
      </c>
    </row>
    <row r="16" spans="1:4" ht="15">
      <c r="A16" s="273" t="s">
        <v>297</v>
      </c>
      <c r="B16" s="274" t="s">
        <v>298</v>
      </c>
      <c r="C16" s="275">
        <v>0.015</v>
      </c>
      <c r="D16" s="276">
        <v>0.015</v>
      </c>
    </row>
    <row r="17" spans="1:4" ht="15">
      <c r="A17" s="273" t="s">
        <v>299</v>
      </c>
      <c r="B17" s="274" t="s">
        <v>300</v>
      </c>
      <c r="C17" s="275">
        <v>0.01</v>
      </c>
      <c r="D17" s="276">
        <v>0.01</v>
      </c>
    </row>
    <row r="18" spans="1:4" ht="15">
      <c r="A18" s="273" t="s">
        <v>301</v>
      </c>
      <c r="B18" s="274" t="s">
        <v>302</v>
      </c>
      <c r="C18" s="275">
        <v>0.006</v>
      </c>
      <c r="D18" s="276">
        <v>0.006</v>
      </c>
    </row>
    <row r="19" spans="1:4" ht="15">
      <c r="A19" s="273" t="s">
        <v>303</v>
      </c>
      <c r="B19" s="274" t="s">
        <v>304</v>
      </c>
      <c r="C19" s="275">
        <v>0.002</v>
      </c>
      <c r="D19" s="276">
        <v>0.002</v>
      </c>
    </row>
    <row r="20" spans="1:4" ht="15">
      <c r="A20" s="273" t="s">
        <v>305</v>
      </c>
      <c r="B20" s="274" t="s">
        <v>306</v>
      </c>
      <c r="C20" s="275">
        <v>0.03</v>
      </c>
      <c r="D20" s="276">
        <v>0.03</v>
      </c>
    </row>
    <row r="21" spans="1:4" ht="15">
      <c r="A21" s="277" t="s">
        <v>307</v>
      </c>
      <c r="B21" s="278" t="s">
        <v>308</v>
      </c>
      <c r="C21" s="279">
        <v>0</v>
      </c>
      <c r="D21" s="280">
        <v>0</v>
      </c>
    </row>
    <row r="22" spans="1:4" ht="15.75" thickBot="1">
      <c r="A22" s="281" t="s">
        <v>309</v>
      </c>
      <c r="B22" s="282" t="s">
        <v>310</v>
      </c>
      <c r="C22" s="283">
        <f>SUM(C13:C21)</f>
        <v>0.3680000000000001</v>
      </c>
      <c r="D22" s="284">
        <f>SUM(D13:D21)</f>
        <v>0.3680000000000001</v>
      </c>
    </row>
    <row r="23" spans="1:4" ht="15.75" thickBot="1">
      <c r="A23" s="358" t="s">
        <v>311</v>
      </c>
      <c r="B23" s="359"/>
      <c r="C23" s="359"/>
      <c r="D23" s="360"/>
    </row>
    <row r="24" spans="1:4" ht="15">
      <c r="A24" s="285" t="s">
        <v>312</v>
      </c>
      <c r="B24" s="286" t="s">
        <v>313</v>
      </c>
      <c r="C24" s="275"/>
      <c r="D24" s="276"/>
    </row>
    <row r="25" spans="1:4" ht="15">
      <c r="A25" s="273" t="s">
        <v>314</v>
      </c>
      <c r="B25" s="274" t="s">
        <v>315</v>
      </c>
      <c r="C25" s="275">
        <v>0.1812</v>
      </c>
      <c r="D25" s="276">
        <v>0</v>
      </c>
    </row>
    <row r="26" spans="1:4" ht="15">
      <c r="A26" s="273" t="s">
        <v>316</v>
      </c>
      <c r="B26" s="274" t="s">
        <v>317</v>
      </c>
      <c r="C26" s="275">
        <v>0.0415</v>
      </c>
      <c r="D26" s="276">
        <v>0</v>
      </c>
    </row>
    <row r="27" spans="1:4" ht="15">
      <c r="A27" s="273" t="s">
        <v>318</v>
      </c>
      <c r="B27" s="274" t="s">
        <v>319</v>
      </c>
      <c r="C27" s="275">
        <v>0.0088</v>
      </c>
      <c r="D27" s="276">
        <v>0.0066</v>
      </c>
    </row>
    <row r="28" spans="1:4" ht="15">
      <c r="A28" s="273" t="s">
        <v>320</v>
      </c>
      <c r="B28" s="274" t="s">
        <v>321</v>
      </c>
      <c r="C28" s="275">
        <v>0.0007</v>
      </c>
      <c r="D28" s="276">
        <v>0.0005</v>
      </c>
    </row>
    <row r="29" spans="1:4" ht="15">
      <c r="A29" s="273" t="s">
        <v>322</v>
      </c>
      <c r="B29" s="274" t="s">
        <v>323</v>
      </c>
      <c r="C29" s="275">
        <v>0.0074</v>
      </c>
      <c r="D29" s="276">
        <v>0.0056</v>
      </c>
    </row>
    <row r="30" spans="1:4" ht="15">
      <c r="A30" s="273" t="s">
        <v>324</v>
      </c>
      <c r="B30" s="274" t="s">
        <v>325</v>
      </c>
      <c r="C30" s="275">
        <v>0.1116</v>
      </c>
      <c r="D30" s="276">
        <v>0.0833</v>
      </c>
    </row>
    <row r="31" spans="1:4" ht="15">
      <c r="A31" s="273" t="s">
        <v>326</v>
      </c>
      <c r="B31" s="274" t="s">
        <v>327</v>
      </c>
      <c r="C31" s="275">
        <v>0.0273</v>
      </c>
      <c r="D31" s="276">
        <v>0</v>
      </c>
    </row>
    <row r="32" spans="1:4" ht="15">
      <c r="A32" s="273" t="s">
        <v>328</v>
      </c>
      <c r="B32" s="287" t="s">
        <v>329</v>
      </c>
      <c r="C32" s="275">
        <v>0.0011</v>
      </c>
      <c r="D32" s="276">
        <v>0.0008</v>
      </c>
    </row>
    <row r="33" spans="1:4" ht="15">
      <c r="A33" s="273" t="s">
        <v>330</v>
      </c>
      <c r="B33" s="287" t="s">
        <v>331</v>
      </c>
      <c r="C33" s="275">
        <v>0.1209</v>
      </c>
      <c r="D33" s="276">
        <v>0.0902</v>
      </c>
    </row>
    <row r="34" spans="1:4" ht="15">
      <c r="A34" s="273" t="s">
        <v>332</v>
      </c>
      <c r="B34" s="274" t="s">
        <v>333</v>
      </c>
      <c r="C34" s="275">
        <v>0.0004</v>
      </c>
      <c r="D34" s="276">
        <v>0.0003</v>
      </c>
    </row>
    <row r="35" spans="1:4" ht="15.75" thickBot="1">
      <c r="A35" s="281" t="s">
        <v>334</v>
      </c>
      <c r="B35" s="282" t="s">
        <v>310</v>
      </c>
      <c r="C35" s="283">
        <f>SUM(C24:C34)</f>
        <v>0.5008999999999999</v>
      </c>
      <c r="D35" s="284">
        <f>SUM(D24:D34)</f>
        <v>0.1873</v>
      </c>
    </row>
    <row r="36" spans="1:4" ht="15.75" thickBot="1">
      <c r="A36" s="358" t="s">
        <v>335</v>
      </c>
      <c r="B36" s="359"/>
      <c r="C36" s="359"/>
      <c r="D36" s="360"/>
    </row>
    <row r="37" spans="1:4" ht="15">
      <c r="A37" s="285" t="s">
        <v>336</v>
      </c>
      <c r="B37" s="286" t="s">
        <v>337</v>
      </c>
      <c r="C37" s="275"/>
      <c r="D37" s="276"/>
    </row>
    <row r="38" spans="1:4" ht="15">
      <c r="A38" s="273" t="s">
        <v>338</v>
      </c>
      <c r="B38" s="274" t="s">
        <v>339</v>
      </c>
      <c r="C38" s="275">
        <v>0.0311</v>
      </c>
      <c r="D38" s="276">
        <v>0.0232</v>
      </c>
    </row>
    <row r="39" spans="1:4" ht="15">
      <c r="A39" s="273" t="s">
        <v>340</v>
      </c>
      <c r="B39" s="274" t="s">
        <v>341</v>
      </c>
      <c r="C39" s="275">
        <v>0.025</v>
      </c>
      <c r="D39" s="276">
        <v>0.0187</v>
      </c>
    </row>
    <row r="40" spans="1:4" ht="15">
      <c r="A40" s="273" t="s">
        <v>342</v>
      </c>
      <c r="B40" s="274" t="s">
        <v>343</v>
      </c>
      <c r="C40" s="275">
        <v>0.0578</v>
      </c>
      <c r="D40" s="276">
        <v>0.0432</v>
      </c>
    </row>
    <row r="41" spans="1:4" ht="15">
      <c r="A41" s="273" t="s">
        <v>344</v>
      </c>
      <c r="B41" s="274" t="s">
        <v>345</v>
      </c>
      <c r="C41" s="275">
        <v>0.0014</v>
      </c>
      <c r="D41" s="276">
        <v>0.001</v>
      </c>
    </row>
    <row r="42" spans="1:4" ht="15">
      <c r="A42" s="273" t="s">
        <v>346</v>
      </c>
      <c r="B42" s="274" t="s">
        <v>347</v>
      </c>
      <c r="C42" s="275">
        <v>0.0049</v>
      </c>
      <c r="D42" s="276">
        <v>0.0036</v>
      </c>
    </row>
    <row r="43" spans="1:4" ht="15.75" thickBot="1">
      <c r="A43" s="281" t="s">
        <v>348</v>
      </c>
      <c r="B43" s="282" t="s">
        <v>310</v>
      </c>
      <c r="C43" s="283">
        <f>SUM(C37:C42)</f>
        <v>0.1202</v>
      </c>
      <c r="D43" s="284">
        <f>SUM(D37:D42)</f>
        <v>0.08970000000000002</v>
      </c>
    </row>
    <row r="44" spans="1:4" ht="15.75" thickBot="1">
      <c r="A44" s="358" t="s">
        <v>335</v>
      </c>
      <c r="B44" s="359"/>
      <c r="C44" s="359"/>
      <c r="D44" s="360"/>
    </row>
    <row r="45" spans="1:4" ht="15">
      <c r="A45" s="285" t="s">
        <v>349</v>
      </c>
      <c r="B45" s="286" t="s">
        <v>350</v>
      </c>
      <c r="C45" s="275"/>
      <c r="D45" s="276"/>
    </row>
    <row r="46" spans="1:4" ht="15">
      <c r="A46" s="273" t="s">
        <v>351</v>
      </c>
      <c r="B46" s="274" t="s">
        <v>352</v>
      </c>
      <c r="C46" s="275">
        <v>0.1843</v>
      </c>
      <c r="D46" s="276">
        <v>0.0689</v>
      </c>
    </row>
    <row r="47" spans="1:4" ht="15">
      <c r="A47" s="273" t="s">
        <v>353</v>
      </c>
      <c r="B47" s="274" t="s">
        <v>354</v>
      </c>
      <c r="C47" s="275">
        <v>0.0051</v>
      </c>
      <c r="D47" s="276">
        <v>0.0038</v>
      </c>
    </row>
    <row r="48" spans="1:4" ht="15">
      <c r="A48" s="288"/>
      <c r="B48" s="289"/>
      <c r="C48" s="290"/>
      <c r="D48" s="291"/>
    </row>
    <row r="49" spans="1:4" ht="15.75" thickBot="1">
      <c r="A49" s="281" t="s">
        <v>355</v>
      </c>
      <c r="B49" s="282" t="s">
        <v>310</v>
      </c>
      <c r="C49" s="283">
        <f>SUM(C45:C48)</f>
        <v>0.18939999999999999</v>
      </c>
      <c r="D49" s="284">
        <f>SUM(D45:D48)</f>
        <v>0.0727</v>
      </c>
    </row>
    <row r="50" ht="13.5" thickBot="1"/>
    <row r="51" spans="1:4" ht="15.75" thickBot="1">
      <c r="A51" s="292"/>
      <c r="B51" s="293" t="s">
        <v>356</v>
      </c>
      <c r="C51" s="294">
        <f>C22+C35+C43+C49</f>
        <v>1.1784999999999999</v>
      </c>
      <c r="D51" s="295">
        <f>D22+D35+D43+D49</f>
        <v>0.7177000000000001</v>
      </c>
    </row>
  </sheetData>
  <sheetProtection/>
  <mergeCells count="20">
    <mergeCell ref="I4:M5"/>
    <mergeCell ref="A5:B5"/>
    <mergeCell ref="G6:H6"/>
    <mergeCell ref="I6:M6"/>
    <mergeCell ref="A8:D8"/>
    <mergeCell ref="B9:B10"/>
    <mergeCell ref="A11:D11"/>
    <mergeCell ref="I1:M1"/>
    <mergeCell ref="A3:B3"/>
    <mergeCell ref="G3:H5"/>
    <mergeCell ref="I3:M3"/>
    <mergeCell ref="A4:B4"/>
    <mergeCell ref="A23:D23"/>
    <mergeCell ref="A36:D36"/>
    <mergeCell ref="A44:D44"/>
    <mergeCell ref="C1:F2"/>
    <mergeCell ref="A1:B2"/>
    <mergeCell ref="C3:F3"/>
    <mergeCell ref="A6:B6"/>
    <mergeCell ref="C4:F4"/>
  </mergeCells>
  <printOptions/>
  <pageMargins left="0.5118110236220472" right="0.5118110236220472" top="1.91" bottom="0.7874015748031497" header="0.31496062992125984" footer="0.31496062992125984"/>
  <pageSetup horizontalDpi="600" verticalDpi="600" orientation="portrait" paperSize="9" scale="56" r:id="rId3"/>
  <headerFooter>
    <oddHeader>&amp;C&amp;G</oddHead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85" zoomScaleSheetLayoutView="85" zoomScalePageLayoutView="0" workbookViewId="0" topLeftCell="A1">
      <selection activeCell="I27" sqref="I27"/>
    </sheetView>
  </sheetViews>
  <sheetFormatPr defaultColWidth="9.140625" defaultRowHeight="12.75"/>
  <cols>
    <col min="1" max="1" width="12.7109375" style="0" customWidth="1"/>
    <col min="2" max="2" width="13.28125" style="0" customWidth="1"/>
    <col min="3" max="14" width="12.7109375" style="0" customWidth="1"/>
  </cols>
  <sheetData>
    <row r="1" spans="1:9" ht="13.5">
      <c r="A1" s="416" t="s">
        <v>270</v>
      </c>
      <c r="B1" s="416"/>
      <c r="C1" s="410" t="str">
        <f>Orçamento!B7</f>
        <v>CONSTRUÇÃO DE UMA ARENA ESPORTIVA</v>
      </c>
      <c r="D1" s="411"/>
      <c r="E1" s="411"/>
      <c r="F1" s="411"/>
      <c r="G1" s="411"/>
      <c r="H1" s="411"/>
      <c r="I1" s="412"/>
    </row>
    <row r="2" spans="1:9" ht="15" customHeight="1">
      <c r="A2" s="416" t="s">
        <v>271</v>
      </c>
      <c r="B2" s="416"/>
      <c r="C2" s="410" t="str">
        <f>Orçamento!B6</f>
        <v>SECRETARIA MUNICIPAL DE EDUCAÇÃO DE OUREM</v>
      </c>
      <c r="D2" s="411"/>
      <c r="E2" s="411"/>
      <c r="F2" s="411"/>
      <c r="G2" s="411"/>
      <c r="H2" s="411"/>
      <c r="I2" s="412"/>
    </row>
    <row r="3" spans="1:9" ht="19.5" customHeight="1">
      <c r="A3" s="416" t="s">
        <v>272</v>
      </c>
      <c r="B3" s="416"/>
      <c r="C3" s="410" t="s">
        <v>275</v>
      </c>
      <c r="D3" s="411"/>
      <c r="E3" s="411"/>
      <c r="F3" s="411"/>
      <c r="G3" s="411"/>
      <c r="H3" s="411"/>
      <c r="I3" s="412"/>
    </row>
    <row r="4" spans="1:9" ht="19.5" customHeight="1">
      <c r="A4" s="416" t="s">
        <v>74</v>
      </c>
      <c r="B4" s="416"/>
      <c r="C4" s="410" t="str">
        <f>Orçamento!D8</f>
        <v>VILA DO MONTEVIDÉO - ZONA RURAL DO MUNICÍPIO DE OURÉM - PARÁ</v>
      </c>
      <c r="D4" s="411"/>
      <c r="E4" s="411"/>
      <c r="F4" s="411"/>
      <c r="G4" s="411"/>
      <c r="H4" s="411"/>
      <c r="I4" s="412"/>
    </row>
    <row r="5" spans="1:9" ht="19.5" customHeight="1">
      <c r="A5" s="416" t="s">
        <v>273</v>
      </c>
      <c r="B5" s="416"/>
      <c r="C5" s="413">
        <f>Orçamento!I65</f>
        <v>328717.89</v>
      </c>
      <c r="D5" s="414"/>
      <c r="E5" s="414"/>
      <c r="F5" s="414"/>
      <c r="G5" s="414"/>
      <c r="H5" s="414"/>
      <c r="I5" s="415"/>
    </row>
    <row r="6" spans="1:9" ht="19.5" customHeight="1">
      <c r="A6" s="416" t="s">
        <v>66</v>
      </c>
      <c r="B6" s="416"/>
      <c r="C6" s="403">
        <f>Orçamento!B8</f>
        <v>0.288</v>
      </c>
      <c r="D6" s="404"/>
      <c r="E6" s="404"/>
      <c r="F6" s="404"/>
      <c r="G6" s="404"/>
      <c r="H6" s="404"/>
      <c r="I6" s="405"/>
    </row>
    <row r="7" spans="1:9" ht="19.5" customHeight="1">
      <c r="A7" s="416" t="s">
        <v>75</v>
      </c>
      <c r="B7" s="416"/>
      <c r="C7" s="403" t="str">
        <f>Orçamento!F8</f>
        <v>SEDOP SETEMBRO 2022 / SINAPI SETEMBRO 2022</v>
      </c>
      <c r="D7" s="404"/>
      <c r="E7" s="404"/>
      <c r="F7" s="404"/>
      <c r="G7" s="404"/>
      <c r="H7" s="404"/>
      <c r="I7" s="405"/>
    </row>
    <row r="8" spans="1:10" ht="19.5" customHeight="1">
      <c r="A8" s="416" t="s">
        <v>76</v>
      </c>
      <c r="B8" s="416"/>
      <c r="C8" s="403" t="str">
        <f>Orçamento!B9</f>
        <v>Patrick Sidrim</v>
      </c>
      <c r="D8" s="404"/>
      <c r="E8" s="404"/>
      <c r="F8" s="404"/>
      <c r="G8" s="404"/>
      <c r="H8" s="404"/>
      <c r="I8" s="405"/>
      <c r="J8" s="3"/>
    </row>
    <row r="9" spans="1:10" ht="19.5" customHeight="1">
      <c r="A9" s="416" t="s">
        <v>73</v>
      </c>
      <c r="B9" s="416"/>
      <c r="C9" s="403" t="str">
        <f>Orçamento!F10</f>
        <v>CREA/PA: 1517032679</v>
      </c>
      <c r="D9" s="404"/>
      <c r="E9" s="404"/>
      <c r="F9" s="404"/>
      <c r="G9" s="404"/>
      <c r="H9" s="404"/>
      <c r="I9" s="405"/>
      <c r="J9" s="3"/>
    </row>
    <row r="10" spans="1:10" ht="19.5" customHeight="1">
      <c r="A10" s="406" t="s">
        <v>120</v>
      </c>
      <c r="B10" s="407"/>
      <c r="C10" s="407"/>
      <c r="D10" s="407"/>
      <c r="E10" s="407"/>
      <c r="F10" s="407"/>
      <c r="G10" s="407"/>
      <c r="H10" s="407"/>
      <c r="I10" s="407"/>
      <c r="J10" s="3"/>
    </row>
    <row r="11" spans="1:9" ht="13.5" customHeight="1" thickBot="1">
      <c r="A11" s="408"/>
      <c r="B11" s="409"/>
      <c r="C11" s="409"/>
      <c r="D11" s="409"/>
      <c r="E11" s="409"/>
      <c r="F11" s="409"/>
      <c r="G11" s="409"/>
      <c r="H11" s="409"/>
      <c r="I11" s="409"/>
    </row>
    <row r="12" spans="1:9" ht="13.5" thickBot="1">
      <c r="A12" s="24" t="s">
        <v>0</v>
      </c>
      <c r="B12" s="25" t="s">
        <v>42</v>
      </c>
      <c r="C12" s="26"/>
      <c r="D12" s="26"/>
      <c r="E12" s="26"/>
      <c r="F12" s="26"/>
      <c r="G12" s="26"/>
      <c r="H12" s="26"/>
      <c r="I12" s="27"/>
    </row>
    <row r="13" spans="1:9" ht="15" thickBot="1">
      <c r="A13" s="28">
        <v>1</v>
      </c>
      <c r="B13" s="29" t="s">
        <v>43</v>
      </c>
      <c r="C13" s="30"/>
      <c r="D13" s="30"/>
      <c r="E13" s="30"/>
      <c r="F13" s="30"/>
      <c r="G13" s="30"/>
      <c r="H13" s="31"/>
      <c r="I13" s="82">
        <v>0.03</v>
      </c>
    </row>
    <row r="14" spans="1:9" ht="15" thickBot="1">
      <c r="A14" s="28">
        <v>2</v>
      </c>
      <c r="B14" s="29" t="s">
        <v>44</v>
      </c>
      <c r="C14" s="30"/>
      <c r="D14" s="30"/>
      <c r="E14" s="30"/>
      <c r="F14" s="30"/>
      <c r="G14" s="30"/>
      <c r="H14" s="30"/>
      <c r="I14" s="82">
        <v>0.008</v>
      </c>
    </row>
    <row r="15" spans="1:9" ht="13.5" thickBot="1">
      <c r="A15" s="33">
        <v>3</v>
      </c>
      <c r="B15" s="29" t="s">
        <v>45</v>
      </c>
      <c r="C15" s="30"/>
      <c r="D15" s="30"/>
      <c r="E15" s="30"/>
      <c r="F15" s="30"/>
      <c r="G15" s="30"/>
      <c r="H15" s="31"/>
      <c r="I15" s="83">
        <v>0.0097</v>
      </c>
    </row>
    <row r="16" spans="1:9" ht="15" thickBot="1">
      <c r="A16" s="28">
        <v>4</v>
      </c>
      <c r="B16" s="29" t="s">
        <v>46</v>
      </c>
      <c r="C16" s="30"/>
      <c r="D16" s="30"/>
      <c r="E16" s="30"/>
      <c r="F16" s="30"/>
      <c r="G16" s="30"/>
      <c r="H16" s="31"/>
      <c r="I16" s="82">
        <v>0.0059</v>
      </c>
    </row>
    <row r="17" spans="1:9" ht="14.25">
      <c r="A17" s="28">
        <v>5</v>
      </c>
      <c r="B17" s="29" t="s">
        <v>47</v>
      </c>
      <c r="C17" s="30"/>
      <c r="D17" s="30"/>
      <c r="E17" s="30"/>
      <c r="F17" s="30"/>
      <c r="G17" s="30"/>
      <c r="H17" s="31"/>
      <c r="I17" s="34">
        <v>0.0616</v>
      </c>
    </row>
    <row r="18" spans="1:9" ht="15" thickBot="1">
      <c r="A18" s="35">
        <v>6</v>
      </c>
      <c r="B18" s="36" t="s">
        <v>48</v>
      </c>
      <c r="C18" s="37"/>
      <c r="D18" s="37"/>
      <c r="E18" s="37"/>
      <c r="F18" s="37"/>
      <c r="G18" s="37"/>
      <c r="H18" s="38"/>
      <c r="I18" s="39">
        <f>I25</f>
        <v>0.1315</v>
      </c>
    </row>
    <row r="19" spans="1:9" ht="12.75">
      <c r="A19" s="40"/>
      <c r="B19" s="30"/>
      <c r="C19" s="30"/>
      <c r="D19" s="30"/>
      <c r="E19" s="30"/>
      <c r="F19" s="30"/>
      <c r="G19" s="30"/>
      <c r="H19" s="30"/>
      <c r="I19" s="41"/>
    </row>
    <row r="20" spans="1:9" ht="13.5" thickBot="1">
      <c r="A20" s="42" t="s">
        <v>0</v>
      </c>
      <c r="B20" s="43" t="s">
        <v>49</v>
      </c>
      <c r="C20" s="30"/>
      <c r="D20" s="30"/>
      <c r="E20" s="30"/>
      <c r="F20" s="30"/>
      <c r="G20" s="30"/>
      <c r="H20" s="30"/>
      <c r="I20" s="41"/>
    </row>
    <row r="21" spans="1:9" ht="12.75">
      <c r="A21" s="44" t="s">
        <v>50</v>
      </c>
      <c r="B21" s="45" t="s">
        <v>51</v>
      </c>
      <c r="C21" s="46"/>
      <c r="D21" s="46"/>
      <c r="E21" s="46"/>
      <c r="F21" s="46"/>
      <c r="G21" s="46"/>
      <c r="H21" s="46"/>
      <c r="I21" s="47">
        <v>0.05</v>
      </c>
    </row>
    <row r="22" spans="1:9" ht="14.25">
      <c r="A22" s="28" t="s">
        <v>52</v>
      </c>
      <c r="B22" s="29" t="s">
        <v>53</v>
      </c>
      <c r="C22" s="30"/>
      <c r="D22" s="30"/>
      <c r="E22" s="30"/>
      <c r="F22" s="30"/>
      <c r="G22" s="30"/>
      <c r="H22" s="30"/>
      <c r="I22" s="32">
        <v>0.0065</v>
      </c>
    </row>
    <row r="23" spans="1:9" ht="14.25">
      <c r="A23" s="28" t="s">
        <v>54</v>
      </c>
      <c r="B23" s="48" t="s">
        <v>55</v>
      </c>
      <c r="C23" s="30"/>
      <c r="D23" s="30"/>
      <c r="E23" s="30"/>
      <c r="F23" s="30"/>
      <c r="G23" s="30"/>
      <c r="H23" s="30"/>
      <c r="I23" s="32">
        <v>0.03</v>
      </c>
    </row>
    <row r="24" spans="1:9" ht="15" thickBot="1">
      <c r="A24" s="35" t="s">
        <v>56</v>
      </c>
      <c r="B24" s="49" t="s">
        <v>57</v>
      </c>
      <c r="C24" s="37"/>
      <c r="D24" s="37"/>
      <c r="E24" s="37"/>
      <c r="F24" s="37"/>
      <c r="G24" s="37"/>
      <c r="H24" s="37"/>
      <c r="I24" s="50">
        <v>0.045</v>
      </c>
    </row>
    <row r="25" spans="1:14" ht="15.75" thickBot="1">
      <c r="A25" s="29"/>
      <c r="B25" s="30"/>
      <c r="C25" s="30"/>
      <c r="D25" s="30"/>
      <c r="E25" s="30"/>
      <c r="F25" s="46" t="s">
        <v>58</v>
      </c>
      <c r="G25" s="46"/>
      <c r="H25" s="51"/>
      <c r="I25" s="188">
        <f>SUM(I21:I24)</f>
        <v>0.1315</v>
      </c>
      <c r="N25" s="52"/>
    </row>
    <row r="26" spans="1:14" ht="15.75" thickBot="1">
      <c r="A26" s="53" t="s">
        <v>59</v>
      </c>
      <c r="B26" s="54"/>
      <c r="C26" s="54"/>
      <c r="D26" s="54"/>
      <c r="E26" s="54"/>
      <c r="F26" s="54"/>
      <c r="G26" s="54"/>
      <c r="H26" s="54"/>
      <c r="I26" s="55"/>
      <c r="N26" s="56"/>
    </row>
    <row r="27" spans="1:14" ht="41.25" customHeight="1" thickBot="1">
      <c r="A27" s="57"/>
      <c r="B27" s="58"/>
      <c r="C27" s="58"/>
      <c r="D27" s="58"/>
      <c r="E27" s="58"/>
      <c r="F27" s="58"/>
      <c r="G27" s="69" t="s">
        <v>65</v>
      </c>
      <c r="H27" s="59"/>
      <c r="I27" s="189">
        <f>(((1+I13+I14+I15)*(1+I16)*(1+I17))/(1-I18))-1</f>
        <v>0.2881986483454233</v>
      </c>
      <c r="N27" s="60"/>
    </row>
    <row r="28" spans="2:14" ht="13.5">
      <c r="B28" s="61"/>
      <c r="C28" s="61"/>
      <c r="D28" s="61"/>
      <c r="E28" s="61"/>
      <c r="F28" s="61"/>
      <c r="G28" s="61"/>
      <c r="H28" s="61"/>
      <c r="I28" s="61"/>
      <c r="J28" s="62"/>
      <c r="N28" s="60"/>
    </row>
    <row r="29" spans="1:14" ht="15">
      <c r="A29" s="63" t="s">
        <v>60</v>
      </c>
      <c r="N29" s="56"/>
    </row>
    <row r="30" spans="1:10" ht="12.75">
      <c r="A30" s="419" t="s">
        <v>61</v>
      </c>
      <c r="B30" s="419"/>
      <c r="C30" s="419"/>
      <c r="D30" s="419"/>
      <c r="E30" s="419"/>
      <c r="F30" s="419"/>
      <c r="G30" s="419"/>
      <c r="H30" s="419"/>
      <c r="I30" s="419"/>
      <c r="J30" s="129"/>
    </row>
    <row r="31" spans="1:10" ht="12.75">
      <c r="A31" s="420" t="s">
        <v>119</v>
      </c>
      <c r="B31" s="420"/>
      <c r="C31" s="420"/>
      <c r="D31" s="420"/>
      <c r="E31" s="420"/>
      <c r="F31" s="420"/>
      <c r="G31" s="420"/>
      <c r="H31" s="420"/>
      <c r="I31" s="420"/>
      <c r="J31" s="129"/>
    </row>
    <row r="32" spans="1:10" ht="12.75">
      <c r="A32" s="419" t="s">
        <v>62</v>
      </c>
      <c r="B32" s="419"/>
      <c r="C32" s="419"/>
      <c r="D32" s="419"/>
      <c r="E32" s="419"/>
      <c r="F32" s="419"/>
      <c r="G32" s="419"/>
      <c r="H32" s="419"/>
      <c r="I32" s="419"/>
      <c r="J32" s="129"/>
    </row>
    <row r="33" spans="1:10" ht="29.25" customHeight="1">
      <c r="A33" s="418" t="s">
        <v>63</v>
      </c>
      <c r="B33" s="418"/>
      <c r="C33" s="418"/>
      <c r="D33" s="418"/>
      <c r="E33" s="418"/>
      <c r="F33" s="418"/>
      <c r="G33" s="418"/>
      <c r="H33" s="418"/>
      <c r="I33" s="418"/>
      <c r="J33" s="64"/>
    </row>
    <row r="34" spans="1:10" ht="23.25" customHeight="1">
      <c r="A34" s="418" t="s">
        <v>64</v>
      </c>
      <c r="B34" s="418"/>
      <c r="C34" s="418"/>
      <c r="D34" s="418"/>
      <c r="E34" s="418"/>
      <c r="F34" s="418"/>
      <c r="G34" s="418"/>
      <c r="H34" s="418"/>
      <c r="I34" s="418"/>
      <c r="J34" s="64"/>
    </row>
    <row r="35" spans="2:9" ht="12.75" customHeight="1">
      <c r="B35" s="64"/>
      <c r="C35" s="64"/>
      <c r="D35" s="64"/>
      <c r="E35" s="64"/>
      <c r="F35" s="64"/>
      <c r="G35" s="64"/>
      <c r="H35" s="64"/>
      <c r="I35" s="64"/>
    </row>
    <row r="36" spans="1:9" ht="12.75">
      <c r="A36" s="64"/>
      <c r="B36" s="64"/>
      <c r="C36" s="64"/>
      <c r="D36" s="64"/>
      <c r="E36" s="64"/>
      <c r="F36" s="64"/>
      <c r="G36" s="64"/>
      <c r="H36" s="64"/>
      <c r="I36" s="64"/>
    </row>
    <row r="37" spans="2:9" ht="12.75">
      <c r="B37" s="64"/>
      <c r="C37" s="64"/>
      <c r="D37" s="64"/>
      <c r="E37" s="64"/>
      <c r="F37" s="64"/>
      <c r="G37" s="64"/>
      <c r="H37" s="64"/>
      <c r="I37" s="64"/>
    </row>
    <row r="38" spans="2:9" ht="12.75">
      <c r="B38" s="64"/>
      <c r="C38" s="64"/>
      <c r="D38" s="64"/>
      <c r="E38" s="64"/>
      <c r="F38" s="64"/>
      <c r="G38" s="64"/>
      <c r="H38" s="64"/>
      <c r="I38" s="64"/>
    </row>
    <row r="39" spans="2:9" ht="12.75">
      <c r="B39" s="64"/>
      <c r="C39" s="64"/>
      <c r="D39" s="64"/>
      <c r="E39" s="64"/>
      <c r="F39" s="64"/>
      <c r="G39" s="64"/>
      <c r="H39" s="64"/>
      <c r="I39" s="64"/>
    </row>
    <row r="40" spans="2:9" ht="12.75">
      <c r="B40" s="64"/>
      <c r="C40" s="64"/>
      <c r="D40" s="64"/>
      <c r="E40" s="64"/>
      <c r="F40" s="64"/>
      <c r="G40" s="64"/>
      <c r="H40" s="64"/>
      <c r="I40" s="64"/>
    </row>
    <row r="41" spans="2:9" ht="12.75">
      <c r="B41" s="64"/>
      <c r="C41" s="64"/>
      <c r="D41" s="64"/>
      <c r="E41" s="64"/>
      <c r="F41" s="64"/>
      <c r="G41" s="64"/>
      <c r="H41" s="64"/>
      <c r="I41" s="64"/>
    </row>
    <row r="42" spans="2:9" ht="12.75">
      <c r="B42" s="64"/>
      <c r="C42" s="64"/>
      <c r="D42" s="64"/>
      <c r="E42" s="64"/>
      <c r="F42" s="64"/>
      <c r="G42" s="64"/>
      <c r="H42" s="64"/>
      <c r="I42" s="64"/>
    </row>
    <row r="43" spans="2:9" ht="12.75">
      <c r="B43" s="64"/>
      <c r="C43" s="64"/>
      <c r="D43" s="64"/>
      <c r="E43" s="64"/>
      <c r="F43" s="64"/>
      <c r="G43" s="64"/>
      <c r="H43" s="64"/>
      <c r="I43" s="64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65"/>
      <c r="B45" s="65"/>
      <c r="C45" s="65"/>
      <c r="D45" s="417"/>
      <c r="E45" s="417"/>
      <c r="F45" s="417"/>
      <c r="G45" s="417"/>
      <c r="H45" s="65"/>
      <c r="I45" s="65"/>
    </row>
    <row r="46" spans="1:9" ht="12.75">
      <c r="A46" s="66"/>
      <c r="B46" s="66"/>
      <c r="C46" s="66"/>
      <c r="D46" s="417"/>
      <c r="E46" s="417"/>
      <c r="F46" s="417"/>
      <c r="G46" s="417"/>
      <c r="H46" s="66"/>
      <c r="I46" s="66"/>
    </row>
    <row r="47" spans="1:9" ht="12.75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12.75">
      <c r="A48" s="67"/>
      <c r="B48" s="67"/>
      <c r="C48" s="67"/>
      <c r="D48" s="67"/>
      <c r="E48" s="67"/>
      <c r="F48" s="67"/>
      <c r="G48" s="67"/>
      <c r="H48" s="67"/>
      <c r="I48" s="67"/>
    </row>
    <row r="49" spans="5:9" ht="12.75">
      <c r="E49" s="68"/>
      <c r="F49" s="68"/>
      <c r="G49" s="68"/>
      <c r="H49" s="68"/>
      <c r="I49" s="68"/>
    </row>
    <row r="50" spans="1:9" ht="12.75">
      <c r="A50" s="65"/>
      <c r="B50" s="65"/>
      <c r="C50" s="65"/>
      <c r="D50" s="65"/>
      <c r="E50" s="65"/>
      <c r="F50" s="65"/>
      <c r="G50" s="65"/>
      <c r="H50" s="65"/>
      <c r="I50" s="65"/>
    </row>
  </sheetData>
  <sheetProtection/>
  <mergeCells count="26">
    <mergeCell ref="A3:B3"/>
    <mergeCell ref="A4:B4"/>
    <mergeCell ref="D45:G45"/>
    <mergeCell ref="D46:G46"/>
    <mergeCell ref="A9:B9"/>
    <mergeCell ref="A34:I34"/>
    <mergeCell ref="A33:I33"/>
    <mergeCell ref="A30:I30"/>
    <mergeCell ref="A32:I32"/>
    <mergeCell ref="A31:I31"/>
    <mergeCell ref="A6:B6"/>
    <mergeCell ref="A7:B7"/>
    <mergeCell ref="A8:B8"/>
    <mergeCell ref="C6:I6"/>
    <mergeCell ref="C7:I7"/>
    <mergeCell ref="C8:I8"/>
    <mergeCell ref="C9:I9"/>
    <mergeCell ref="A10:I11"/>
    <mergeCell ref="C1:I1"/>
    <mergeCell ref="C2:I2"/>
    <mergeCell ref="C3:I3"/>
    <mergeCell ref="C4:I4"/>
    <mergeCell ref="C5:I5"/>
    <mergeCell ref="A1:B1"/>
    <mergeCell ref="A2:B2"/>
    <mergeCell ref="A5:B5"/>
  </mergeCells>
  <printOptions/>
  <pageMargins left="0.7086614173228347" right="0.7086614173228347" top="1.97" bottom="0.7480314960629921" header="0.31496062992125984" footer="0.31496062992125984"/>
  <pageSetup fitToHeight="0" fitToWidth="1" horizontalDpi="600" verticalDpi="600" orientation="portrait" paperSize="9" scale="77" r:id="rId3"/>
  <headerFooter>
    <oddHeader>&amp;C&amp;G</oddHeader>
    <oddFooter>&amp;C&amp;G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85" zoomScaleSheetLayoutView="85" zoomScalePageLayoutView="0" workbookViewId="0" topLeftCell="A1">
      <selection activeCell="B5" sqref="B5:F5"/>
    </sheetView>
  </sheetViews>
  <sheetFormatPr defaultColWidth="9.140625" defaultRowHeight="12.75"/>
  <cols>
    <col min="1" max="1" width="28.28125" style="10" customWidth="1"/>
    <col min="2" max="2" width="52.28125" style="0" bestFit="1" customWidth="1"/>
    <col min="3" max="3" width="17.7109375" style="0" customWidth="1"/>
    <col min="4" max="4" width="14.140625" style="0" customWidth="1"/>
    <col min="5" max="6" width="13.8515625" style="0" bestFit="1" customWidth="1"/>
  </cols>
  <sheetData>
    <row r="1" spans="1:6" ht="13.5">
      <c r="A1" s="229" t="s">
        <v>270</v>
      </c>
      <c r="B1" s="421" t="str">
        <f>Orçamento!B7</f>
        <v>CONSTRUÇÃO DE UMA ARENA ESPORTIVA</v>
      </c>
      <c r="C1" s="422"/>
      <c r="D1" s="422"/>
      <c r="E1" s="422"/>
      <c r="F1" s="422"/>
    </row>
    <row r="2" spans="1:6" ht="13.5">
      <c r="A2" s="229" t="s">
        <v>271</v>
      </c>
      <c r="B2" s="421" t="str">
        <f>Orçamento!B6</f>
        <v>SECRETARIA MUNICIPAL DE EDUCAÇÃO DE OUREM</v>
      </c>
      <c r="C2" s="422"/>
      <c r="D2" s="422"/>
      <c r="E2" s="422"/>
      <c r="F2" s="422"/>
    </row>
    <row r="3" spans="1:6" ht="19.5" customHeight="1">
      <c r="A3" s="229" t="s">
        <v>272</v>
      </c>
      <c r="B3" s="421" t="str">
        <f>Orçamento!B7</f>
        <v>CONSTRUÇÃO DE UMA ARENA ESPORTIVA</v>
      </c>
      <c r="C3" s="422"/>
      <c r="D3" s="422"/>
      <c r="E3" s="422"/>
      <c r="F3" s="422"/>
    </row>
    <row r="4" spans="1:6" ht="19.5" customHeight="1">
      <c r="A4" s="229" t="s">
        <v>74</v>
      </c>
      <c r="B4" s="422" t="str">
        <f>Orçamento!D8</f>
        <v>VILA DO MONTEVIDÉO - ZONA RURAL DO MUNICÍPIO DE OURÉM - PARÁ</v>
      </c>
      <c r="C4" s="422"/>
      <c r="D4" s="422"/>
      <c r="E4" s="422"/>
      <c r="F4" s="422"/>
    </row>
    <row r="5" spans="1:6" ht="19.5" customHeight="1">
      <c r="A5" s="229" t="s">
        <v>273</v>
      </c>
      <c r="B5" s="423">
        <f>Orçamento!I65</f>
        <v>328717.89</v>
      </c>
      <c r="C5" s="423"/>
      <c r="D5" s="423"/>
      <c r="E5" s="423"/>
      <c r="F5" s="423"/>
    </row>
    <row r="6" spans="1:6" ht="19.5" customHeight="1">
      <c r="A6" s="229" t="s">
        <v>66</v>
      </c>
      <c r="B6" s="424">
        <v>0.288198648345423</v>
      </c>
      <c r="C6" s="424"/>
      <c r="D6" s="424"/>
      <c r="E6" s="424"/>
      <c r="F6" s="424"/>
    </row>
    <row r="7" spans="1:6" ht="19.5" customHeight="1">
      <c r="A7" s="229" t="s">
        <v>75</v>
      </c>
      <c r="B7" s="423" t="str">
        <f>Orçamento!F8</f>
        <v>SEDOP SETEMBRO 2022 / SINAPI SETEMBRO 2022</v>
      </c>
      <c r="C7" s="423"/>
      <c r="D7" s="423"/>
      <c r="E7" s="423"/>
      <c r="F7" s="423"/>
    </row>
    <row r="8" spans="1:6" ht="19.5" customHeight="1" thickBot="1">
      <c r="A8" s="250" t="s">
        <v>76</v>
      </c>
      <c r="B8" s="423" t="str">
        <f>Orçamento!B9</f>
        <v>Patrick Sidrim</v>
      </c>
      <c r="C8" s="423"/>
      <c r="D8" s="423"/>
      <c r="E8" s="423"/>
      <c r="F8" s="423"/>
    </row>
    <row r="9" spans="1:6" ht="12.75">
      <c r="A9" s="425" t="s">
        <v>18</v>
      </c>
      <c r="B9" s="426"/>
      <c r="C9" s="426"/>
      <c r="D9" s="426"/>
      <c r="E9" s="426"/>
      <c r="F9" s="427"/>
    </row>
    <row r="10" spans="1:6" ht="13.5" thickBot="1">
      <c r="A10" s="408"/>
      <c r="B10" s="409"/>
      <c r="C10" s="409"/>
      <c r="D10" s="409"/>
      <c r="E10" s="409"/>
      <c r="F10" s="428"/>
    </row>
    <row r="11" spans="1:6" ht="12.75">
      <c r="A11" s="246" t="s">
        <v>230</v>
      </c>
      <c r="B11" s="247" t="s">
        <v>15</v>
      </c>
      <c r="C11" s="247" t="s">
        <v>9</v>
      </c>
      <c r="D11" s="248" t="s">
        <v>16</v>
      </c>
      <c r="E11" s="248" t="s">
        <v>17</v>
      </c>
      <c r="F11" s="249" t="s">
        <v>118</v>
      </c>
    </row>
    <row r="12" spans="1:6" ht="12.75">
      <c r="A12" s="75"/>
      <c r="B12" s="429" t="str">
        <f>Orçamento!D13</f>
        <v>ADMINISTRAÇÃO LOCAL</v>
      </c>
      <c r="C12" s="5"/>
      <c r="D12" s="124">
        <f>(D17+D20+D23+D29+D26+D32)/SUM($C$15:$C$31)</f>
        <v>0.26464912302283644</v>
      </c>
      <c r="E12" s="124">
        <f>(E17+E20+E23+E29+E26+E32)/SUM($C$15:$C$31)</f>
        <v>0.35075077151502276</v>
      </c>
      <c r="F12" s="124">
        <f>(F17+F20+F23+F29+F26+F32)/SUM($C$15:$C$31)</f>
        <v>0.3846001054621407</v>
      </c>
    </row>
    <row r="13" spans="1:6" ht="12.75">
      <c r="A13" s="121" t="str">
        <f>Orçamento!C13</f>
        <v>1</v>
      </c>
      <c r="B13" s="430"/>
      <c r="C13" s="207">
        <f>Orçamento!I15</f>
        <v>15752.5</v>
      </c>
      <c r="D13" s="125"/>
      <c r="E13" s="125"/>
      <c r="F13" s="215"/>
    </row>
    <row r="14" spans="1:6" ht="12.75">
      <c r="A14" s="77"/>
      <c r="B14" s="431"/>
      <c r="C14" s="9"/>
      <c r="D14" s="126">
        <f>$C$13*D12</f>
        <v>4168.885310417231</v>
      </c>
      <c r="E14" s="126">
        <f>$C$13*E12</f>
        <v>5525.201528290396</v>
      </c>
      <c r="F14" s="216">
        <f>$C$13*F12</f>
        <v>6058.413161292371</v>
      </c>
    </row>
    <row r="15" spans="1:6" ht="12.75">
      <c r="A15" s="75"/>
      <c r="B15" s="429" t="str">
        <f>Orçamento!D16</f>
        <v>SERVIÇOS INICIAIS</v>
      </c>
      <c r="C15" s="5"/>
      <c r="D15" s="124">
        <f>D17/C16</f>
        <v>1</v>
      </c>
      <c r="E15" s="124"/>
      <c r="F15" s="217"/>
    </row>
    <row r="16" spans="1:6" ht="12.75">
      <c r="A16" s="121" t="str">
        <f>Orçamento!C16</f>
        <v>2</v>
      </c>
      <c r="B16" s="430"/>
      <c r="C16" s="207">
        <f>Orçamento!I20</f>
        <v>18757.73</v>
      </c>
      <c r="D16" s="125"/>
      <c r="E16" s="127"/>
      <c r="F16" s="218"/>
    </row>
    <row r="17" spans="1:6" ht="12.75">
      <c r="A17" s="77"/>
      <c r="B17" s="431"/>
      <c r="C17" s="9"/>
      <c r="D17" s="126">
        <f>C16</f>
        <v>18757.73</v>
      </c>
      <c r="E17" s="126"/>
      <c r="F17" s="219"/>
    </row>
    <row r="18" spans="1:6" ht="12.75">
      <c r="A18" s="76"/>
      <c r="B18" s="432" t="str">
        <f>Orçamento!D21</f>
        <v>ALVENARIA</v>
      </c>
      <c r="C18" s="120"/>
      <c r="D18" s="124">
        <v>0.2</v>
      </c>
      <c r="E18" s="124">
        <v>0.65</v>
      </c>
      <c r="F18" s="214">
        <v>0.15</v>
      </c>
    </row>
    <row r="19" spans="1:6" ht="12.75">
      <c r="A19" s="121" t="str">
        <f>Orçamento!C21</f>
        <v>3</v>
      </c>
      <c r="B19" s="433"/>
      <c r="C19" s="207">
        <f>Orçamento!I31</f>
        <v>65282.880000000005</v>
      </c>
      <c r="D19" s="125"/>
      <c r="E19" s="125"/>
      <c r="F19" s="215"/>
    </row>
    <row r="20" spans="1:6" ht="12.75">
      <c r="A20" s="76"/>
      <c r="B20" s="434"/>
      <c r="C20" s="120"/>
      <c r="D20" s="126">
        <f>C19*$D$18</f>
        <v>13056.576000000001</v>
      </c>
      <c r="E20" s="126">
        <f>C19*$E$18</f>
        <v>42433.872</v>
      </c>
      <c r="F20" s="216">
        <f>F18*C19</f>
        <v>9792.432</v>
      </c>
    </row>
    <row r="21" spans="1:6" ht="12.75">
      <c r="A21" s="206"/>
      <c r="B21" s="5"/>
      <c r="C21" s="209"/>
      <c r="D21" s="124">
        <v>0.2</v>
      </c>
      <c r="E21" s="124">
        <v>0.4</v>
      </c>
      <c r="F21" s="214">
        <v>0.4</v>
      </c>
    </row>
    <row r="22" spans="1:6" ht="12.75">
      <c r="A22" s="220" t="str">
        <f>Orçamento!C32</f>
        <v>4</v>
      </c>
      <c r="B22" s="211" t="str">
        <f>Orçamento!D32</f>
        <v>PAVIMENTAÇÃO</v>
      </c>
      <c r="C22" s="208">
        <f>Orçamento!I39</f>
        <v>168347.45</v>
      </c>
      <c r="D22" s="125"/>
      <c r="E22" s="125"/>
      <c r="F22" s="215"/>
    </row>
    <row r="23" spans="1:6" ht="12.75">
      <c r="A23" s="221"/>
      <c r="B23" s="9"/>
      <c r="C23" s="210"/>
      <c r="D23" s="126">
        <f>C22*$D$21</f>
        <v>33669.490000000005</v>
      </c>
      <c r="E23" s="126">
        <f>C22*$E$21</f>
        <v>67338.98000000001</v>
      </c>
      <c r="F23" s="216">
        <f>F21*C22</f>
        <v>67338.98000000001</v>
      </c>
    </row>
    <row r="24" spans="1:6" ht="12.75">
      <c r="A24" s="75"/>
      <c r="B24" s="5"/>
      <c r="C24" s="5"/>
      <c r="D24" s="12"/>
      <c r="E24" s="12"/>
      <c r="F24" s="214">
        <v>1</v>
      </c>
    </row>
    <row r="25" spans="1:6" ht="12.75">
      <c r="A25" s="121" t="str">
        <f>Orçamento!C40</f>
        <v>5</v>
      </c>
      <c r="B25" s="13" t="str">
        <f>Orçamento!D40</f>
        <v>INSTALAÇÕES ELÉTRICAS</v>
      </c>
      <c r="C25" s="207">
        <f>Orçamento!I55</f>
        <v>40137.15</v>
      </c>
      <c r="D25" s="6"/>
      <c r="E25" s="6"/>
      <c r="F25" s="215"/>
    </row>
    <row r="26" spans="1:6" ht="12.75">
      <c r="A26" s="77"/>
      <c r="B26" s="122"/>
      <c r="C26" s="9"/>
      <c r="D26" s="11"/>
      <c r="E26" s="11"/>
      <c r="F26" s="216">
        <f>F24*C25</f>
        <v>40137.15</v>
      </c>
    </row>
    <row r="27" spans="1:6" ht="12.75">
      <c r="A27" s="75"/>
      <c r="B27" s="123"/>
      <c r="C27" s="5"/>
      <c r="D27" s="124">
        <v>1</v>
      </c>
      <c r="E27" s="12"/>
      <c r="F27" s="217"/>
    </row>
    <row r="28" spans="1:6" ht="12.75">
      <c r="A28" s="121" t="str">
        <f>Orçamento!C56</f>
        <v>6</v>
      </c>
      <c r="B28" s="13" t="str">
        <f>Orçamento!D56</f>
        <v>DRENAGEM DE ÁGUAS PLUVIAIS</v>
      </c>
      <c r="C28" s="207">
        <f>Orçamento!I61</f>
        <v>17342.22</v>
      </c>
      <c r="D28" s="125"/>
      <c r="E28" s="6"/>
      <c r="F28" s="218"/>
    </row>
    <row r="29" spans="1:6" ht="12.75">
      <c r="A29" s="77"/>
      <c r="B29" s="122"/>
      <c r="C29" s="9"/>
      <c r="D29" s="126">
        <f>D27*C28</f>
        <v>17342.22</v>
      </c>
      <c r="E29" s="11"/>
      <c r="F29" s="219"/>
    </row>
    <row r="30" spans="1:6" ht="12.75">
      <c r="A30" s="75"/>
      <c r="B30" s="123"/>
      <c r="C30" s="5"/>
      <c r="D30" s="12"/>
      <c r="E30" s="12"/>
      <c r="F30" s="214">
        <v>1</v>
      </c>
    </row>
    <row r="31" spans="1:6" ht="12.75">
      <c r="A31" s="121" t="str">
        <f>Orçamento!C62</f>
        <v>7</v>
      </c>
      <c r="B31" s="13" t="str">
        <f>Orçamento!D62</f>
        <v>SERVIÇOS FINAIS</v>
      </c>
      <c r="C31" s="207">
        <f>Orçamento!I64</f>
        <v>3097.96</v>
      </c>
      <c r="D31" s="6"/>
      <c r="E31" s="6"/>
      <c r="F31" s="215"/>
    </row>
    <row r="32" spans="1:6" ht="12.75">
      <c r="A32" s="77"/>
      <c r="B32" s="9"/>
      <c r="C32" s="9"/>
      <c r="D32" s="11"/>
      <c r="E32" s="11"/>
      <c r="F32" s="216">
        <f>F30*C31</f>
        <v>3097.96</v>
      </c>
    </row>
    <row r="33" spans="1:6" ht="13.5" thickBot="1">
      <c r="A33" s="78"/>
      <c r="B33" s="79" t="s">
        <v>9</v>
      </c>
      <c r="C33" s="80">
        <f>C13+C31+C28+C25+C16+C19+C22</f>
        <v>328717.89</v>
      </c>
      <c r="D33" s="81">
        <f>D14+D17+D20+D26+D29+D32+D23</f>
        <v>86994.90131041723</v>
      </c>
      <c r="E33" s="81">
        <f>E14+E17+E20+E26+E29+E32+E23</f>
        <v>115298.05352829042</v>
      </c>
      <c r="F33" s="222">
        <f>F14+F17+F20+F26+F29+F32+F23</f>
        <v>126424.93516129238</v>
      </c>
    </row>
    <row r="35" spans="1:6" ht="12.75">
      <c r="A35" s="227" t="s">
        <v>255</v>
      </c>
      <c r="B35" s="228">
        <v>150000</v>
      </c>
      <c r="C35" s="186">
        <f>B35/$C$33</f>
        <v>0.4563183342409505</v>
      </c>
      <c r="D35" s="74">
        <f>$C$35*D33</f>
        <v>39697.36845342547</v>
      </c>
      <c r="E35" s="74">
        <f>$C$35*E33</f>
        <v>52612.615727253426</v>
      </c>
      <c r="F35" s="74">
        <f>$C$35*F33</f>
        <v>57690.01581932111</v>
      </c>
    </row>
    <row r="36" spans="1:6" ht="12.75">
      <c r="A36" s="227" t="s">
        <v>256</v>
      </c>
      <c r="B36" s="228">
        <f>C33-B35</f>
        <v>178717.89</v>
      </c>
      <c r="C36" s="186">
        <f>B36/$C$33</f>
        <v>0.5436816657590495</v>
      </c>
      <c r="D36" s="74">
        <f>$C$36*D33</f>
        <v>47297.53285699176</v>
      </c>
      <c r="E36" s="74">
        <f>$C$36*E33</f>
        <v>62685.43780103699</v>
      </c>
      <c r="F36" s="74">
        <f>$C$36*F33</f>
        <v>68734.91934197127</v>
      </c>
    </row>
    <row r="37" ht="12.75">
      <c r="A37" s="227"/>
    </row>
    <row r="38" spans="5:6" ht="12.75">
      <c r="E38" s="74"/>
      <c r="F38" s="74"/>
    </row>
    <row r="39" ht="12.75">
      <c r="B39" s="186">
        <f>140000/C33</f>
        <v>0.42589711195822044</v>
      </c>
    </row>
    <row r="40" ht="12.75">
      <c r="B40" s="187">
        <f>1-B39</f>
        <v>0.5741028880417796</v>
      </c>
    </row>
  </sheetData>
  <sheetProtection/>
  <mergeCells count="12">
    <mergeCell ref="B7:F7"/>
    <mergeCell ref="B8:F8"/>
    <mergeCell ref="A9:F10"/>
    <mergeCell ref="B15:B17"/>
    <mergeCell ref="B18:B20"/>
    <mergeCell ref="B12:B14"/>
    <mergeCell ref="B1:F1"/>
    <mergeCell ref="B2:F2"/>
    <mergeCell ref="B3:F3"/>
    <mergeCell ref="B4:F4"/>
    <mergeCell ref="B5:F5"/>
    <mergeCell ref="B6:F6"/>
  </mergeCells>
  <printOptions/>
  <pageMargins left="1.28" right="0.7086614173228347" top="1.67" bottom="0.7480314960629921" header="0.31496062992125984" footer="0.31496062992125984"/>
  <pageSetup fitToHeight="0" horizontalDpi="600" verticalDpi="600" orientation="landscape" paperSize="9" scale="85" r:id="rId2"/>
  <headerFooter>
    <oddHeader>&amp;C&amp;G</oddHeader>
    <oddFooter>&amp;C&amp;G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="95" zoomScaleSheetLayoutView="95" zoomScalePageLayoutView="0" workbookViewId="0" topLeftCell="A1">
      <selection activeCell="M9" sqref="M9"/>
    </sheetView>
  </sheetViews>
  <sheetFormatPr defaultColWidth="9.140625" defaultRowHeight="12.75"/>
  <cols>
    <col min="1" max="1" width="18.7109375" style="10" customWidth="1"/>
    <col min="2" max="2" width="13.28125" style="0" customWidth="1"/>
    <col min="3" max="3" width="17.7109375" style="0" customWidth="1"/>
    <col min="4" max="4" width="14.140625" style="0" customWidth="1"/>
    <col min="5" max="5" width="18.57421875" style="0" customWidth="1"/>
    <col min="7" max="7" width="10.00390625" style="0" customWidth="1"/>
    <col min="8" max="8" width="11.8515625" style="0" customWidth="1"/>
    <col min="9" max="9" width="13.7109375" style="0" customWidth="1"/>
  </cols>
  <sheetData>
    <row r="1" spans="1:9" ht="13.5">
      <c r="A1" s="170" t="str">
        <f>Cronograma!A1</f>
        <v>OBRA: </v>
      </c>
      <c r="B1" s="468" t="str">
        <f>Cronograma!B1</f>
        <v>CONSTRUÇÃO DE UMA ARENA ESPORTIVA</v>
      </c>
      <c r="C1" s="411"/>
      <c r="D1" s="411"/>
      <c r="E1" s="411"/>
      <c r="F1" s="411"/>
      <c r="G1" s="411"/>
      <c r="H1" s="411"/>
      <c r="I1" s="412"/>
    </row>
    <row r="2" spans="1:9" ht="15">
      <c r="A2" s="170" t="str">
        <f>Cronograma!A2</f>
        <v>CONVENENTE:  </v>
      </c>
      <c r="B2" s="468" t="str">
        <f>Cronograma!B2</f>
        <v>SECRETARIA MUNICIPAL DE EDUCAÇÃO DE OUREM</v>
      </c>
      <c r="C2" s="411"/>
      <c r="D2" s="411"/>
      <c r="E2" s="411"/>
      <c r="F2" s="411"/>
      <c r="G2" s="411"/>
      <c r="H2" s="411"/>
      <c r="I2" s="412"/>
    </row>
    <row r="3" spans="1:9" ht="15">
      <c r="A3" s="170" t="str">
        <f>Cronograma!A3</f>
        <v>DATA: </v>
      </c>
      <c r="B3" s="468" t="str">
        <f>Cronograma!B3</f>
        <v>CONSTRUÇÃO DE UMA ARENA ESPORTIVA</v>
      </c>
      <c r="C3" s="411"/>
      <c r="D3" s="411"/>
      <c r="E3" s="411"/>
      <c r="F3" s="411"/>
      <c r="G3" s="411"/>
      <c r="H3" s="411"/>
      <c r="I3" s="412"/>
    </row>
    <row r="4" spans="1:9" ht="15">
      <c r="A4" s="170" t="str">
        <f>Cronograma!A4</f>
        <v>LOCAL: </v>
      </c>
      <c r="B4" s="468" t="str">
        <f>Cronograma!B4</f>
        <v>VILA DO MONTEVIDÉO - ZONA RURAL DO MUNICÍPIO DE OURÉM - PARÁ</v>
      </c>
      <c r="C4" s="411"/>
      <c r="D4" s="411"/>
      <c r="E4" s="411"/>
      <c r="F4" s="411"/>
      <c r="G4" s="411"/>
      <c r="H4" s="411"/>
      <c r="I4" s="412"/>
    </row>
    <row r="5" spans="1:9" ht="15">
      <c r="A5" s="170" t="str">
        <f>Cronograma!A5</f>
        <v>VALOR: </v>
      </c>
      <c r="B5" s="469">
        <f>Cronograma!B5</f>
        <v>328717.89</v>
      </c>
      <c r="C5" s="470"/>
      <c r="D5" s="470"/>
      <c r="E5" s="470"/>
      <c r="F5" s="470"/>
      <c r="G5" s="470"/>
      <c r="H5" s="470"/>
      <c r="I5" s="471"/>
    </row>
    <row r="6" spans="1:9" ht="15">
      <c r="A6" s="170" t="str">
        <f>Cronograma!A6</f>
        <v>BDI</v>
      </c>
      <c r="B6" s="468">
        <f>Cronograma!B6</f>
        <v>0.288198648345423</v>
      </c>
      <c r="C6" s="411"/>
      <c r="D6" s="411"/>
      <c r="E6" s="411"/>
      <c r="F6" s="411"/>
      <c r="G6" s="411"/>
      <c r="H6" s="411"/>
      <c r="I6" s="412"/>
    </row>
    <row r="7" spans="1:9" ht="15">
      <c r="A7" s="170" t="str">
        <f>Cronograma!A7</f>
        <v>REFERÊNCIA:</v>
      </c>
      <c r="B7" s="468" t="str">
        <f>Cronograma!B7</f>
        <v>SEDOP SETEMBRO 2022 / SINAPI SETEMBRO 2022</v>
      </c>
      <c r="C7" s="411"/>
      <c r="D7" s="411"/>
      <c r="E7" s="411"/>
      <c r="F7" s="411"/>
      <c r="G7" s="411"/>
      <c r="H7" s="411"/>
      <c r="I7" s="412"/>
    </row>
    <row r="8" spans="1:9" ht="30">
      <c r="A8" s="170" t="str">
        <f>Cronograma!A8</f>
        <v>RESPONSÁVEL TÉCNICO:</v>
      </c>
      <c r="B8" s="468" t="str">
        <f>Cronograma!B8</f>
        <v>Patrick Sidrim</v>
      </c>
      <c r="C8" s="411"/>
      <c r="D8" s="411"/>
      <c r="E8" s="411"/>
      <c r="F8" s="411"/>
      <c r="G8" s="411"/>
      <c r="H8" s="411"/>
      <c r="I8" s="412"/>
    </row>
    <row r="9" ht="13.5" thickBot="1"/>
    <row r="10" spans="1:9" ht="18" thickBot="1">
      <c r="A10" s="446" t="s">
        <v>162</v>
      </c>
      <c r="B10" s="447"/>
      <c r="C10" s="447"/>
      <c r="D10" s="447"/>
      <c r="E10" s="447"/>
      <c r="F10" s="447"/>
      <c r="G10" s="447"/>
      <c r="H10" s="447"/>
      <c r="I10" s="448"/>
    </row>
    <row r="11" spans="1:9" ht="13.5">
      <c r="A11" s="436" t="s">
        <v>170</v>
      </c>
      <c r="B11" s="437"/>
      <c r="C11" s="437"/>
      <c r="D11" s="437"/>
      <c r="E11" s="437"/>
      <c r="F11" s="437"/>
      <c r="G11" s="437"/>
      <c r="H11" s="437"/>
      <c r="I11" s="438"/>
    </row>
    <row r="12" spans="1:9" ht="13.5">
      <c r="A12" s="144" t="s">
        <v>0</v>
      </c>
      <c r="B12" s="145"/>
      <c r="C12" s="146" t="s">
        <v>163</v>
      </c>
      <c r="D12" s="147"/>
      <c r="E12" s="147"/>
      <c r="F12" s="147"/>
      <c r="G12" s="147"/>
      <c r="H12" s="148" t="s">
        <v>164</v>
      </c>
      <c r="I12" s="149" t="s">
        <v>144</v>
      </c>
    </row>
    <row r="13" spans="1:9" ht="13.5">
      <c r="A13" s="150" t="str">
        <f>Orçamento!C14</f>
        <v>1.1</v>
      </c>
      <c r="B13" s="151"/>
      <c r="C13" s="439" t="str">
        <f>Orçamento!D14</f>
        <v>ADMINISTRAÇÃO LOCAL (ENGENHEIRO CIVIL E ENCARREGADO DE OBRAS)</v>
      </c>
      <c r="D13" s="440"/>
      <c r="E13" s="440"/>
      <c r="F13" s="440"/>
      <c r="G13" s="440"/>
      <c r="H13" s="440"/>
      <c r="I13" s="441"/>
    </row>
    <row r="14" spans="1:9" ht="13.5">
      <c r="A14" s="152" t="s">
        <v>232</v>
      </c>
      <c r="B14" s="153" t="s">
        <v>165</v>
      </c>
      <c r="C14" s="154"/>
      <c r="D14" s="155"/>
      <c r="E14" s="155"/>
      <c r="F14" s="156" t="s">
        <v>166</v>
      </c>
      <c r="G14" s="156" t="s">
        <v>2</v>
      </c>
      <c r="H14" s="157" t="s">
        <v>167</v>
      </c>
      <c r="I14" s="158" t="s">
        <v>152</v>
      </c>
    </row>
    <row r="15" spans="1:9" ht="33" customHeight="1">
      <c r="A15" s="159" t="s">
        <v>171</v>
      </c>
      <c r="B15" s="160">
        <v>90777</v>
      </c>
      <c r="C15" s="442" t="s">
        <v>172</v>
      </c>
      <c r="D15" s="443"/>
      <c r="E15" s="443"/>
      <c r="F15" s="161" t="s">
        <v>168</v>
      </c>
      <c r="G15" s="162">
        <f>'Memória de Cálculo'!I20</f>
        <v>15</v>
      </c>
      <c r="H15" s="163">
        <v>95.22</v>
      </c>
      <c r="I15" s="164">
        <f>ROUND((G15*H15),2)</f>
        <v>1428.3</v>
      </c>
    </row>
    <row r="16" spans="1:9" ht="35.25" customHeight="1">
      <c r="A16" s="159" t="s">
        <v>171</v>
      </c>
      <c r="B16" s="160">
        <v>90776</v>
      </c>
      <c r="C16" s="444" t="s">
        <v>173</v>
      </c>
      <c r="D16" s="445"/>
      <c r="E16" s="445"/>
      <c r="F16" s="161" t="s">
        <v>168</v>
      </c>
      <c r="G16" s="162">
        <f>'Memória de Cálculo'!I24</f>
        <v>480</v>
      </c>
      <c r="H16" s="163">
        <v>22.5</v>
      </c>
      <c r="I16" s="164">
        <f>ROUND((G16*H16),2)</f>
        <v>10800</v>
      </c>
    </row>
    <row r="17" spans="1:9" ht="14.25" thickBot="1">
      <c r="A17" s="165"/>
      <c r="B17" s="166"/>
      <c r="C17" s="435" t="s">
        <v>169</v>
      </c>
      <c r="D17" s="435"/>
      <c r="E17" s="435"/>
      <c r="F17" s="435"/>
      <c r="G17" s="167"/>
      <c r="H17" s="168"/>
      <c r="I17" s="169">
        <f>SUM(I15:I16)</f>
        <v>12228.3</v>
      </c>
    </row>
    <row r="18" ht="13.5" thickBot="1"/>
    <row r="19" spans="1:9" ht="13.5">
      <c r="A19" s="436" t="s">
        <v>231</v>
      </c>
      <c r="B19" s="437"/>
      <c r="C19" s="437"/>
      <c r="D19" s="437"/>
      <c r="E19" s="437"/>
      <c r="F19" s="437"/>
      <c r="G19" s="437"/>
      <c r="H19" s="437"/>
      <c r="I19" s="438"/>
    </row>
    <row r="20" spans="1:9" ht="13.5">
      <c r="A20" s="144" t="s">
        <v>0</v>
      </c>
      <c r="B20" s="145"/>
      <c r="C20" s="146" t="s">
        <v>163</v>
      </c>
      <c r="D20" s="147"/>
      <c r="E20" s="147"/>
      <c r="F20" s="147"/>
      <c r="G20" s="147"/>
      <c r="H20" s="148" t="s">
        <v>164</v>
      </c>
      <c r="I20" s="149" t="s">
        <v>209</v>
      </c>
    </row>
    <row r="21" spans="1:9" ht="33.75" customHeight="1">
      <c r="A21" s="150" t="str">
        <f>Orçamento!C51</f>
        <v>5.11</v>
      </c>
      <c r="B21" s="151"/>
      <c r="C21" s="439" t="s">
        <v>239</v>
      </c>
      <c r="D21" s="440"/>
      <c r="E21" s="440"/>
      <c r="F21" s="440"/>
      <c r="G21" s="440"/>
      <c r="H21" s="440"/>
      <c r="I21" s="441"/>
    </row>
    <row r="22" spans="1:9" ht="13.5">
      <c r="A22" s="152" t="s">
        <v>232</v>
      </c>
      <c r="B22" s="153" t="s">
        <v>165</v>
      </c>
      <c r="C22" s="154"/>
      <c r="D22" s="155"/>
      <c r="E22" s="155"/>
      <c r="F22" s="156" t="s">
        <v>166</v>
      </c>
      <c r="G22" s="156" t="s">
        <v>2</v>
      </c>
      <c r="H22" s="157" t="s">
        <v>167</v>
      </c>
      <c r="I22" s="158" t="s">
        <v>152</v>
      </c>
    </row>
    <row r="23" spans="1:9" ht="56.25" customHeight="1">
      <c r="A23" s="159" t="s">
        <v>233</v>
      </c>
      <c r="B23" s="160">
        <v>1575</v>
      </c>
      <c r="C23" s="444" t="s">
        <v>234</v>
      </c>
      <c r="D23" s="445"/>
      <c r="E23" s="445"/>
      <c r="F23" s="161" t="s">
        <v>209</v>
      </c>
      <c r="G23" s="162">
        <v>2</v>
      </c>
      <c r="H23" s="163">
        <v>1.68</v>
      </c>
      <c r="I23" s="164">
        <f>ROUND((G23*H23),2)</f>
        <v>3.36</v>
      </c>
    </row>
    <row r="24" spans="1:9" ht="13.5">
      <c r="A24" s="159" t="s">
        <v>233</v>
      </c>
      <c r="B24" s="160">
        <v>34628</v>
      </c>
      <c r="C24" s="444" t="s">
        <v>235</v>
      </c>
      <c r="D24" s="445"/>
      <c r="E24" s="445"/>
      <c r="F24" s="161" t="s">
        <v>209</v>
      </c>
      <c r="G24" s="162">
        <v>1</v>
      </c>
      <c r="H24" s="163">
        <v>72.41</v>
      </c>
      <c r="I24" s="164">
        <f>ROUND((G24*H24),2)</f>
        <v>72.41</v>
      </c>
    </row>
    <row r="25" spans="1:9" ht="34.5" customHeight="1">
      <c r="A25" s="159" t="s">
        <v>171</v>
      </c>
      <c r="B25" s="160" t="s">
        <v>236</v>
      </c>
      <c r="C25" s="444" t="s">
        <v>237</v>
      </c>
      <c r="D25" s="445"/>
      <c r="E25" s="445"/>
      <c r="F25" s="161" t="s">
        <v>168</v>
      </c>
      <c r="G25" s="162">
        <v>0.38</v>
      </c>
      <c r="H25" s="163">
        <v>17.75</v>
      </c>
      <c r="I25" s="164">
        <f>ROUND((G25*H25),2)</f>
        <v>6.75</v>
      </c>
    </row>
    <row r="26" spans="1:9" ht="35.25" customHeight="1">
      <c r="A26" s="159" t="s">
        <v>171</v>
      </c>
      <c r="B26" s="160">
        <v>88264</v>
      </c>
      <c r="C26" s="444" t="s">
        <v>238</v>
      </c>
      <c r="D26" s="445"/>
      <c r="E26" s="445"/>
      <c r="F26" s="161" t="s">
        <v>168</v>
      </c>
      <c r="G26" s="162">
        <v>0.38</v>
      </c>
      <c r="H26" s="163">
        <v>21.52</v>
      </c>
      <c r="I26" s="164">
        <f>ROUND((G26*H26),2)</f>
        <v>8.18</v>
      </c>
    </row>
    <row r="27" spans="1:9" ht="14.25" thickBot="1">
      <c r="A27" s="165"/>
      <c r="B27" s="166"/>
      <c r="C27" s="435" t="s">
        <v>169</v>
      </c>
      <c r="D27" s="435"/>
      <c r="E27" s="435"/>
      <c r="F27" s="435"/>
      <c r="G27" s="224"/>
      <c r="H27" s="168"/>
      <c r="I27" s="169">
        <f>SUM(I23:I26)</f>
        <v>90.69999999999999</v>
      </c>
    </row>
  </sheetData>
  <sheetProtection/>
  <mergeCells count="21">
    <mergeCell ref="A19:I19"/>
    <mergeCell ref="C21:I21"/>
    <mergeCell ref="C23:E23"/>
    <mergeCell ref="C26:E26"/>
    <mergeCell ref="C27:F27"/>
    <mergeCell ref="C24:E24"/>
    <mergeCell ref="C25:E25"/>
    <mergeCell ref="B7:I7"/>
    <mergeCell ref="B8:I8"/>
    <mergeCell ref="B1:I1"/>
    <mergeCell ref="B2:I2"/>
    <mergeCell ref="B3:I3"/>
    <mergeCell ref="B4:I4"/>
    <mergeCell ref="B5:I5"/>
    <mergeCell ref="B6:I6"/>
    <mergeCell ref="C17:F17"/>
    <mergeCell ref="A11:I11"/>
    <mergeCell ref="C13:I13"/>
    <mergeCell ref="C15:E15"/>
    <mergeCell ref="C16:E16"/>
    <mergeCell ref="A10:I10"/>
  </mergeCells>
  <printOptions/>
  <pageMargins left="0.7" right="0.7" top="0.75" bottom="0.75" header="0.3" footer="0.3"/>
  <pageSetup fitToHeight="0" fitToWidth="1" horizontalDpi="600" verticalDpi="600" orientation="portrait" paperSize="9" scale="70" r:id="rId3"/>
  <ignoredErrors>
    <ignoredError sqref="B25" numberStoredAsText="1"/>
  </ignoredErrors>
  <legacyDrawing r:id="rId2"/>
  <oleObjects>
    <oleObject progId="Word.Document.12" shapeId="15042861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9"/>
  <sheetViews>
    <sheetView view="pageBreakPreview" zoomScaleSheetLayoutView="100" zoomScalePageLayoutView="0" workbookViewId="0" topLeftCell="A1">
      <selection activeCell="P9" sqref="P9"/>
    </sheetView>
  </sheetViews>
  <sheetFormatPr defaultColWidth="9.140625" defaultRowHeight="12.75"/>
  <cols>
    <col min="1" max="1" width="10.140625" style="7" customWidth="1"/>
    <col min="2" max="2" width="18.57421875" style="7" customWidth="1"/>
    <col min="3" max="3" width="11.140625" style="7" customWidth="1"/>
    <col min="4" max="4" width="7.57421875" style="7" customWidth="1"/>
    <col min="5" max="5" width="11.7109375" style="7" customWidth="1"/>
    <col min="6" max="6" width="7.00390625" style="7" customWidth="1"/>
    <col min="7" max="7" width="9.28125" style="7" customWidth="1"/>
    <col min="8" max="8" width="6.421875" style="7" customWidth="1"/>
    <col min="9" max="9" width="9.421875" style="7" customWidth="1"/>
    <col min="10" max="10" width="8.140625" style="7" customWidth="1"/>
    <col min="11" max="11" width="8.57421875" style="7" customWidth="1"/>
    <col min="12" max="12" width="6.421875" style="7" customWidth="1"/>
    <col min="13" max="13" width="22.8515625" style="7" customWidth="1"/>
    <col min="14" max="20" width="6.421875" style="7" customWidth="1"/>
    <col min="21" max="16384" width="9.140625" style="7" customWidth="1"/>
  </cols>
  <sheetData>
    <row r="1" spans="1:13" ht="13.5">
      <c r="A1" s="416" t="str">
        <f>Cronograma!A1</f>
        <v>OBRA: </v>
      </c>
      <c r="B1" s="416"/>
      <c r="C1" s="416"/>
      <c r="D1" s="464" t="str">
        <f>Cronograma!B1</f>
        <v>CONSTRUÇÃO DE UMA ARENA ESPORTIVA</v>
      </c>
      <c r="E1" s="455"/>
      <c r="F1" s="455"/>
      <c r="G1" s="455"/>
      <c r="H1" s="455"/>
      <c r="I1" s="455"/>
      <c r="J1" s="455"/>
      <c r="K1" s="455"/>
      <c r="L1" s="455"/>
      <c r="M1" s="456"/>
    </row>
    <row r="2" spans="1:13" ht="15">
      <c r="A2" s="416" t="str">
        <f>Cronograma!A2</f>
        <v>CONVENENTE:  </v>
      </c>
      <c r="B2" s="416"/>
      <c r="C2" s="416"/>
      <c r="D2" s="464" t="str">
        <f>Cronograma!B2</f>
        <v>SECRETARIA MUNICIPAL DE EDUCAÇÃO DE OUREM</v>
      </c>
      <c r="E2" s="455"/>
      <c r="F2" s="455"/>
      <c r="G2" s="455"/>
      <c r="H2" s="455"/>
      <c r="I2" s="455"/>
      <c r="J2" s="455"/>
      <c r="K2" s="455"/>
      <c r="L2" s="455"/>
      <c r="M2" s="456"/>
    </row>
    <row r="3" spans="1:13" ht="15">
      <c r="A3" s="416" t="str">
        <f>Cronograma!A3</f>
        <v>DATA: </v>
      </c>
      <c r="B3" s="416"/>
      <c r="C3" s="416"/>
      <c r="D3" s="464" t="str">
        <f>Cronograma!B3</f>
        <v>CONSTRUÇÃO DE UMA ARENA ESPORTIVA</v>
      </c>
      <c r="E3" s="455"/>
      <c r="F3" s="455"/>
      <c r="G3" s="455"/>
      <c r="H3" s="455"/>
      <c r="I3" s="455"/>
      <c r="J3" s="455"/>
      <c r="K3" s="455"/>
      <c r="L3" s="455"/>
      <c r="M3" s="456"/>
    </row>
    <row r="4" spans="1:13" ht="15">
      <c r="A4" s="416" t="str">
        <f>Cronograma!A4</f>
        <v>LOCAL: </v>
      </c>
      <c r="B4" s="416"/>
      <c r="C4" s="416"/>
      <c r="D4" s="464" t="str">
        <f>Cronograma!B4</f>
        <v>VILA DO MONTEVIDÉO - ZONA RURAL DO MUNICÍPIO DE OURÉM - PARÁ</v>
      </c>
      <c r="E4" s="455"/>
      <c r="F4" s="455"/>
      <c r="G4" s="455"/>
      <c r="H4" s="455"/>
      <c r="I4" s="455"/>
      <c r="J4" s="455"/>
      <c r="K4" s="455"/>
      <c r="L4" s="455"/>
      <c r="M4" s="456"/>
    </row>
    <row r="5" spans="1:13" ht="15">
      <c r="A5" s="416" t="str">
        <f>Cronograma!A5</f>
        <v>VALOR: </v>
      </c>
      <c r="B5" s="416"/>
      <c r="C5" s="416"/>
      <c r="D5" s="465">
        <f>Cronograma!B5</f>
        <v>328717.89</v>
      </c>
      <c r="E5" s="466"/>
      <c r="F5" s="466"/>
      <c r="G5" s="466"/>
      <c r="H5" s="466"/>
      <c r="I5" s="466"/>
      <c r="J5" s="466"/>
      <c r="K5" s="466"/>
      <c r="L5" s="466"/>
      <c r="M5" s="467"/>
    </row>
    <row r="6" spans="1:13" ht="15">
      <c r="A6" s="416" t="str">
        <f>Cronograma!A6</f>
        <v>BDI</v>
      </c>
      <c r="B6" s="416"/>
      <c r="C6" s="416"/>
      <c r="D6" s="464">
        <f>Cronograma!B6</f>
        <v>0.288198648345423</v>
      </c>
      <c r="E6" s="455"/>
      <c r="F6" s="455"/>
      <c r="G6" s="455"/>
      <c r="H6" s="455"/>
      <c r="I6" s="455"/>
      <c r="J6" s="455"/>
      <c r="K6" s="455"/>
      <c r="L6" s="455"/>
      <c r="M6" s="456"/>
    </row>
    <row r="7" spans="1:13" ht="15">
      <c r="A7" s="416" t="str">
        <f>Cronograma!A7</f>
        <v>REFERÊNCIA:</v>
      </c>
      <c r="B7" s="416"/>
      <c r="C7" s="416"/>
      <c r="D7" s="464" t="str">
        <f>Cronograma!B7</f>
        <v>SEDOP SETEMBRO 2022 / SINAPI SETEMBRO 2022</v>
      </c>
      <c r="E7" s="455"/>
      <c r="F7" s="455"/>
      <c r="G7" s="455"/>
      <c r="H7" s="455"/>
      <c r="I7" s="455"/>
      <c r="J7" s="455"/>
      <c r="K7" s="455"/>
      <c r="L7" s="455"/>
      <c r="M7" s="456"/>
    </row>
    <row r="8" spans="1:13" ht="15">
      <c r="A8" s="416" t="str">
        <f>Cronograma!A8</f>
        <v>RESPONSÁVEL TÉCNICO:</v>
      </c>
      <c r="B8" s="416"/>
      <c r="C8" s="416"/>
      <c r="D8" s="464" t="str">
        <f>Cronograma!B8</f>
        <v>Patrick Sidrim</v>
      </c>
      <c r="E8" s="455"/>
      <c r="F8" s="455"/>
      <c r="G8" s="455"/>
      <c r="H8" s="455"/>
      <c r="I8" s="455"/>
      <c r="J8" s="455"/>
      <c r="K8" s="455"/>
      <c r="L8" s="455"/>
      <c r="M8" s="456"/>
    </row>
    <row r="9" spans="1:13" ht="12.75" customHeight="1">
      <c r="A9" s="406" t="s">
        <v>121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</row>
    <row r="10" spans="1:13" ht="13.5" customHeight="1">
      <c r="A10" s="457"/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</row>
    <row r="11" spans="1:13" ht="13.5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ht="12.75">
      <c r="A12" s="97" t="str">
        <f>Orçamento!C13</f>
        <v>1</v>
      </c>
      <c r="B12" s="98" t="str">
        <f>Orçamento!D13</f>
        <v>ADMINISTRAÇÃO LOCAL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3" ht="13.5" customHeight="1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ht="13.5" customHeight="1">
      <c r="A14" s="92" t="str">
        <f>Orçamento!C14</f>
        <v>1.1</v>
      </c>
      <c r="B14" s="14" t="str">
        <f>Orçamento!D14</f>
        <v>ADMINISTRAÇÃO LOCAL (ENGENHEIRO CIVIL E ENCARREGADO DE OBRAS)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13" ht="13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1:13" ht="13.5" customHeight="1">
      <c r="A16" s="172"/>
      <c r="B16" s="173" t="s">
        <v>174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</row>
    <row r="17" spans="1:13" ht="13.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1:13" ht="13.5" customHeight="1">
      <c r="A18" s="172"/>
      <c r="B18" s="176" t="str">
        <f>CPU!C15</f>
        <v>ENGENHEIRO CIVIL DE OBRA JUNIOR COM ENCARGOS COMPLEMENTARES</v>
      </c>
      <c r="C18" s="171"/>
      <c r="D18" s="171"/>
      <c r="E18" s="171"/>
      <c r="F18" s="171"/>
      <c r="G18" s="171"/>
      <c r="H18" s="171"/>
      <c r="I18" s="171"/>
      <c r="J18" s="177"/>
      <c r="K18" s="172"/>
      <c r="L18" s="172"/>
      <c r="M18" s="172"/>
    </row>
    <row r="19" spans="1:13" ht="13.5" customHeight="1">
      <c r="A19" s="172"/>
      <c r="B19" s="178"/>
      <c r="C19" s="67" t="s">
        <v>175</v>
      </c>
      <c r="D19" s="67"/>
      <c r="E19" s="67" t="s">
        <v>176</v>
      </c>
      <c r="F19" s="67"/>
      <c r="G19" s="67" t="s">
        <v>177</v>
      </c>
      <c r="H19" s="172"/>
      <c r="I19" s="172"/>
      <c r="J19" s="179"/>
      <c r="K19" s="172"/>
      <c r="L19" s="172"/>
      <c r="M19" s="172"/>
    </row>
    <row r="20" spans="1:13" ht="13.5" customHeight="1">
      <c r="A20" s="172"/>
      <c r="B20" s="178" t="s">
        <v>30</v>
      </c>
      <c r="C20" s="175">
        <v>0.5</v>
      </c>
      <c r="D20" s="175" t="s">
        <v>31</v>
      </c>
      <c r="E20" s="175">
        <v>10</v>
      </c>
      <c r="F20" s="175" t="s">
        <v>31</v>
      </c>
      <c r="G20" s="175">
        <v>3</v>
      </c>
      <c r="H20" s="174" t="s">
        <v>70</v>
      </c>
      <c r="I20" s="175">
        <f>ROUND((C20*E20*G20),2)</f>
        <v>15</v>
      </c>
      <c r="J20" s="180" t="s">
        <v>168</v>
      </c>
      <c r="K20" s="172"/>
      <c r="L20" s="172"/>
      <c r="M20" s="172"/>
    </row>
    <row r="21" spans="1:13" ht="13.5" customHeight="1">
      <c r="A21" s="172"/>
      <c r="B21" s="178"/>
      <c r="C21" s="172"/>
      <c r="D21" s="172"/>
      <c r="E21" s="172"/>
      <c r="F21" s="172"/>
      <c r="G21" s="172"/>
      <c r="H21" s="172"/>
      <c r="I21" s="172"/>
      <c r="J21" s="179"/>
      <c r="K21" s="172"/>
      <c r="L21" s="172"/>
      <c r="M21" s="172"/>
    </row>
    <row r="22" spans="1:13" ht="13.5" customHeight="1">
      <c r="A22" s="172"/>
      <c r="B22" s="181" t="str">
        <f>CPU!C16</f>
        <v>ENCARREGADO GERAL COM ENCARGOS COMPLEMENTARES</v>
      </c>
      <c r="C22" s="172"/>
      <c r="D22" s="172"/>
      <c r="E22" s="172"/>
      <c r="F22" s="172"/>
      <c r="G22" s="172"/>
      <c r="H22" s="172"/>
      <c r="I22" s="172"/>
      <c r="J22" s="179"/>
      <c r="K22" s="172"/>
      <c r="L22" s="172"/>
      <c r="M22" s="172"/>
    </row>
    <row r="23" spans="1:13" ht="13.5" customHeight="1">
      <c r="A23" s="172"/>
      <c r="B23" s="178"/>
      <c r="C23" s="67" t="s">
        <v>175</v>
      </c>
      <c r="D23" s="67"/>
      <c r="E23" s="67" t="s">
        <v>176</v>
      </c>
      <c r="F23" s="67"/>
      <c r="G23" s="67" t="s">
        <v>177</v>
      </c>
      <c r="H23" s="172"/>
      <c r="I23" s="172"/>
      <c r="J23" s="179"/>
      <c r="K23" s="172"/>
      <c r="L23" s="172"/>
      <c r="M23" s="172"/>
    </row>
    <row r="24" spans="1:13" ht="13.5" customHeight="1">
      <c r="A24" s="172"/>
      <c r="B24" s="182" t="s">
        <v>30</v>
      </c>
      <c r="C24" s="183">
        <v>8</v>
      </c>
      <c r="D24" s="183" t="s">
        <v>31</v>
      </c>
      <c r="E24" s="183">
        <v>20</v>
      </c>
      <c r="F24" s="183" t="s">
        <v>31</v>
      </c>
      <c r="G24" s="183">
        <f>G20</f>
        <v>3</v>
      </c>
      <c r="H24" s="184" t="s">
        <v>70</v>
      </c>
      <c r="I24" s="183">
        <f>ROUND((C24*E24*G24),2)</f>
        <v>480</v>
      </c>
      <c r="J24" s="185" t="s">
        <v>168</v>
      </c>
      <c r="K24" s="172"/>
      <c r="L24" s="172"/>
      <c r="M24" s="172"/>
    </row>
    <row r="25" spans="1:13" ht="13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 ht="13.5" customHeight="1">
      <c r="A26" s="172"/>
      <c r="B26" s="198" t="s">
        <v>30</v>
      </c>
      <c r="C26" s="199">
        <v>1</v>
      </c>
      <c r="D26" s="200" t="s">
        <v>144</v>
      </c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3" ht="13.5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3" ht="12.75">
      <c r="A28" s="97" t="str">
        <f>Orçamento!C16</f>
        <v>2</v>
      </c>
      <c r="B28" s="98" t="str">
        <f>Orçamento!D16</f>
        <v>SERVIÇOS INICIAIS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</row>
    <row r="29" spans="1:2" ht="12.75">
      <c r="A29" s="91"/>
      <c r="B29" s="14"/>
    </row>
    <row r="30" spans="1:2" ht="12.75">
      <c r="A30" s="92" t="str">
        <f>Orçamento!C17</f>
        <v>2.1</v>
      </c>
      <c r="B30" s="14" t="str">
        <f>Orçamento!D17</f>
        <v>Locação da obra a trena</v>
      </c>
    </row>
    <row r="31" spans="1:11" ht="12.75">
      <c r="A31" s="92"/>
      <c r="C31" s="449" t="s">
        <v>84</v>
      </c>
      <c r="D31" s="449"/>
      <c r="E31" s="449"/>
      <c r="G31" s="96" t="s">
        <v>85</v>
      </c>
      <c r="H31" s="96"/>
      <c r="I31" s="96"/>
      <c r="K31" s="7" t="s">
        <v>186</v>
      </c>
    </row>
    <row r="32" spans="1:11" ht="12.75">
      <c r="A32" s="92"/>
      <c r="B32" s="17" t="s">
        <v>187</v>
      </c>
      <c r="C32" s="452">
        <f>20.3+2.4</f>
        <v>22.7</v>
      </c>
      <c r="D32" s="452"/>
      <c r="E32" s="452"/>
      <c r="F32" s="17" t="s">
        <v>31</v>
      </c>
      <c r="G32" s="452">
        <f>35.3+2.4</f>
        <v>37.699999999999996</v>
      </c>
      <c r="H32" s="452"/>
      <c r="I32" s="452"/>
      <c r="J32" s="17" t="s">
        <v>70</v>
      </c>
      <c r="K32" s="16">
        <f>ROUND((C32*G32),2)</f>
        <v>855.79</v>
      </c>
    </row>
    <row r="33" spans="1:5" ht="12.75">
      <c r="A33" s="92"/>
      <c r="B33" s="15"/>
      <c r="C33" s="16"/>
      <c r="D33" s="17"/>
      <c r="E33" s="16"/>
    </row>
    <row r="34" spans="1:4" ht="12.75">
      <c r="A34" s="92"/>
      <c r="B34" s="198" t="s">
        <v>185</v>
      </c>
      <c r="C34" s="199">
        <f>K32</f>
        <v>855.79</v>
      </c>
      <c r="D34" s="200" t="s">
        <v>4</v>
      </c>
    </row>
    <row r="35" spans="1:2" ht="12.75">
      <c r="A35" s="92"/>
      <c r="B35" s="15"/>
    </row>
    <row r="36" spans="1:3" s="71" customFormat="1" ht="12.75">
      <c r="A36" s="95"/>
      <c r="B36" s="72"/>
      <c r="C36" s="84"/>
    </row>
    <row r="37" spans="1:3" s="71" customFormat="1" ht="12.75">
      <c r="A37" s="95" t="str">
        <f>Orçamento!C18</f>
        <v>2.2</v>
      </c>
      <c r="B37" s="101" t="str">
        <f>Orçamento!D18</f>
        <v>Licenças e taxas da obra (até 100m2)</v>
      </c>
      <c r="C37" s="84"/>
    </row>
    <row r="38" spans="1:3" s="71" customFormat="1" ht="12.75">
      <c r="A38" s="95"/>
      <c r="B38" s="85"/>
      <c r="C38" s="84"/>
    </row>
    <row r="39" spans="1:4" ht="12.75">
      <c r="A39" s="92"/>
      <c r="B39" s="198" t="s">
        <v>188</v>
      </c>
      <c r="C39" s="199">
        <v>1</v>
      </c>
      <c r="D39" s="200" t="s">
        <v>72</v>
      </c>
    </row>
    <row r="40" spans="1:3" s="71" customFormat="1" ht="12.75">
      <c r="A40" s="95"/>
      <c r="B40" s="72"/>
      <c r="C40" s="84"/>
    </row>
    <row r="41" spans="1:3" s="71" customFormat="1" ht="12.75">
      <c r="A41" s="95" t="str">
        <f>Orçamento!C19</f>
        <v>2.3</v>
      </c>
      <c r="B41" s="101" t="str">
        <f>Orçamento!D19</f>
        <v>Barracão de madeira/Almoxarifado</v>
      </c>
      <c r="C41" s="84"/>
    </row>
    <row r="42" spans="1:3" s="71" customFormat="1" ht="12.75">
      <c r="A42" s="95"/>
      <c r="B42" s="72"/>
      <c r="C42" s="84"/>
    </row>
    <row r="43" spans="1:7" s="71" customFormat="1" ht="12.75">
      <c r="A43" s="95"/>
      <c r="C43" s="119" t="s">
        <v>82</v>
      </c>
      <c r="D43" s="94"/>
      <c r="E43" s="94" t="s">
        <v>83</v>
      </c>
      <c r="G43" s="7" t="s">
        <v>186</v>
      </c>
    </row>
    <row r="44" spans="1:7" s="71" customFormat="1" ht="12.75">
      <c r="A44" s="95"/>
      <c r="B44" s="119" t="s">
        <v>152</v>
      </c>
      <c r="C44" s="119">
        <v>3</v>
      </c>
      <c r="D44" s="94" t="s">
        <v>31</v>
      </c>
      <c r="E44" s="93">
        <v>6</v>
      </c>
      <c r="F44" s="94" t="s">
        <v>70</v>
      </c>
      <c r="G44" s="93">
        <f>ROUND((C44*E44),2)</f>
        <v>18</v>
      </c>
    </row>
    <row r="45" spans="1:3" s="71" customFormat="1" ht="12.75">
      <c r="A45" s="95"/>
      <c r="B45" s="119"/>
      <c r="C45" s="84"/>
    </row>
    <row r="46" spans="1:4" s="71" customFormat="1" ht="12.75">
      <c r="A46" s="95"/>
      <c r="B46" s="198" t="s">
        <v>189</v>
      </c>
      <c r="C46" s="199">
        <f>G44</f>
        <v>18</v>
      </c>
      <c r="D46" s="200" t="s">
        <v>4</v>
      </c>
    </row>
    <row r="47" spans="1:3" s="71" customFormat="1" ht="12.75">
      <c r="A47" s="95"/>
      <c r="B47" s="72"/>
      <c r="C47" s="84"/>
    </row>
    <row r="48" spans="1:13" ht="12.75">
      <c r="A48" s="102" t="str">
        <f>Orçamento!C21</f>
        <v>3</v>
      </c>
      <c r="B48" s="450" t="str">
        <f>Orçamento!D21</f>
        <v>ALVENARIA</v>
      </c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1"/>
    </row>
    <row r="49" spans="1:3" s="71" customFormat="1" ht="12.75">
      <c r="A49" s="95"/>
      <c r="B49" s="72"/>
      <c r="C49" s="84"/>
    </row>
    <row r="50" spans="1:2" ht="12.75">
      <c r="A50" s="92" t="str">
        <f>Orçamento!C22</f>
        <v>3.1</v>
      </c>
      <c r="B50" s="14" t="str">
        <f>Orçamento!D22</f>
        <v>Escavação manual ate 1.50m de profundidade</v>
      </c>
    </row>
    <row r="51" spans="1:2" ht="12.75">
      <c r="A51" s="92"/>
      <c r="B51" s="18"/>
    </row>
    <row r="52" spans="1:2" ht="12.75">
      <c r="A52" s="92"/>
      <c r="B52" s="18" t="s">
        <v>199</v>
      </c>
    </row>
    <row r="53" spans="1:11" ht="12.75">
      <c r="A53" s="92"/>
      <c r="B53" s="18"/>
      <c r="C53" s="17" t="s">
        <v>82</v>
      </c>
      <c r="D53" s="16"/>
      <c r="E53" s="17" t="s">
        <v>83</v>
      </c>
      <c r="F53" s="16"/>
      <c r="G53" s="17" t="s">
        <v>82</v>
      </c>
      <c r="H53" s="16"/>
      <c r="I53" s="17" t="s">
        <v>83</v>
      </c>
      <c r="K53" s="16"/>
    </row>
    <row r="54" spans="1:12" ht="12.75">
      <c r="A54" s="92"/>
      <c r="B54" s="17" t="s">
        <v>30</v>
      </c>
      <c r="C54" s="16">
        <v>20</v>
      </c>
      <c r="D54" s="17" t="s">
        <v>71</v>
      </c>
      <c r="E54" s="16">
        <v>35</v>
      </c>
      <c r="F54" s="17" t="s">
        <v>71</v>
      </c>
      <c r="G54" s="16">
        <v>20</v>
      </c>
      <c r="H54" s="17" t="s">
        <v>71</v>
      </c>
      <c r="I54" s="16">
        <v>35</v>
      </c>
      <c r="J54" s="17" t="s">
        <v>70</v>
      </c>
      <c r="K54" s="7">
        <f>C54+E54+G54+I54</f>
        <v>110</v>
      </c>
      <c r="L54" s="17" t="s">
        <v>87</v>
      </c>
    </row>
    <row r="55" spans="1:2" ht="12.75">
      <c r="A55" s="92"/>
      <c r="B55" s="18"/>
    </row>
    <row r="56" spans="1:2" ht="12.75">
      <c r="A56" s="92"/>
      <c r="B56" s="18" t="s">
        <v>88</v>
      </c>
    </row>
    <row r="57" spans="1:9" ht="12.75">
      <c r="A57" s="92"/>
      <c r="B57" s="18"/>
      <c r="C57" s="17" t="s">
        <v>199</v>
      </c>
      <c r="E57" s="17" t="s">
        <v>197</v>
      </c>
      <c r="G57" s="17" t="s">
        <v>198</v>
      </c>
      <c r="I57" s="17" t="s">
        <v>190</v>
      </c>
    </row>
    <row r="58" spans="1:9" ht="12.75">
      <c r="A58" s="92"/>
      <c r="B58" s="17" t="s">
        <v>89</v>
      </c>
      <c r="C58" s="16">
        <f>K54</f>
        <v>110</v>
      </c>
      <c r="D58" s="17" t="s">
        <v>31</v>
      </c>
      <c r="E58" s="16">
        <v>0.35</v>
      </c>
      <c r="F58" s="17" t="s">
        <v>31</v>
      </c>
      <c r="G58" s="16">
        <v>0.45</v>
      </c>
      <c r="H58" s="17" t="s">
        <v>70</v>
      </c>
      <c r="I58" s="16">
        <f>ROUND((C58*E58*G58),2)</f>
        <v>17.33</v>
      </c>
    </row>
    <row r="59" spans="1:7" ht="12.75">
      <c r="A59" s="92"/>
      <c r="B59" s="15"/>
      <c r="C59" s="16"/>
      <c r="D59" s="17"/>
      <c r="E59" s="16"/>
      <c r="F59" s="17"/>
      <c r="G59" s="16"/>
    </row>
    <row r="60" spans="1:4" ht="12.75">
      <c r="A60" s="92"/>
      <c r="B60" s="198" t="s">
        <v>191</v>
      </c>
      <c r="C60" s="199">
        <f>I58</f>
        <v>17.33</v>
      </c>
      <c r="D60" s="200" t="s">
        <v>6</v>
      </c>
    </row>
    <row r="61" ht="12.75">
      <c r="A61" s="92"/>
    </row>
    <row r="62" spans="1:2" ht="12.75">
      <c r="A62" s="92" t="str">
        <f>Orçamento!C23</f>
        <v>3.2</v>
      </c>
      <c r="B62" s="14" t="str">
        <f>Orçamento!D23</f>
        <v>LASTRO DE CONCRETO MAGRO, APLICADO EM BLOCOS DE COROAMENTO OU SAPATAS, ESPESSURA DE 5 CM. AF_08/2017</v>
      </c>
    </row>
    <row r="63" ht="12.75">
      <c r="A63" s="92"/>
    </row>
    <row r="64" spans="1:7" ht="12.75">
      <c r="A64" s="92"/>
      <c r="C64" s="212" t="s">
        <v>199</v>
      </c>
      <c r="D64" s="213"/>
      <c r="E64" s="212" t="s">
        <v>229</v>
      </c>
      <c r="F64" s="213"/>
      <c r="G64" s="212" t="s">
        <v>186</v>
      </c>
    </row>
    <row r="65" spans="1:7" ht="12.75">
      <c r="A65" s="92"/>
      <c r="B65" s="18" t="s">
        <v>228</v>
      </c>
      <c r="C65" s="213">
        <f>C58</f>
        <v>110</v>
      </c>
      <c r="D65" s="212" t="s">
        <v>31</v>
      </c>
      <c r="E65" s="213">
        <f>0.3+0.1</f>
        <v>0.4</v>
      </c>
      <c r="F65" s="212" t="s">
        <v>70</v>
      </c>
      <c r="G65" s="213">
        <f>ROUND(C65*E65,2)</f>
        <v>44</v>
      </c>
    </row>
    <row r="66" ht="12.75">
      <c r="A66" s="92"/>
    </row>
    <row r="67" spans="1:4" ht="12.75">
      <c r="A67" s="92"/>
      <c r="B67" s="198" t="s">
        <v>152</v>
      </c>
      <c r="C67" s="199">
        <f>G65</f>
        <v>44</v>
      </c>
      <c r="D67" s="200" t="s">
        <v>4</v>
      </c>
    </row>
    <row r="68" ht="12.75">
      <c r="A68" s="92"/>
    </row>
    <row r="69" spans="1:13" ht="26.25" customHeight="1">
      <c r="A69" s="201" t="str">
        <f>Orçamento!C24</f>
        <v>3.3</v>
      </c>
      <c r="B69" s="459" t="str">
        <f>Orçamento!D24</f>
        <v>FABRICAÇÃO, MONTAGEM E DESMONTAGEM DE FÔRMA PARA VIGA BALDRAME, EM MADEIRA SERRADA, E=25 MM, 4 UTILIZAÇÕES. AF_06/2017</v>
      </c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</row>
    <row r="70" ht="12.75">
      <c r="A70" s="92"/>
    </row>
    <row r="71" spans="1:7" ht="12.75">
      <c r="A71" s="92"/>
      <c r="B71" s="16"/>
      <c r="C71" s="17" t="s">
        <v>90</v>
      </c>
      <c r="D71" s="16"/>
      <c r="E71" s="17" t="s">
        <v>196</v>
      </c>
      <c r="F71" s="16"/>
      <c r="G71" s="463" t="s">
        <v>186</v>
      </c>
    </row>
    <row r="72" spans="1:7" ht="12.75">
      <c r="A72" s="92"/>
      <c r="B72" s="17" t="s">
        <v>152</v>
      </c>
      <c r="C72" s="16">
        <f>(0.3+0.4)*2</f>
        <v>1.4</v>
      </c>
      <c r="D72" s="17" t="s">
        <v>31</v>
      </c>
      <c r="E72" s="16">
        <f>C58</f>
        <v>110</v>
      </c>
      <c r="F72" s="17" t="s">
        <v>70</v>
      </c>
      <c r="G72" s="463">
        <f>ROUND(C72*E72,2)</f>
        <v>154</v>
      </c>
    </row>
    <row r="73" ht="12.75">
      <c r="A73" s="92"/>
    </row>
    <row r="74" spans="1:13" ht="12.75">
      <c r="A74" s="201" t="str">
        <f>Orçamento!C25</f>
        <v>3.4</v>
      </c>
      <c r="B74" s="459" t="str">
        <f>Orçamento!D25</f>
        <v>CONCRETO CICLÓPICO FCK = 15MPA, 30% PEDRA DE MÃO EM VOLUME REAL, INCLUSIVE LANÇAMENTO. AF_05/2021</v>
      </c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</row>
    <row r="75" ht="12.75">
      <c r="A75" s="92"/>
    </row>
    <row r="76" spans="1:2" ht="12.75">
      <c r="A76" s="92"/>
      <c r="B76" s="18" t="s">
        <v>199</v>
      </c>
    </row>
    <row r="77" spans="1:11" ht="12.75">
      <c r="A77" s="92"/>
      <c r="B77" s="18"/>
      <c r="C77" s="17" t="s">
        <v>82</v>
      </c>
      <c r="D77" s="16"/>
      <c r="E77" s="17" t="s">
        <v>83</v>
      </c>
      <c r="F77" s="16"/>
      <c r="G77" s="17" t="s">
        <v>82</v>
      </c>
      <c r="H77" s="16"/>
      <c r="I77" s="17" t="s">
        <v>83</v>
      </c>
      <c r="K77" s="16"/>
    </row>
    <row r="78" spans="1:12" ht="12.75">
      <c r="A78" s="92"/>
      <c r="B78" s="17" t="s">
        <v>30</v>
      </c>
      <c r="C78" s="16">
        <f aca="true" t="shared" si="0" ref="C78:I78">C54</f>
        <v>20</v>
      </c>
      <c r="D78" s="16" t="str">
        <f t="shared" si="0"/>
        <v>+</v>
      </c>
      <c r="E78" s="16">
        <f t="shared" si="0"/>
        <v>35</v>
      </c>
      <c r="F78" s="16" t="str">
        <f t="shared" si="0"/>
        <v>+</v>
      </c>
      <c r="G78" s="16">
        <f t="shared" si="0"/>
        <v>20</v>
      </c>
      <c r="H78" s="16" t="str">
        <f t="shared" si="0"/>
        <v>+</v>
      </c>
      <c r="I78" s="16">
        <f t="shared" si="0"/>
        <v>35</v>
      </c>
      <c r="J78" s="17" t="s">
        <v>70</v>
      </c>
      <c r="K78" s="7">
        <f>C78+E78+G78+I78</f>
        <v>110</v>
      </c>
      <c r="L78" s="17" t="s">
        <v>87</v>
      </c>
    </row>
    <row r="79" ht="12.75">
      <c r="A79" s="92"/>
    </row>
    <row r="80" spans="1:9" ht="12.75">
      <c r="A80" s="92"/>
      <c r="B80" s="16"/>
      <c r="C80" s="18" t="s">
        <v>199</v>
      </c>
      <c r="D80" s="16"/>
      <c r="E80" s="17" t="s">
        <v>91</v>
      </c>
      <c r="F80" s="16"/>
      <c r="G80" s="17" t="s">
        <v>86</v>
      </c>
      <c r="I80" s="17" t="s">
        <v>202</v>
      </c>
    </row>
    <row r="81" spans="1:10" ht="12.75">
      <c r="A81" s="92"/>
      <c r="B81" s="17" t="s">
        <v>33</v>
      </c>
      <c r="C81" s="16">
        <f>K78</f>
        <v>110</v>
      </c>
      <c r="D81" s="17" t="s">
        <v>31</v>
      </c>
      <c r="E81" s="16">
        <v>0.3</v>
      </c>
      <c r="F81" s="17" t="s">
        <v>31</v>
      </c>
      <c r="G81" s="16">
        <v>0.4</v>
      </c>
      <c r="H81" s="17" t="s">
        <v>70</v>
      </c>
      <c r="I81" s="16">
        <f>ROUND((C81*E81*G81),2)</f>
        <v>13.2</v>
      </c>
      <c r="J81" s="17" t="s">
        <v>6</v>
      </c>
    </row>
    <row r="82" spans="1:7" ht="12.75">
      <c r="A82" s="92"/>
      <c r="B82" s="15"/>
      <c r="C82" s="16"/>
      <c r="D82" s="17"/>
      <c r="E82" s="16"/>
      <c r="F82" s="17"/>
      <c r="G82" s="16"/>
    </row>
    <row r="83" spans="1:4" ht="12.75">
      <c r="A83" s="92"/>
      <c r="B83" s="198" t="s">
        <v>191</v>
      </c>
      <c r="C83" s="199">
        <f>I81</f>
        <v>13.2</v>
      </c>
      <c r="D83" s="200" t="s">
        <v>6</v>
      </c>
    </row>
    <row r="84" ht="12.75">
      <c r="A84" s="92"/>
    </row>
    <row r="85" spans="1:9" ht="12.75">
      <c r="A85" s="92" t="str">
        <f>Orçamento!C26</f>
        <v>3.5</v>
      </c>
      <c r="B85" s="103" t="str">
        <f>Orçamento!D26</f>
        <v>Alvenaria tijolo de barro a cutelo</v>
      </c>
      <c r="C85" s="70"/>
      <c r="D85" s="70"/>
      <c r="E85" s="70"/>
      <c r="F85" s="70"/>
      <c r="G85" s="70"/>
      <c r="H85" s="70"/>
      <c r="I85" s="70"/>
    </row>
    <row r="86" spans="1:9" ht="12.75">
      <c r="A86" s="92"/>
      <c r="B86" s="23"/>
      <c r="C86" s="23"/>
      <c r="D86" s="23"/>
      <c r="E86" s="23"/>
      <c r="F86" s="23"/>
      <c r="G86" s="23"/>
      <c r="H86" s="23"/>
      <c r="I86" s="23"/>
    </row>
    <row r="87" spans="1:2" ht="12.75">
      <c r="A87" s="92"/>
      <c r="B87" s="18" t="s">
        <v>199</v>
      </c>
    </row>
    <row r="88" spans="1:11" ht="12.75">
      <c r="A88" s="92"/>
      <c r="B88" s="18"/>
      <c r="C88" s="17" t="s">
        <v>82</v>
      </c>
      <c r="D88" s="16"/>
      <c r="E88" s="17" t="s">
        <v>83</v>
      </c>
      <c r="F88" s="16"/>
      <c r="G88" s="17" t="s">
        <v>82</v>
      </c>
      <c r="H88" s="16"/>
      <c r="I88" s="17" t="s">
        <v>83</v>
      </c>
      <c r="K88" s="16"/>
    </row>
    <row r="89" spans="1:12" ht="12.75">
      <c r="A89" s="92"/>
      <c r="B89" s="17" t="s">
        <v>30</v>
      </c>
      <c r="C89" s="16">
        <f>C78</f>
        <v>20</v>
      </c>
      <c r="D89" s="16" t="str">
        <f aca="true" t="shared" si="1" ref="D89:I89">D78</f>
        <v>+</v>
      </c>
      <c r="E89" s="16">
        <f t="shared" si="1"/>
        <v>35</v>
      </c>
      <c r="F89" s="16" t="str">
        <f t="shared" si="1"/>
        <v>+</v>
      </c>
      <c r="G89" s="16">
        <f t="shared" si="1"/>
        <v>20</v>
      </c>
      <c r="H89" s="16" t="str">
        <f t="shared" si="1"/>
        <v>+</v>
      </c>
      <c r="I89" s="16">
        <f t="shared" si="1"/>
        <v>35</v>
      </c>
      <c r="J89" s="17" t="s">
        <v>70</v>
      </c>
      <c r="K89" s="7">
        <f>C89+E89+G89+I89</f>
        <v>110</v>
      </c>
      <c r="L89" s="17" t="s">
        <v>87</v>
      </c>
    </row>
    <row r="90" spans="1:9" ht="12.75">
      <c r="A90" s="92"/>
      <c r="B90" s="23"/>
      <c r="C90" s="23"/>
      <c r="D90" s="23"/>
      <c r="E90" s="23"/>
      <c r="F90" s="23"/>
      <c r="G90" s="23"/>
      <c r="H90" s="23"/>
      <c r="I90" s="23"/>
    </row>
    <row r="91" spans="1:11" ht="12.75">
      <c r="A91" s="92"/>
      <c r="B91" s="23"/>
      <c r="C91" s="16"/>
      <c r="D91" s="17" t="s">
        <v>199</v>
      </c>
      <c r="E91" s="16"/>
      <c r="F91" s="17" t="s">
        <v>125</v>
      </c>
      <c r="G91" s="16"/>
      <c r="H91" s="23"/>
      <c r="I91" s="104" t="s">
        <v>86</v>
      </c>
      <c r="J91" s="23"/>
      <c r="K91" s="23"/>
    </row>
    <row r="92" spans="1:12" ht="12.75">
      <c r="A92" s="92"/>
      <c r="B92" s="17" t="s">
        <v>34</v>
      </c>
      <c r="C92" s="17" t="s">
        <v>108</v>
      </c>
      <c r="D92" s="16">
        <f>C58</f>
        <v>110</v>
      </c>
      <c r="E92" s="17" t="s">
        <v>124</v>
      </c>
      <c r="F92" s="16">
        <v>1.5</v>
      </c>
      <c r="G92" s="17" t="s">
        <v>109</v>
      </c>
      <c r="H92" s="17" t="s">
        <v>31</v>
      </c>
      <c r="I92" s="16">
        <v>1</v>
      </c>
      <c r="J92" s="17" t="s">
        <v>70</v>
      </c>
      <c r="K92" s="7">
        <f>ROUND(((D92-F92)*I92),2)</f>
        <v>108.5</v>
      </c>
      <c r="L92" s="16" t="s">
        <v>87</v>
      </c>
    </row>
    <row r="93" spans="1:5" ht="12.75">
      <c r="A93" s="92"/>
      <c r="B93" s="15"/>
      <c r="C93" s="16"/>
      <c r="D93" s="17"/>
      <c r="E93" s="16"/>
    </row>
    <row r="94" spans="1:4" ht="12.75">
      <c r="A94" s="92"/>
      <c r="B94" s="198" t="s">
        <v>200</v>
      </c>
      <c r="C94" s="199">
        <f>K92</f>
        <v>108.5</v>
      </c>
      <c r="D94" s="200" t="s">
        <v>4</v>
      </c>
    </row>
    <row r="95" ht="12.75">
      <c r="A95" s="92"/>
    </row>
    <row r="96" spans="1:2" ht="12.75">
      <c r="A96" s="92" t="str">
        <f>Orçamento!C27</f>
        <v>3.6</v>
      </c>
      <c r="B96" s="14" t="str">
        <f>Orçamento!D27</f>
        <v>Concreto armado Fck=15 MPA c/forma mad. branca (incl. lançamento e adensamento)</v>
      </c>
    </row>
    <row r="97" ht="12.75">
      <c r="A97" s="92"/>
    </row>
    <row r="98" spans="1:11" ht="12.75">
      <c r="A98" s="92"/>
      <c r="B98" s="16"/>
      <c r="C98" s="17" t="s">
        <v>82</v>
      </c>
      <c r="D98" s="16"/>
      <c r="E98" s="17" t="s">
        <v>83</v>
      </c>
      <c r="G98" s="449" t="s">
        <v>94</v>
      </c>
      <c r="H98" s="449"/>
      <c r="I98" s="449"/>
      <c r="K98" s="17" t="s">
        <v>202</v>
      </c>
    </row>
    <row r="99" spans="1:12" ht="12.75">
      <c r="A99" s="92"/>
      <c r="B99" s="17" t="s">
        <v>201</v>
      </c>
      <c r="C99" s="16">
        <v>0.15</v>
      </c>
      <c r="D99" s="17" t="s">
        <v>31</v>
      </c>
      <c r="E99" s="16">
        <v>0.25</v>
      </c>
      <c r="F99" s="17" t="s">
        <v>31</v>
      </c>
      <c r="G99" s="461">
        <v>28</v>
      </c>
      <c r="H99" s="461"/>
      <c r="I99" s="461"/>
      <c r="J99" s="17" t="s">
        <v>70</v>
      </c>
      <c r="K99" s="16">
        <f>ROUND((C99*E99*G99),2)</f>
        <v>1.05</v>
      </c>
      <c r="L99" s="17" t="s">
        <v>6</v>
      </c>
    </row>
    <row r="100" ht="12.75">
      <c r="A100" s="92"/>
    </row>
    <row r="101" spans="1:4" ht="12.75">
      <c r="A101" s="92"/>
      <c r="B101" s="198" t="s">
        <v>191</v>
      </c>
      <c r="C101" s="199">
        <f>K99</f>
        <v>1.05</v>
      </c>
      <c r="D101" s="200" t="s">
        <v>6</v>
      </c>
    </row>
    <row r="102" ht="12.75">
      <c r="A102" s="92"/>
    </row>
    <row r="103" spans="1:2" ht="12.75">
      <c r="A103" s="92" t="str">
        <f>Orçamento!C28</f>
        <v>3.7</v>
      </c>
      <c r="B103" s="14" t="str">
        <f>Orçamento!D28</f>
        <v>Chapisco de cimento e areia no traço 1:3</v>
      </c>
    </row>
    <row r="104" ht="12.75">
      <c r="A104" s="92"/>
    </row>
    <row r="105" spans="1:2" ht="12.75">
      <c r="A105" s="92"/>
      <c r="B105" s="18" t="s">
        <v>199</v>
      </c>
    </row>
    <row r="106" spans="1:11" ht="12.75">
      <c r="A106" s="92"/>
      <c r="B106" s="18"/>
      <c r="C106" s="17" t="s">
        <v>82</v>
      </c>
      <c r="D106" s="16"/>
      <c r="E106" s="17" t="s">
        <v>83</v>
      </c>
      <c r="F106" s="16"/>
      <c r="G106" s="17" t="s">
        <v>82</v>
      </c>
      <c r="H106" s="16"/>
      <c r="I106" s="17" t="s">
        <v>83</v>
      </c>
      <c r="K106" s="16"/>
    </row>
    <row r="107" spans="1:12" ht="12.75">
      <c r="A107" s="92"/>
      <c r="B107" s="17" t="s">
        <v>30</v>
      </c>
      <c r="C107" s="16">
        <f aca="true" t="shared" si="2" ref="C107:I107">C89</f>
        <v>20</v>
      </c>
      <c r="D107" s="16" t="str">
        <f t="shared" si="2"/>
        <v>+</v>
      </c>
      <c r="E107" s="16">
        <f t="shared" si="2"/>
        <v>35</v>
      </c>
      <c r="F107" s="16" t="str">
        <f t="shared" si="2"/>
        <v>+</v>
      </c>
      <c r="G107" s="16">
        <f t="shared" si="2"/>
        <v>20</v>
      </c>
      <c r="H107" s="16" t="str">
        <f t="shared" si="2"/>
        <v>+</v>
      </c>
      <c r="I107" s="16">
        <f t="shared" si="2"/>
        <v>35</v>
      </c>
      <c r="J107" s="17" t="s">
        <v>70</v>
      </c>
      <c r="K107" s="7">
        <f>C107+E107+G107+I107</f>
        <v>110</v>
      </c>
      <c r="L107" s="17" t="s">
        <v>87</v>
      </c>
    </row>
    <row r="108" ht="12.75">
      <c r="A108" s="92"/>
    </row>
    <row r="109" spans="1:9" ht="12.75">
      <c r="A109" s="92"/>
      <c r="C109" s="17" t="s">
        <v>199</v>
      </c>
      <c r="D109" s="16"/>
      <c r="E109" s="17" t="s">
        <v>86</v>
      </c>
      <c r="F109" s="16"/>
      <c r="G109" s="17" t="s">
        <v>95</v>
      </c>
      <c r="I109" s="17" t="s">
        <v>152</v>
      </c>
    </row>
    <row r="110" spans="1:10" s="16" customFormat="1" ht="12.75">
      <c r="A110" s="92"/>
      <c r="B110" s="17" t="s">
        <v>34</v>
      </c>
      <c r="C110" s="16">
        <f>C81</f>
        <v>110</v>
      </c>
      <c r="D110" s="17" t="s">
        <v>31</v>
      </c>
      <c r="E110" s="16">
        <v>1</v>
      </c>
      <c r="F110" s="17" t="s">
        <v>31</v>
      </c>
      <c r="G110" s="16">
        <v>2</v>
      </c>
      <c r="H110" s="17" t="s">
        <v>70</v>
      </c>
      <c r="I110" s="16">
        <f>ROUND((C110*E110*G110),2)</f>
        <v>220</v>
      </c>
      <c r="J110" s="17" t="s">
        <v>4</v>
      </c>
    </row>
    <row r="111" spans="1:6" s="16" customFormat="1" ht="12.75">
      <c r="A111" s="92"/>
      <c r="B111" s="17"/>
      <c r="D111" s="17"/>
      <c r="F111" s="17"/>
    </row>
    <row r="112" spans="1:4" ht="12.75">
      <c r="A112" s="92"/>
      <c r="B112" s="198" t="s">
        <v>185</v>
      </c>
      <c r="C112" s="199">
        <f>I110</f>
        <v>220</v>
      </c>
      <c r="D112" s="200" t="s">
        <v>4</v>
      </c>
    </row>
    <row r="113" ht="12.75">
      <c r="A113" s="92"/>
    </row>
    <row r="114" spans="1:2" ht="12.75">
      <c r="A114" s="92" t="str">
        <f>Orçamento!C29</f>
        <v>3.8</v>
      </c>
      <c r="B114" s="14" t="str">
        <f>Orçamento!D29</f>
        <v>Reboco com argamassa 1:6:Adit. Plast.</v>
      </c>
    </row>
    <row r="115" ht="12.75">
      <c r="A115" s="92"/>
    </row>
    <row r="116" spans="1:2" ht="12.75">
      <c r="A116" s="92"/>
      <c r="B116" s="18" t="s">
        <v>199</v>
      </c>
    </row>
    <row r="117" spans="1:11" ht="12.75">
      <c r="A117" s="92"/>
      <c r="B117" s="18"/>
      <c r="C117" s="17" t="s">
        <v>82</v>
      </c>
      <c r="D117" s="16"/>
      <c r="E117" s="17" t="s">
        <v>83</v>
      </c>
      <c r="F117" s="16"/>
      <c r="G117" s="17" t="s">
        <v>82</v>
      </c>
      <c r="H117" s="16"/>
      <c r="I117" s="17" t="s">
        <v>83</v>
      </c>
      <c r="K117" s="16"/>
    </row>
    <row r="118" spans="1:12" ht="12.75">
      <c r="A118" s="92"/>
      <c r="B118" s="17" t="s">
        <v>30</v>
      </c>
      <c r="C118" s="16">
        <f>C107</f>
        <v>20</v>
      </c>
      <c r="D118" s="16" t="str">
        <f aca="true" t="shared" si="3" ref="D118:I118">D107</f>
        <v>+</v>
      </c>
      <c r="E118" s="16">
        <f t="shared" si="3"/>
        <v>35</v>
      </c>
      <c r="F118" s="16" t="str">
        <f t="shared" si="3"/>
        <v>+</v>
      </c>
      <c r="G118" s="16">
        <f t="shared" si="3"/>
        <v>20</v>
      </c>
      <c r="H118" s="16" t="str">
        <f t="shared" si="3"/>
        <v>+</v>
      </c>
      <c r="I118" s="16">
        <f t="shared" si="3"/>
        <v>35</v>
      </c>
      <c r="J118" s="17" t="s">
        <v>70</v>
      </c>
      <c r="K118" s="7">
        <f>C118+E118+G118+I118</f>
        <v>110</v>
      </c>
      <c r="L118" s="17" t="s">
        <v>87</v>
      </c>
    </row>
    <row r="119" ht="12.75">
      <c r="A119" s="92"/>
    </row>
    <row r="120" spans="1:9" ht="12.75">
      <c r="A120" s="92"/>
      <c r="C120" s="17" t="s">
        <v>199</v>
      </c>
      <c r="D120" s="16"/>
      <c r="E120" s="17" t="s">
        <v>86</v>
      </c>
      <c r="F120" s="16"/>
      <c r="G120" s="17" t="s">
        <v>95</v>
      </c>
      <c r="H120" s="16"/>
      <c r="I120" s="17" t="s">
        <v>152</v>
      </c>
    </row>
    <row r="121" spans="1:12" ht="12.75">
      <c r="A121" s="92"/>
      <c r="B121" s="17" t="s">
        <v>34</v>
      </c>
      <c r="C121" s="16">
        <f>D92</f>
        <v>110</v>
      </c>
      <c r="D121" s="17" t="s">
        <v>31</v>
      </c>
      <c r="E121" s="16">
        <v>1</v>
      </c>
      <c r="F121" s="17" t="s">
        <v>31</v>
      </c>
      <c r="G121" s="16">
        <v>2</v>
      </c>
      <c r="H121" s="17" t="s">
        <v>70</v>
      </c>
      <c r="I121" s="16">
        <f>ROUND((C121*E121*G121),2)</f>
        <v>220</v>
      </c>
      <c r="J121" s="17" t="s">
        <v>4</v>
      </c>
      <c r="K121" s="16"/>
      <c r="L121" s="16"/>
    </row>
    <row r="122" ht="12.75">
      <c r="A122" s="92"/>
    </row>
    <row r="123" spans="1:4" ht="12.75">
      <c r="A123" s="92"/>
      <c r="B123" s="198" t="s">
        <v>185</v>
      </c>
      <c r="C123" s="199">
        <f>I121</f>
        <v>220</v>
      </c>
      <c r="D123" s="200" t="s">
        <v>4</v>
      </c>
    </row>
    <row r="124" ht="12.75">
      <c r="A124" s="92"/>
    </row>
    <row r="125" spans="1:2" ht="12.75">
      <c r="A125" s="92" t="str">
        <f>Orçamento!C30</f>
        <v>3.9</v>
      </c>
      <c r="B125" s="14" t="str">
        <f>Orçamento!D30</f>
        <v>Acrílica fosca int./ext. c/fdo. preparador 3 dem.(reforma)s/massa</v>
      </c>
    </row>
    <row r="126" ht="12.75">
      <c r="A126" s="92"/>
    </row>
    <row r="127" spans="1:2" ht="12.75">
      <c r="A127" s="92"/>
      <c r="B127" s="18" t="s">
        <v>199</v>
      </c>
    </row>
    <row r="128" spans="1:11" ht="12.75">
      <c r="A128" s="92"/>
      <c r="B128" s="18"/>
      <c r="C128" s="17" t="s">
        <v>82</v>
      </c>
      <c r="D128" s="16"/>
      <c r="E128" s="17" t="s">
        <v>83</v>
      </c>
      <c r="F128" s="16"/>
      <c r="G128" s="17" t="s">
        <v>82</v>
      </c>
      <c r="H128" s="16"/>
      <c r="I128" s="17" t="s">
        <v>83</v>
      </c>
      <c r="K128" s="16"/>
    </row>
    <row r="129" spans="1:12" ht="12.75">
      <c r="A129" s="92"/>
      <c r="B129" s="17" t="s">
        <v>30</v>
      </c>
      <c r="C129" s="16">
        <f>C118</f>
        <v>20</v>
      </c>
      <c r="D129" s="16" t="str">
        <f aca="true" t="shared" si="4" ref="D129:I129">D118</f>
        <v>+</v>
      </c>
      <c r="E129" s="16">
        <f t="shared" si="4"/>
        <v>35</v>
      </c>
      <c r="F129" s="16" t="str">
        <f t="shared" si="4"/>
        <v>+</v>
      </c>
      <c r="G129" s="16">
        <f t="shared" si="4"/>
        <v>20</v>
      </c>
      <c r="H129" s="16" t="str">
        <f t="shared" si="4"/>
        <v>+</v>
      </c>
      <c r="I129" s="16">
        <f t="shared" si="4"/>
        <v>35</v>
      </c>
      <c r="J129" s="17" t="s">
        <v>70</v>
      </c>
      <c r="K129" s="7">
        <f>C129+E129+G129+I129</f>
        <v>110</v>
      </c>
      <c r="L129" s="17" t="s">
        <v>87</v>
      </c>
    </row>
    <row r="130" ht="12.75">
      <c r="A130" s="92"/>
    </row>
    <row r="131" spans="1:9" ht="12.75">
      <c r="A131" s="92"/>
      <c r="C131" s="17" t="s">
        <v>199</v>
      </c>
      <c r="E131" s="18" t="s">
        <v>86</v>
      </c>
      <c r="G131" s="18" t="s">
        <v>95</v>
      </c>
      <c r="I131" s="17" t="s">
        <v>152</v>
      </c>
    </row>
    <row r="132" spans="1:12" ht="12.75">
      <c r="A132" s="92"/>
      <c r="B132" s="17" t="s">
        <v>34</v>
      </c>
      <c r="C132" s="16">
        <f>C121</f>
        <v>110</v>
      </c>
      <c r="D132" s="16" t="str">
        <f>D121</f>
        <v>x</v>
      </c>
      <c r="E132" s="16">
        <f>E121</f>
        <v>1</v>
      </c>
      <c r="F132" s="16" t="str">
        <f>F121</f>
        <v>x</v>
      </c>
      <c r="G132" s="16">
        <f>G121</f>
        <v>2</v>
      </c>
      <c r="H132" s="17" t="s">
        <v>70</v>
      </c>
      <c r="I132" s="16">
        <f>ROUND((C132*E132*G132),2)</f>
        <v>220</v>
      </c>
      <c r="J132" s="17" t="s">
        <v>4</v>
      </c>
      <c r="K132" s="16"/>
      <c r="L132" s="16"/>
    </row>
    <row r="133" ht="12.75">
      <c r="A133" s="92"/>
    </row>
    <row r="134" spans="1:4" ht="12.75">
      <c r="A134" s="92"/>
      <c r="B134" s="198" t="s">
        <v>185</v>
      </c>
      <c r="C134" s="199">
        <f>I132</f>
        <v>220</v>
      </c>
      <c r="D134" s="200" t="s">
        <v>4</v>
      </c>
    </row>
    <row r="135" ht="12.75">
      <c r="A135" s="92"/>
    </row>
    <row r="136" spans="1:13" ht="12.75">
      <c r="A136" s="102" t="str">
        <f>Orçamento!C32</f>
        <v>4</v>
      </c>
      <c r="B136" s="450" t="str">
        <f>Orçamento!D32</f>
        <v>PAVIMENTAÇÃO</v>
      </c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1"/>
    </row>
    <row r="137" spans="1:2" ht="12.75">
      <c r="A137" s="92" t="str">
        <f>Orçamento!C33</f>
        <v>4.1</v>
      </c>
      <c r="B137" s="14" t="str">
        <f>Orçamento!D33</f>
        <v>Colchão de areia e = 20 Cm </v>
      </c>
    </row>
    <row r="138" ht="12.75">
      <c r="A138" s="92"/>
    </row>
    <row r="139" spans="1:7" ht="12.75">
      <c r="A139" s="92"/>
      <c r="C139" s="17" t="s">
        <v>82</v>
      </c>
      <c r="D139" s="16"/>
      <c r="E139" s="17" t="s">
        <v>83</v>
      </c>
      <c r="G139" s="17" t="s">
        <v>186</v>
      </c>
    </row>
    <row r="140" spans="1:7" s="205" customFormat="1" ht="20.25" customHeight="1">
      <c r="A140" s="201"/>
      <c r="B140" s="202" t="s">
        <v>203</v>
      </c>
      <c r="C140" s="203">
        <f>C129</f>
        <v>20</v>
      </c>
      <c r="D140" s="204" t="s">
        <v>31</v>
      </c>
      <c r="E140" s="203">
        <f>E129</f>
        <v>35</v>
      </c>
      <c r="F140" s="204" t="s">
        <v>70</v>
      </c>
      <c r="G140" s="203">
        <f>ROUND((C140*E140),2)</f>
        <v>700</v>
      </c>
    </row>
    <row r="141" ht="12.75">
      <c r="A141" s="92"/>
    </row>
    <row r="142" spans="1:4" ht="12.75">
      <c r="A142" s="92"/>
      <c r="B142" s="198" t="s">
        <v>185</v>
      </c>
      <c r="C142" s="199">
        <f>G140</f>
        <v>700</v>
      </c>
      <c r="D142" s="200" t="s">
        <v>4</v>
      </c>
    </row>
    <row r="143" ht="12.75">
      <c r="A143" s="92"/>
    </row>
    <row r="144" spans="1:2" ht="12.75">
      <c r="A144" s="92" t="str">
        <f>Orçamento!C34</f>
        <v>4.2</v>
      </c>
      <c r="B144" s="14" t="str">
        <f>Orçamento!D34</f>
        <v>Portão tubo/tela arame galv.c/ferragens(incl.pint.anti-corrosiva)</v>
      </c>
    </row>
    <row r="145" ht="12.75">
      <c r="A145" s="92"/>
    </row>
    <row r="146" spans="1:7" ht="12.75">
      <c r="A146" s="92"/>
      <c r="B146" s="16"/>
      <c r="C146" s="17" t="s">
        <v>82</v>
      </c>
      <c r="D146" s="16"/>
      <c r="E146" s="17" t="s">
        <v>86</v>
      </c>
      <c r="G146" s="17" t="s">
        <v>186</v>
      </c>
    </row>
    <row r="147" spans="1:7" ht="12.75">
      <c r="A147" s="92"/>
      <c r="B147" s="17" t="s">
        <v>204</v>
      </c>
      <c r="C147" s="16">
        <v>1.4</v>
      </c>
      <c r="D147" s="17" t="s">
        <v>31</v>
      </c>
      <c r="E147" s="16">
        <v>2</v>
      </c>
      <c r="F147" s="17" t="s">
        <v>70</v>
      </c>
      <c r="G147" s="16">
        <f>ROUND((C147*E147),2)</f>
        <v>2.8</v>
      </c>
    </row>
    <row r="148" spans="1:5" ht="12.75">
      <c r="A148" s="92"/>
      <c r="B148" s="15"/>
      <c r="C148" s="16"/>
      <c r="D148" s="17"/>
      <c r="E148" s="16"/>
    </row>
    <row r="149" spans="1:4" ht="12.75">
      <c r="A149" s="92"/>
      <c r="B149" s="198" t="s">
        <v>185</v>
      </c>
      <c r="C149" s="199">
        <f>G147</f>
        <v>2.8</v>
      </c>
      <c r="D149" s="200" t="s">
        <v>4</v>
      </c>
    </row>
    <row r="150" ht="12.75">
      <c r="A150" s="92"/>
    </row>
    <row r="151" spans="1:2" ht="12.75">
      <c r="A151" s="92" t="str">
        <f>Orçamento!C35</f>
        <v>4.3</v>
      </c>
      <c r="B151" s="106" t="str">
        <f>Orçamento!D35</f>
        <v>Alambrado para quadra (tubo fo e tela de arame galv.-12 #2")</v>
      </c>
    </row>
    <row r="152" ht="12.75">
      <c r="A152" s="92"/>
    </row>
    <row r="153" spans="1:2" ht="12.75">
      <c r="A153" s="92"/>
      <c r="B153" s="18" t="s">
        <v>107</v>
      </c>
    </row>
    <row r="154" spans="1:9" ht="12.75">
      <c r="A154" s="92"/>
      <c r="C154" s="17" t="s">
        <v>83</v>
      </c>
      <c r="E154" s="17" t="s">
        <v>86</v>
      </c>
      <c r="G154" s="18" t="s">
        <v>93</v>
      </c>
      <c r="I154" s="17" t="s">
        <v>186</v>
      </c>
    </row>
    <row r="155" spans="1:9" ht="12.75">
      <c r="A155" s="92"/>
      <c r="B155" s="17" t="s">
        <v>34</v>
      </c>
      <c r="C155" s="16">
        <v>20</v>
      </c>
      <c r="D155" s="17" t="s">
        <v>31</v>
      </c>
      <c r="E155" s="16">
        <v>2</v>
      </c>
      <c r="F155" s="17" t="s">
        <v>31</v>
      </c>
      <c r="G155" s="16">
        <v>2</v>
      </c>
      <c r="H155" s="17" t="s">
        <v>70</v>
      </c>
      <c r="I155" s="16">
        <f>ROUND((C155*E155*G155),2)</f>
        <v>80</v>
      </c>
    </row>
    <row r="156" ht="12.75">
      <c r="A156" s="92"/>
    </row>
    <row r="157" spans="1:2" ht="12.75">
      <c r="A157" s="92"/>
      <c r="B157" s="18" t="s">
        <v>106</v>
      </c>
    </row>
    <row r="158" spans="1:9" ht="12.75">
      <c r="A158" s="92"/>
      <c r="C158" s="17" t="s">
        <v>83</v>
      </c>
      <c r="E158" s="17" t="s">
        <v>86</v>
      </c>
      <c r="G158" s="18" t="s">
        <v>93</v>
      </c>
      <c r="I158" s="17" t="s">
        <v>186</v>
      </c>
    </row>
    <row r="159" spans="1:10" ht="12.75">
      <c r="A159" s="92"/>
      <c r="B159" s="17" t="s">
        <v>34</v>
      </c>
      <c r="C159" s="16">
        <v>35.3</v>
      </c>
      <c r="D159" s="17" t="s">
        <v>31</v>
      </c>
      <c r="E159" s="16">
        <v>1</v>
      </c>
      <c r="F159" s="17" t="s">
        <v>31</v>
      </c>
      <c r="G159" s="16">
        <v>2</v>
      </c>
      <c r="H159" s="17" t="s">
        <v>70</v>
      </c>
      <c r="I159" s="16">
        <f>ROUND((C159*E159*G159),2)</f>
        <v>70.6</v>
      </c>
      <c r="J159" s="18"/>
    </row>
    <row r="160" spans="1:8" ht="12.75">
      <c r="A160" s="92"/>
      <c r="C160" s="16"/>
      <c r="D160" s="17"/>
      <c r="E160" s="16"/>
      <c r="F160" s="17"/>
      <c r="G160" s="16"/>
      <c r="H160" s="18"/>
    </row>
    <row r="161" spans="1:2" ht="12.75">
      <c r="A161" s="92"/>
      <c r="B161" s="18" t="s">
        <v>110</v>
      </c>
    </row>
    <row r="162" spans="1:11" ht="12.75">
      <c r="A162" s="92"/>
      <c r="B162" s="17" t="s">
        <v>34</v>
      </c>
      <c r="C162" s="116" t="s">
        <v>108</v>
      </c>
      <c r="D162" s="117">
        <v>3.3</v>
      </c>
      <c r="E162" s="116" t="s">
        <v>71</v>
      </c>
      <c r="F162" s="117">
        <v>2.3</v>
      </c>
      <c r="G162" s="116" t="s">
        <v>109</v>
      </c>
      <c r="H162" s="116" t="s">
        <v>31</v>
      </c>
      <c r="I162" s="117">
        <v>1</v>
      </c>
      <c r="J162" s="17" t="s">
        <v>70</v>
      </c>
      <c r="K162" s="16">
        <f>ROUND((((D162+F162)*I162)/C163),2)</f>
        <v>2.8</v>
      </c>
    </row>
    <row r="163" spans="1:12" ht="12.75">
      <c r="A163" s="92"/>
      <c r="C163" s="462">
        <v>2</v>
      </c>
      <c r="D163" s="462"/>
      <c r="E163" s="462"/>
      <c r="F163" s="462"/>
      <c r="G163" s="462"/>
      <c r="H163" s="462"/>
      <c r="I163" s="462"/>
      <c r="J163" s="462"/>
      <c r="L163" s="18"/>
    </row>
    <row r="164" spans="1:7" ht="12.75">
      <c r="A164" s="92"/>
      <c r="C164" s="17" t="s">
        <v>111</v>
      </c>
      <c r="E164" s="18" t="s">
        <v>93</v>
      </c>
      <c r="G164" s="17" t="s">
        <v>186</v>
      </c>
    </row>
    <row r="165" spans="1:7" ht="12.75">
      <c r="A165" s="92"/>
      <c r="B165" s="17" t="s">
        <v>34</v>
      </c>
      <c r="C165" s="16">
        <f>K162</f>
        <v>2.8</v>
      </c>
      <c r="D165" s="17" t="s">
        <v>31</v>
      </c>
      <c r="E165" s="16">
        <v>4</v>
      </c>
      <c r="F165" s="17" t="s">
        <v>70</v>
      </c>
      <c r="G165" s="16">
        <f>ROUND((C165*E165),2)</f>
        <v>11.2</v>
      </c>
    </row>
    <row r="166" ht="12.75">
      <c r="A166" s="92"/>
    </row>
    <row r="167" spans="1:2" ht="12.75">
      <c r="A167" s="92"/>
      <c r="B167" s="18" t="s">
        <v>112</v>
      </c>
    </row>
    <row r="168" spans="1:9" ht="12.75">
      <c r="A168" s="92"/>
      <c r="C168" s="16" t="str">
        <f>B153</f>
        <v>Frente e Fundos</v>
      </c>
      <c r="D168" s="16"/>
      <c r="E168" s="16" t="str">
        <f>B157</f>
        <v>Laterais</v>
      </c>
      <c r="F168" s="16"/>
      <c r="G168" s="16" t="str">
        <f>B161</f>
        <v>Cantos - Trapézios</v>
      </c>
      <c r="H168" s="16"/>
      <c r="I168" s="17" t="s">
        <v>186</v>
      </c>
    </row>
    <row r="169" spans="1:9" ht="12.75">
      <c r="A169" s="92"/>
      <c r="B169" s="17" t="s">
        <v>205</v>
      </c>
      <c r="C169" s="16">
        <f>I155</f>
        <v>80</v>
      </c>
      <c r="D169" s="17" t="s">
        <v>71</v>
      </c>
      <c r="E169" s="16">
        <f>I159</f>
        <v>70.6</v>
      </c>
      <c r="F169" s="17" t="s">
        <v>71</v>
      </c>
      <c r="G169" s="16">
        <f>G165</f>
        <v>11.2</v>
      </c>
      <c r="H169" s="17" t="s">
        <v>70</v>
      </c>
      <c r="I169" s="16">
        <f>C169+E169+G169</f>
        <v>161.79999999999998</v>
      </c>
    </row>
    <row r="170" ht="12.75">
      <c r="A170" s="92"/>
    </row>
    <row r="171" spans="1:2" ht="12.75">
      <c r="A171" s="92"/>
      <c r="B171" s="18" t="s">
        <v>148</v>
      </c>
    </row>
    <row r="172" spans="1:7" ht="12.75">
      <c r="A172" s="92"/>
      <c r="C172" s="17" t="s">
        <v>82</v>
      </c>
      <c r="D172" s="16"/>
      <c r="E172" s="17" t="s">
        <v>86</v>
      </c>
      <c r="F172" s="16"/>
      <c r="G172" s="17" t="s">
        <v>186</v>
      </c>
    </row>
    <row r="173" spans="1:7" ht="12.75">
      <c r="A173" s="92"/>
      <c r="B173" s="17" t="s">
        <v>34</v>
      </c>
      <c r="C173" s="16">
        <v>1.4</v>
      </c>
      <c r="D173" s="17" t="s">
        <v>31</v>
      </c>
      <c r="E173" s="16">
        <v>2</v>
      </c>
      <c r="F173" s="17" t="s">
        <v>70</v>
      </c>
      <c r="G173" s="16">
        <f>ROUND((C173*E173),2)</f>
        <v>2.8</v>
      </c>
    </row>
    <row r="174" ht="12.75">
      <c r="A174" s="92"/>
    </row>
    <row r="175" spans="1:2" ht="12.75">
      <c r="A175" s="92"/>
      <c r="B175" s="18" t="s">
        <v>149</v>
      </c>
    </row>
    <row r="176" spans="1:7" ht="12.75">
      <c r="A176" s="92"/>
      <c r="B176" s="16"/>
      <c r="C176" s="17" t="s">
        <v>100</v>
      </c>
      <c r="D176" s="16"/>
      <c r="E176" s="17" t="s">
        <v>150</v>
      </c>
      <c r="F176" s="16"/>
      <c r="G176" s="17" t="s">
        <v>186</v>
      </c>
    </row>
    <row r="177" spans="1:7" ht="12.75">
      <c r="A177" s="92"/>
      <c r="B177" s="17" t="s">
        <v>34</v>
      </c>
      <c r="C177" s="16">
        <f>I169</f>
        <v>161.79999999999998</v>
      </c>
      <c r="D177" s="17" t="s">
        <v>124</v>
      </c>
      <c r="E177" s="16">
        <f>G173</f>
        <v>2.8</v>
      </c>
      <c r="F177" s="17" t="s">
        <v>70</v>
      </c>
      <c r="G177" s="16">
        <f>C177-E177</f>
        <v>158.99999999999997</v>
      </c>
    </row>
    <row r="178" ht="12.75">
      <c r="A178" s="92"/>
    </row>
    <row r="179" spans="1:5" ht="12.75">
      <c r="A179" s="92"/>
      <c r="B179" s="198" t="s">
        <v>206</v>
      </c>
      <c r="C179" s="199">
        <f>G177</f>
        <v>158.99999999999997</v>
      </c>
      <c r="D179" s="200" t="s">
        <v>4</v>
      </c>
      <c r="E179" s="16"/>
    </row>
    <row r="180" ht="12.75">
      <c r="A180" s="92"/>
    </row>
    <row r="181" spans="1:2" ht="12.75">
      <c r="A181" s="92" t="str">
        <f>Orçamento!C36</f>
        <v>4.4</v>
      </c>
      <c r="B181" s="14" t="str">
        <f>Orçamento!D36</f>
        <v>anti-ferruginosa</v>
      </c>
    </row>
    <row r="182" ht="12.75">
      <c r="A182" s="92"/>
    </row>
    <row r="183" spans="1:2" ht="12.75">
      <c r="A183" s="92"/>
      <c r="B183" s="7" t="str">
        <f>B153</f>
        <v>Frente e Fundos</v>
      </c>
    </row>
    <row r="184" spans="1:9" ht="12.75">
      <c r="A184" s="92"/>
      <c r="B184" s="16"/>
      <c r="C184" s="16" t="str">
        <f>C154</f>
        <v>comprimento</v>
      </c>
      <c r="D184" s="16"/>
      <c r="E184" s="16" t="str">
        <f>E154</f>
        <v>altura</v>
      </c>
      <c r="F184" s="16"/>
      <c r="G184" s="16" t="str">
        <f>G154</f>
        <v>quant.</v>
      </c>
      <c r="H184" s="16"/>
      <c r="I184" s="17" t="s">
        <v>186</v>
      </c>
    </row>
    <row r="185" spans="1:9" ht="12.75">
      <c r="A185" s="92"/>
      <c r="B185" s="16" t="str">
        <f>B155</f>
        <v>A=</v>
      </c>
      <c r="C185" s="16">
        <f>C155</f>
        <v>20</v>
      </c>
      <c r="D185" s="16" t="str">
        <f>D155</f>
        <v>x</v>
      </c>
      <c r="E185" s="16">
        <f>E155</f>
        <v>2</v>
      </c>
      <c r="F185" s="16" t="str">
        <f>F155</f>
        <v>x</v>
      </c>
      <c r="G185" s="16">
        <f>G155</f>
        <v>2</v>
      </c>
      <c r="H185" s="16" t="str">
        <f>H155</f>
        <v>=</v>
      </c>
      <c r="I185" s="16">
        <f>ROUND((C185*E185*G185),2)</f>
        <v>80</v>
      </c>
    </row>
    <row r="186" ht="12.75">
      <c r="A186" s="92"/>
    </row>
    <row r="187" spans="1:2" ht="12.75">
      <c r="A187" s="92"/>
      <c r="B187" s="7" t="str">
        <f>B157</f>
        <v>Laterais</v>
      </c>
    </row>
    <row r="188" spans="1:9" ht="12.75">
      <c r="A188" s="92"/>
      <c r="B188" s="16"/>
      <c r="C188" s="16" t="str">
        <f>C158</f>
        <v>comprimento</v>
      </c>
      <c r="D188" s="16"/>
      <c r="E188" s="16" t="str">
        <f>E158</f>
        <v>altura</v>
      </c>
      <c r="F188" s="16"/>
      <c r="G188" s="16" t="str">
        <f>G158</f>
        <v>quant.</v>
      </c>
      <c r="H188" s="16"/>
      <c r="I188" s="17" t="s">
        <v>186</v>
      </c>
    </row>
    <row r="189" spans="1:9" ht="12.75">
      <c r="A189" s="92"/>
      <c r="B189" s="16" t="str">
        <f>B159</f>
        <v>A=</v>
      </c>
      <c r="C189" s="16">
        <f>C159</f>
        <v>35.3</v>
      </c>
      <c r="D189" s="16" t="str">
        <f>D159</f>
        <v>x</v>
      </c>
      <c r="E189" s="16">
        <f>E159</f>
        <v>1</v>
      </c>
      <c r="F189" s="16" t="str">
        <f>F159</f>
        <v>x</v>
      </c>
      <c r="G189" s="16">
        <f>G159</f>
        <v>2</v>
      </c>
      <c r="H189" s="16" t="str">
        <f>H159</f>
        <v>=</v>
      </c>
      <c r="I189" s="16">
        <f>ROUND((C189*E189*G189),2)</f>
        <v>70.6</v>
      </c>
    </row>
    <row r="190" ht="12.75">
      <c r="A190" s="92"/>
    </row>
    <row r="191" spans="1:2" ht="12.75">
      <c r="A191" s="92"/>
      <c r="B191" s="7" t="str">
        <f>B161</f>
        <v>Cantos - Trapézios</v>
      </c>
    </row>
    <row r="192" spans="1:11" ht="12.75">
      <c r="A192" s="92"/>
      <c r="B192" s="16" t="str">
        <f>B162</f>
        <v>A=</v>
      </c>
      <c r="C192" s="117" t="str">
        <f aca="true" t="shared" si="5" ref="C192:I192">C162</f>
        <v>(</v>
      </c>
      <c r="D192" s="117">
        <f t="shared" si="5"/>
        <v>3.3</v>
      </c>
      <c r="E192" s="117" t="str">
        <f t="shared" si="5"/>
        <v>+</v>
      </c>
      <c r="F192" s="117">
        <f t="shared" si="5"/>
        <v>2.3</v>
      </c>
      <c r="G192" s="117" t="str">
        <f t="shared" si="5"/>
        <v>)</v>
      </c>
      <c r="H192" s="16" t="str">
        <f t="shared" si="5"/>
        <v>x</v>
      </c>
      <c r="I192" s="16">
        <f t="shared" si="5"/>
        <v>1</v>
      </c>
      <c r="J192" s="17" t="s">
        <v>70</v>
      </c>
      <c r="K192" s="16">
        <f>ROUND((((D192+F192)*I192)/C193),2)</f>
        <v>2.8</v>
      </c>
    </row>
    <row r="193" spans="1:9" ht="12.75">
      <c r="A193" s="92"/>
      <c r="B193" s="16"/>
      <c r="C193" s="452">
        <f>C163</f>
        <v>2</v>
      </c>
      <c r="D193" s="452"/>
      <c r="E193" s="452"/>
      <c r="F193" s="452"/>
      <c r="G193" s="452"/>
      <c r="H193" s="16"/>
      <c r="I193" s="16"/>
    </row>
    <row r="194" spans="1:8" ht="12.75">
      <c r="A194" s="92"/>
      <c r="B194" s="16"/>
      <c r="C194" s="16" t="str">
        <f>C164</f>
        <v>área do trapézio</v>
      </c>
      <c r="D194" s="16"/>
      <c r="E194" s="16" t="str">
        <f>E164</f>
        <v>quant.</v>
      </c>
      <c r="F194" s="16"/>
      <c r="G194" s="17" t="s">
        <v>186</v>
      </c>
      <c r="H194" s="16"/>
    </row>
    <row r="195" spans="1:8" ht="12.75">
      <c r="A195" s="92"/>
      <c r="B195" s="16" t="str">
        <f>B165</f>
        <v>A=</v>
      </c>
      <c r="C195" s="16">
        <f>C165</f>
        <v>2.8</v>
      </c>
      <c r="D195" s="16" t="str">
        <f>D165</f>
        <v>x</v>
      </c>
      <c r="E195" s="16">
        <f>E165</f>
        <v>4</v>
      </c>
      <c r="F195" s="16" t="str">
        <f>F165</f>
        <v>=</v>
      </c>
      <c r="G195" s="16">
        <f>ROUND((C195*E195),2)</f>
        <v>11.2</v>
      </c>
      <c r="H195" s="16"/>
    </row>
    <row r="196" ht="12.75">
      <c r="A196" s="92"/>
    </row>
    <row r="197" spans="1:2" ht="12.75">
      <c r="A197" s="92"/>
      <c r="B197" s="7" t="str">
        <f>B167</f>
        <v>Somatória das áreas</v>
      </c>
    </row>
    <row r="198" spans="1:9" ht="12.75">
      <c r="A198" s="92"/>
      <c r="B198" s="16"/>
      <c r="C198" s="16" t="str">
        <f>C168</f>
        <v>Frente e Fundos</v>
      </c>
      <c r="D198" s="16"/>
      <c r="E198" s="16" t="str">
        <f>E168</f>
        <v>Laterais</v>
      </c>
      <c r="F198" s="16"/>
      <c r="G198" s="16" t="str">
        <f>G168</f>
        <v>Cantos - Trapézios</v>
      </c>
      <c r="H198" s="16"/>
      <c r="I198" s="17" t="s">
        <v>186</v>
      </c>
    </row>
    <row r="199" spans="1:9" ht="12.75">
      <c r="A199" s="92"/>
      <c r="B199" s="16" t="str">
        <f>B169</f>
        <v>Total Parcial</v>
      </c>
      <c r="C199" s="16">
        <f>C169</f>
        <v>80</v>
      </c>
      <c r="D199" s="16" t="str">
        <f>D169</f>
        <v>+</v>
      </c>
      <c r="E199" s="16">
        <f>E169</f>
        <v>70.6</v>
      </c>
      <c r="F199" s="16" t="str">
        <f>F169</f>
        <v>+</v>
      </c>
      <c r="G199" s="16">
        <f>G169</f>
        <v>11.2</v>
      </c>
      <c r="H199" s="16" t="str">
        <f>H169</f>
        <v>=</v>
      </c>
      <c r="I199" s="16">
        <f>C199+E199+G199</f>
        <v>161.79999999999998</v>
      </c>
    </row>
    <row r="200" ht="12.75">
      <c r="A200" s="92"/>
    </row>
    <row r="201" spans="1:2" ht="12.75">
      <c r="A201" s="92"/>
      <c r="B201" s="7" t="str">
        <f>B171</f>
        <v>Desconto - Portão</v>
      </c>
    </row>
    <row r="202" spans="1:7" ht="12.75">
      <c r="A202" s="92"/>
      <c r="B202" s="16"/>
      <c r="C202" s="16" t="str">
        <f>C172</f>
        <v>largura</v>
      </c>
      <c r="D202" s="16"/>
      <c r="E202" s="16" t="str">
        <f>E172</f>
        <v>altura</v>
      </c>
      <c r="F202" s="16"/>
      <c r="G202" s="17" t="s">
        <v>186</v>
      </c>
    </row>
    <row r="203" spans="1:7" ht="12.75">
      <c r="A203" s="92"/>
      <c r="B203" s="16" t="str">
        <f>B173</f>
        <v>A=</v>
      </c>
      <c r="C203" s="16">
        <f>C173</f>
        <v>1.4</v>
      </c>
      <c r="D203" s="16" t="str">
        <f>D173</f>
        <v>x</v>
      </c>
      <c r="E203" s="16">
        <f>E173</f>
        <v>2</v>
      </c>
      <c r="F203" s="16" t="str">
        <f>F173</f>
        <v>=</v>
      </c>
      <c r="G203" s="16">
        <f>ROUND((C203*E203),2)</f>
        <v>2.8</v>
      </c>
    </row>
    <row r="204" ht="12.75">
      <c r="A204" s="92"/>
    </row>
    <row r="205" spans="1:2" ht="12.75">
      <c r="A205" s="92"/>
      <c r="B205" s="7" t="str">
        <f>B175</f>
        <v>AREA DE ALAMBRADO</v>
      </c>
    </row>
    <row r="206" spans="1:7" ht="12.75">
      <c r="A206" s="92"/>
      <c r="B206" s="16"/>
      <c r="C206" s="16" t="str">
        <f>C176</f>
        <v>total</v>
      </c>
      <c r="D206" s="16"/>
      <c r="E206" s="140" t="str">
        <f>E176</f>
        <v>desconto</v>
      </c>
      <c r="F206" s="16"/>
      <c r="G206" s="17" t="s">
        <v>186</v>
      </c>
    </row>
    <row r="207" spans="1:7" ht="12.75">
      <c r="A207" s="92"/>
      <c r="B207" s="16" t="str">
        <f>B177</f>
        <v>A=</v>
      </c>
      <c r="C207" s="16">
        <f>C177</f>
        <v>161.79999999999998</v>
      </c>
      <c r="D207" s="16" t="str">
        <f>D177</f>
        <v>-</v>
      </c>
      <c r="E207" s="16">
        <f>E177</f>
        <v>2.8</v>
      </c>
      <c r="F207" s="16" t="str">
        <f>F177</f>
        <v>=</v>
      </c>
      <c r="G207" s="16">
        <f>C207-E207</f>
        <v>158.99999999999997</v>
      </c>
    </row>
    <row r="208" ht="12.75">
      <c r="A208" s="92"/>
    </row>
    <row r="209" spans="1:4" ht="12.75">
      <c r="A209" s="92"/>
      <c r="B209" s="198" t="s">
        <v>206</v>
      </c>
      <c r="C209" s="199">
        <f>G207</f>
        <v>158.99999999999997</v>
      </c>
      <c r="D209" s="200" t="s">
        <v>4</v>
      </c>
    </row>
    <row r="210" ht="12.75">
      <c r="A210" s="92"/>
    </row>
    <row r="211" spans="1:2" ht="12.75">
      <c r="A211" s="92" t="str">
        <f>Orçamento!C37</f>
        <v>4.5</v>
      </c>
      <c r="B211" s="14" t="str">
        <f>Orçamento!D37</f>
        <v> Esmalte s/ ferro (superf. lisa)</v>
      </c>
    </row>
    <row r="212" ht="12.75">
      <c r="A212" s="92"/>
    </row>
    <row r="213" spans="1:2" ht="12.75">
      <c r="A213" s="92"/>
      <c r="B213" s="7" t="str">
        <f>B183</f>
        <v>Frente e Fundos</v>
      </c>
    </row>
    <row r="214" spans="1:9" ht="12.75">
      <c r="A214" s="92"/>
      <c r="B214" s="16"/>
      <c r="C214" s="16" t="str">
        <f>C184</f>
        <v>comprimento</v>
      </c>
      <c r="D214" s="16"/>
      <c r="E214" s="16" t="str">
        <f>E184</f>
        <v>altura</v>
      </c>
      <c r="F214" s="16"/>
      <c r="G214" s="16" t="str">
        <f>G184</f>
        <v>quant.</v>
      </c>
      <c r="H214" s="16"/>
      <c r="I214" s="17" t="s">
        <v>186</v>
      </c>
    </row>
    <row r="215" spans="1:9" ht="12.75">
      <c r="A215" s="92"/>
      <c r="B215" s="16" t="str">
        <f aca="true" t="shared" si="6" ref="B215:H215">B185</f>
        <v>A=</v>
      </c>
      <c r="C215" s="16">
        <f t="shared" si="6"/>
        <v>20</v>
      </c>
      <c r="D215" s="16" t="str">
        <f t="shared" si="6"/>
        <v>x</v>
      </c>
      <c r="E215" s="16">
        <f t="shared" si="6"/>
        <v>2</v>
      </c>
      <c r="F215" s="16" t="str">
        <f t="shared" si="6"/>
        <v>x</v>
      </c>
      <c r="G215" s="16">
        <f t="shared" si="6"/>
        <v>2</v>
      </c>
      <c r="H215" s="16" t="str">
        <f t="shared" si="6"/>
        <v>=</v>
      </c>
      <c r="I215" s="16">
        <f>ROUND((C215*E215*G215),2)</f>
        <v>80</v>
      </c>
    </row>
    <row r="216" ht="12.75">
      <c r="A216" s="92"/>
    </row>
    <row r="217" spans="1:2" ht="12.75">
      <c r="A217" s="92"/>
      <c r="B217" s="7" t="str">
        <f>B187</f>
        <v>Laterais</v>
      </c>
    </row>
    <row r="218" spans="1:9" ht="12.75">
      <c r="A218" s="92"/>
      <c r="B218" s="16"/>
      <c r="C218" s="16" t="str">
        <f>C188</f>
        <v>comprimento</v>
      </c>
      <c r="D218" s="16"/>
      <c r="E218" s="16" t="str">
        <f>E188</f>
        <v>altura</v>
      </c>
      <c r="F218" s="16"/>
      <c r="G218" s="16" t="str">
        <f>G188</f>
        <v>quant.</v>
      </c>
      <c r="H218" s="16"/>
      <c r="I218" s="17" t="s">
        <v>186</v>
      </c>
    </row>
    <row r="219" spans="1:9" ht="12.75">
      <c r="A219" s="92"/>
      <c r="B219" s="16" t="str">
        <f aca="true" t="shared" si="7" ref="B219:H219">B189</f>
        <v>A=</v>
      </c>
      <c r="C219" s="16">
        <f t="shared" si="7"/>
        <v>35.3</v>
      </c>
      <c r="D219" s="16" t="str">
        <f t="shared" si="7"/>
        <v>x</v>
      </c>
      <c r="E219" s="16">
        <f t="shared" si="7"/>
        <v>1</v>
      </c>
      <c r="F219" s="16" t="str">
        <f t="shared" si="7"/>
        <v>x</v>
      </c>
      <c r="G219" s="16">
        <f t="shared" si="7"/>
        <v>2</v>
      </c>
      <c r="H219" s="16" t="str">
        <f t="shared" si="7"/>
        <v>=</v>
      </c>
      <c r="I219" s="16">
        <f>ROUND((C219*E219*G219),2)</f>
        <v>70.6</v>
      </c>
    </row>
    <row r="220" ht="12.75">
      <c r="A220" s="92"/>
    </row>
    <row r="221" spans="1:2" ht="12.75">
      <c r="A221" s="92"/>
      <c r="B221" s="7" t="str">
        <f>B191</f>
        <v>Cantos - Trapézios</v>
      </c>
    </row>
    <row r="222" spans="1:11" ht="12.75">
      <c r="A222" s="92"/>
      <c r="B222" s="16" t="str">
        <f aca="true" t="shared" si="8" ref="B222:I222">B192</f>
        <v>A=</v>
      </c>
      <c r="C222" s="117" t="str">
        <f t="shared" si="8"/>
        <v>(</v>
      </c>
      <c r="D222" s="117">
        <f t="shared" si="8"/>
        <v>3.3</v>
      </c>
      <c r="E222" s="117" t="str">
        <f t="shared" si="8"/>
        <v>+</v>
      </c>
      <c r="F222" s="117">
        <f t="shared" si="8"/>
        <v>2.3</v>
      </c>
      <c r="G222" s="117" t="str">
        <f t="shared" si="8"/>
        <v>)</v>
      </c>
      <c r="H222" s="16" t="str">
        <f t="shared" si="8"/>
        <v>x</v>
      </c>
      <c r="I222" s="16">
        <f t="shared" si="8"/>
        <v>1</v>
      </c>
      <c r="J222" s="17" t="s">
        <v>70</v>
      </c>
      <c r="K222" s="16">
        <f>ROUND((((D222+F222)*I222)/C223),2)</f>
        <v>2.8</v>
      </c>
    </row>
    <row r="223" spans="1:9" ht="12.75">
      <c r="A223" s="92"/>
      <c r="B223" s="16"/>
      <c r="C223" s="452">
        <f>C193</f>
        <v>2</v>
      </c>
      <c r="D223" s="452"/>
      <c r="E223" s="452"/>
      <c r="F223" s="452"/>
      <c r="G223" s="452"/>
      <c r="H223" s="16"/>
      <c r="I223" s="16"/>
    </row>
    <row r="224" spans="1:8" ht="12.75">
      <c r="A224" s="92"/>
      <c r="B224" s="16"/>
      <c r="C224" s="16" t="str">
        <f>C194</f>
        <v>área do trapézio</v>
      </c>
      <c r="D224" s="16"/>
      <c r="E224" s="16" t="str">
        <f>E194</f>
        <v>quant.</v>
      </c>
      <c r="F224" s="16"/>
      <c r="G224" s="17" t="s">
        <v>186</v>
      </c>
      <c r="H224" s="16"/>
    </row>
    <row r="225" spans="1:8" ht="12.75">
      <c r="A225" s="92"/>
      <c r="B225" s="16" t="str">
        <f>B195</f>
        <v>A=</v>
      </c>
      <c r="C225" s="16">
        <f>C195</f>
        <v>2.8</v>
      </c>
      <c r="D225" s="16" t="str">
        <f>D195</f>
        <v>x</v>
      </c>
      <c r="E225" s="16">
        <f>E195</f>
        <v>4</v>
      </c>
      <c r="F225" s="16" t="str">
        <f>F195</f>
        <v>=</v>
      </c>
      <c r="G225" s="16">
        <f>ROUND((C225*E225),2)</f>
        <v>11.2</v>
      </c>
      <c r="H225" s="16"/>
    </row>
    <row r="226" ht="12.75">
      <c r="A226" s="92"/>
    </row>
    <row r="227" spans="1:2" ht="12.75">
      <c r="A227" s="92"/>
      <c r="B227" s="7" t="str">
        <f>B197</f>
        <v>Somatória das áreas</v>
      </c>
    </row>
    <row r="228" spans="1:9" ht="12.75">
      <c r="A228" s="92"/>
      <c r="B228" s="16"/>
      <c r="C228" s="16" t="str">
        <f>C198</f>
        <v>Frente e Fundos</v>
      </c>
      <c r="D228" s="16"/>
      <c r="E228" s="16" t="str">
        <f>E198</f>
        <v>Laterais</v>
      </c>
      <c r="F228" s="16"/>
      <c r="G228" s="16" t="str">
        <f>G198</f>
        <v>Cantos - Trapézios</v>
      </c>
      <c r="H228" s="16"/>
      <c r="I228" s="17" t="s">
        <v>186</v>
      </c>
    </row>
    <row r="229" spans="1:9" ht="12.75">
      <c r="A229" s="92"/>
      <c r="B229" s="16" t="str">
        <f aca="true" t="shared" si="9" ref="B229:H229">B199</f>
        <v>Total Parcial</v>
      </c>
      <c r="C229" s="16">
        <f t="shared" si="9"/>
        <v>80</v>
      </c>
      <c r="D229" s="16" t="str">
        <f t="shared" si="9"/>
        <v>+</v>
      </c>
      <c r="E229" s="16">
        <f t="shared" si="9"/>
        <v>70.6</v>
      </c>
      <c r="F229" s="16" t="str">
        <f t="shared" si="9"/>
        <v>+</v>
      </c>
      <c r="G229" s="16">
        <f t="shared" si="9"/>
        <v>11.2</v>
      </c>
      <c r="H229" s="16" t="str">
        <f t="shared" si="9"/>
        <v>=</v>
      </c>
      <c r="I229" s="16">
        <f>C229+E229+G229</f>
        <v>161.79999999999998</v>
      </c>
    </row>
    <row r="230" ht="12.75">
      <c r="A230" s="92"/>
    </row>
    <row r="231" spans="1:2" ht="12.75">
      <c r="A231" s="92"/>
      <c r="B231" s="7" t="str">
        <f>B201</f>
        <v>Desconto - Portão</v>
      </c>
    </row>
    <row r="232" spans="1:7" ht="12.75">
      <c r="A232" s="92"/>
      <c r="B232" s="16"/>
      <c r="C232" s="16" t="str">
        <f>C202</f>
        <v>largura</v>
      </c>
      <c r="D232" s="16"/>
      <c r="E232" s="16" t="str">
        <f>E202</f>
        <v>altura</v>
      </c>
      <c r="F232" s="16"/>
      <c r="G232" s="17" t="s">
        <v>186</v>
      </c>
    </row>
    <row r="233" spans="1:7" ht="12.75">
      <c r="A233" s="92"/>
      <c r="B233" s="16" t="str">
        <f>B203</f>
        <v>A=</v>
      </c>
      <c r="C233" s="16">
        <f>C203</f>
        <v>1.4</v>
      </c>
      <c r="D233" s="16" t="str">
        <f>D203</f>
        <v>x</v>
      </c>
      <c r="E233" s="16">
        <f>E203</f>
        <v>2</v>
      </c>
      <c r="F233" s="16" t="str">
        <f>F203</f>
        <v>=</v>
      </c>
      <c r="G233" s="16">
        <f>ROUND((C233*E233),2)</f>
        <v>2.8</v>
      </c>
    </row>
    <row r="234" ht="12.75">
      <c r="A234" s="92"/>
    </row>
    <row r="235" spans="1:2" ht="12.75">
      <c r="A235" s="92"/>
      <c r="B235" s="7" t="str">
        <f>B205</f>
        <v>AREA DE ALAMBRADO</v>
      </c>
    </row>
    <row r="236" spans="1:7" ht="12.75">
      <c r="A236" s="92"/>
      <c r="B236" s="16"/>
      <c r="C236" s="16" t="str">
        <f>C206</f>
        <v>total</v>
      </c>
      <c r="D236" s="16"/>
      <c r="E236" s="140" t="str">
        <f>E206</f>
        <v>desconto</v>
      </c>
      <c r="F236" s="16"/>
      <c r="G236" s="17" t="s">
        <v>186</v>
      </c>
    </row>
    <row r="237" spans="1:7" ht="12.75">
      <c r="A237" s="92"/>
      <c r="B237" s="16" t="str">
        <f>B207</f>
        <v>A=</v>
      </c>
      <c r="C237" s="16">
        <f>C207</f>
        <v>161.79999999999998</v>
      </c>
      <c r="D237" s="16" t="str">
        <f>D207</f>
        <v>-</v>
      </c>
      <c r="E237" s="16">
        <f>E207</f>
        <v>2.8</v>
      </c>
      <c r="F237" s="16" t="str">
        <f>F207</f>
        <v>=</v>
      </c>
      <c r="G237" s="16">
        <f>C237-E237</f>
        <v>158.99999999999997</v>
      </c>
    </row>
    <row r="238" ht="12.75">
      <c r="A238" s="92"/>
    </row>
    <row r="239" spans="1:4" ht="12.75">
      <c r="A239" s="92"/>
      <c r="B239" s="198" t="s">
        <v>206</v>
      </c>
      <c r="C239" s="199">
        <f>G237</f>
        <v>158.99999999999997</v>
      </c>
      <c r="D239" s="200" t="s">
        <v>4</v>
      </c>
    </row>
    <row r="240" ht="12.75">
      <c r="A240" s="92"/>
    </row>
    <row r="241" spans="1:3" s="71" customFormat="1" ht="12.75">
      <c r="A241" s="95" t="str">
        <f>Orçamento!C38</f>
        <v>4.6</v>
      </c>
      <c r="B241" s="101" t="str">
        <f>Orçamento!D38</f>
        <v>Calçada (incl.alicerce, baldrame e concreto c/ junta seca)</v>
      </c>
      <c r="C241" s="73"/>
    </row>
    <row r="242" spans="1:3" s="71" customFormat="1" ht="12.75">
      <c r="A242" s="95"/>
      <c r="B242" s="72"/>
      <c r="C242" s="73"/>
    </row>
    <row r="243" spans="1:7" s="71" customFormat="1" ht="12.75">
      <c r="A243" s="95"/>
      <c r="B243" s="70"/>
      <c r="C243" s="17" t="s">
        <v>207</v>
      </c>
      <c r="D243" s="16"/>
      <c r="E243" s="17" t="s">
        <v>208</v>
      </c>
      <c r="F243" s="16"/>
      <c r="G243" s="17" t="s">
        <v>186</v>
      </c>
    </row>
    <row r="244" spans="1:7" s="71" customFormat="1" ht="12.75">
      <c r="A244" s="95"/>
      <c r="B244" s="460" t="s">
        <v>36</v>
      </c>
      <c r="C244" s="16">
        <v>23</v>
      </c>
      <c r="D244" s="16" t="s">
        <v>31</v>
      </c>
      <c r="E244" s="16">
        <v>1.2</v>
      </c>
      <c r="F244" s="17" t="s">
        <v>70</v>
      </c>
      <c r="G244" s="16">
        <f>ROUND((C244*E244),2)</f>
        <v>27.6</v>
      </c>
    </row>
    <row r="245" spans="1:7" s="71" customFormat="1" ht="12.75">
      <c r="A245" s="95"/>
      <c r="B245" s="460"/>
      <c r="C245" s="16">
        <v>23</v>
      </c>
      <c r="D245" s="17" t="s">
        <v>31</v>
      </c>
      <c r="E245" s="16">
        <v>1.2</v>
      </c>
      <c r="F245" s="17" t="s">
        <v>70</v>
      </c>
      <c r="G245" s="16">
        <f>ROUND((C245*E245),2)</f>
        <v>27.6</v>
      </c>
    </row>
    <row r="246" spans="1:7" s="71" customFormat="1" ht="12.75">
      <c r="A246" s="95"/>
      <c r="B246" s="460"/>
      <c r="C246" s="16">
        <v>35</v>
      </c>
      <c r="D246" s="17" t="s">
        <v>31</v>
      </c>
      <c r="E246" s="16">
        <v>1.2</v>
      </c>
      <c r="F246" s="17" t="s">
        <v>70</v>
      </c>
      <c r="G246" s="16">
        <f>ROUND((C246*E246),2)</f>
        <v>42</v>
      </c>
    </row>
    <row r="247" spans="1:7" s="71" customFormat="1" ht="12.75">
      <c r="A247" s="95"/>
      <c r="B247" s="460"/>
      <c r="C247" s="16">
        <v>35</v>
      </c>
      <c r="D247" s="17" t="s">
        <v>31</v>
      </c>
      <c r="E247" s="16">
        <v>1.2</v>
      </c>
      <c r="F247" s="17" t="s">
        <v>70</v>
      </c>
      <c r="G247" s="16">
        <f>ROUND((C247*E247),2)</f>
        <v>42</v>
      </c>
    </row>
    <row r="248" spans="1:7" s="71" customFormat="1" ht="12.75">
      <c r="A248" s="95"/>
      <c r="B248" s="19"/>
      <c r="C248" s="16"/>
      <c r="D248" s="16"/>
      <c r="E248" s="16"/>
      <c r="F248" s="16"/>
      <c r="G248" s="16"/>
    </row>
    <row r="249" spans="1:7" s="71" customFormat="1" ht="12.75">
      <c r="A249" s="95"/>
      <c r="B249" s="198" t="s">
        <v>206</v>
      </c>
      <c r="C249" s="199">
        <f>SUM(G244:G247)</f>
        <v>139.2</v>
      </c>
      <c r="D249" s="200" t="s">
        <v>4</v>
      </c>
      <c r="E249" s="7"/>
      <c r="F249" s="7"/>
      <c r="G249" s="7"/>
    </row>
    <row r="250" spans="1:3" s="71" customFormat="1" ht="12.75">
      <c r="A250" s="95"/>
      <c r="B250" s="72"/>
      <c r="C250" s="73"/>
    </row>
    <row r="251" spans="1:13" s="71" customFormat="1" ht="12.75">
      <c r="A251" s="102" t="str">
        <f>Orçamento!C40</f>
        <v>5</v>
      </c>
      <c r="B251" s="450" t="str">
        <f>Orçamento!D40</f>
        <v>INSTALAÇÕES ELÉTRICAS</v>
      </c>
      <c r="C251" s="450"/>
      <c r="D251" s="450"/>
      <c r="E251" s="450"/>
      <c r="F251" s="450"/>
      <c r="G251" s="450"/>
      <c r="H251" s="450"/>
      <c r="I251" s="450"/>
      <c r="J251" s="450"/>
      <c r="K251" s="450"/>
      <c r="L251" s="450"/>
      <c r="M251" s="451"/>
    </row>
    <row r="252" spans="1:3" s="71" customFormat="1" ht="12.75">
      <c r="A252" s="95"/>
      <c r="B252" s="72"/>
      <c r="C252" s="73"/>
    </row>
    <row r="253" spans="1:3" s="71" customFormat="1" ht="12.75">
      <c r="A253" s="95" t="str">
        <f>Orçamento!C41</f>
        <v>5.1</v>
      </c>
      <c r="B253" s="101" t="str">
        <f>Orçamento!D41</f>
        <v>Poste em fo.go. h=11m (incl.base concr.ciclópico)</v>
      </c>
      <c r="C253" s="73"/>
    </row>
    <row r="254" spans="1:3" s="71" customFormat="1" ht="12.75">
      <c r="A254" s="95"/>
      <c r="B254" s="72"/>
      <c r="C254" s="73"/>
    </row>
    <row r="255" spans="1:4" s="71" customFormat="1" ht="12.75">
      <c r="A255" s="95"/>
      <c r="B255" s="198" t="s">
        <v>188</v>
      </c>
      <c r="C255" s="199">
        <v>4</v>
      </c>
      <c r="D255" s="200" t="s">
        <v>209</v>
      </c>
    </row>
    <row r="256" spans="1:3" s="71" customFormat="1" ht="12.75">
      <c r="A256" s="95"/>
      <c r="B256" s="72"/>
      <c r="C256" s="73"/>
    </row>
    <row r="257" spans="1:3" s="71" customFormat="1" ht="12.75">
      <c r="A257" s="95" t="str">
        <f>Orçamento!C42</f>
        <v>5.2</v>
      </c>
      <c r="B257" s="101" t="str">
        <f>Orçamento!D42</f>
        <v>Haste de Aço cobreada 3/4"x3m c/ conector</v>
      </c>
      <c r="C257" s="73"/>
    </row>
    <row r="258" s="71" customFormat="1" ht="12.75">
      <c r="A258" s="95"/>
    </row>
    <row r="259" spans="1:4" s="71" customFormat="1" ht="12.75">
      <c r="A259" s="95"/>
      <c r="B259" s="198" t="s">
        <v>188</v>
      </c>
      <c r="C259" s="199">
        <v>5</v>
      </c>
      <c r="D259" s="200" t="s">
        <v>209</v>
      </c>
    </row>
    <row r="260" spans="1:3" s="71" customFormat="1" ht="12.75">
      <c r="A260" s="95"/>
      <c r="B260" s="72"/>
      <c r="C260" s="73"/>
    </row>
    <row r="261" spans="1:3" s="71" customFormat="1" ht="12.75">
      <c r="A261" s="95" t="str">
        <f>Orçamento!C43</f>
        <v>5.3</v>
      </c>
      <c r="B261" s="101" t="str">
        <f>Orçamento!D43</f>
        <v>Cordoalha de cobre nu - seçao 35 a 50mm2 - isoladores</v>
      </c>
      <c r="C261" s="73"/>
    </row>
    <row r="262" spans="1:3" s="71" customFormat="1" ht="12.75">
      <c r="A262" s="95"/>
      <c r="B262" s="72"/>
      <c r="C262" s="73"/>
    </row>
    <row r="263" spans="1:3" s="71" customFormat="1" ht="12.75">
      <c r="A263" s="95"/>
      <c r="B263" s="85" t="s">
        <v>138</v>
      </c>
      <c r="C263" s="139" t="s">
        <v>139</v>
      </c>
    </row>
    <row r="264" spans="1:7" s="71" customFormat="1" ht="12.75">
      <c r="A264" s="95"/>
      <c r="B264" s="72"/>
      <c r="C264" s="136" t="s">
        <v>140</v>
      </c>
      <c r="D264" s="93"/>
      <c r="E264" s="94" t="s">
        <v>116</v>
      </c>
      <c r="F264" s="93"/>
      <c r="G264" s="130" t="s">
        <v>210</v>
      </c>
    </row>
    <row r="265" spans="1:8" s="71" customFormat="1" ht="12.75">
      <c r="A265" s="95"/>
      <c r="B265" s="136" t="s">
        <v>30</v>
      </c>
      <c r="C265" s="136">
        <v>1.5</v>
      </c>
      <c r="D265" s="94" t="s">
        <v>31</v>
      </c>
      <c r="E265" s="93">
        <f>C255</f>
        <v>4</v>
      </c>
      <c r="F265" s="94" t="s">
        <v>70</v>
      </c>
      <c r="G265" s="93">
        <f>ROUND((C265*E265),2)</f>
        <v>6</v>
      </c>
      <c r="H265" s="130" t="s">
        <v>87</v>
      </c>
    </row>
    <row r="266" spans="1:3" s="71" customFormat="1" ht="12.75">
      <c r="A266" s="95"/>
      <c r="B266" s="72"/>
      <c r="C266" s="73"/>
    </row>
    <row r="267" spans="1:4" s="71" customFormat="1" ht="12.75">
      <c r="A267" s="95"/>
      <c r="B267" s="198" t="s">
        <v>199</v>
      </c>
      <c r="C267" s="199">
        <f>G265</f>
        <v>6</v>
      </c>
      <c r="D267" s="200" t="s">
        <v>87</v>
      </c>
    </row>
    <row r="268" spans="1:3" s="71" customFormat="1" ht="12.75">
      <c r="A268" s="95"/>
      <c r="B268" s="72"/>
      <c r="C268" s="73"/>
    </row>
    <row r="269" spans="1:3" s="71" customFormat="1" ht="12.75">
      <c r="A269" s="95" t="str">
        <f>Orçamento!C44</f>
        <v>5.4</v>
      </c>
      <c r="B269" s="101" t="str">
        <f>Orçamento!D44</f>
        <v>Refletor aluminio c/ lâmp mista 250W E-27</v>
      </c>
      <c r="C269" s="73"/>
    </row>
    <row r="270" spans="1:3" s="71" customFormat="1" ht="12.75">
      <c r="A270" s="95"/>
      <c r="B270" s="72"/>
      <c r="C270" s="73"/>
    </row>
    <row r="271" spans="1:9" s="71" customFormat="1" ht="12.75">
      <c r="A271" s="95"/>
      <c r="C271" s="453" t="s">
        <v>115</v>
      </c>
      <c r="D271" s="453"/>
      <c r="E271" s="453"/>
      <c r="G271" s="94" t="s">
        <v>116</v>
      </c>
      <c r="I271" s="94" t="s">
        <v>152</v>
      </c>
    </row>
    <row r="272" spans="1:9" s="71" customFormat="1" ht="12.75">
      <c r="A272" s="95"/>
      <c r="B272" s="118" t="s">
        <v>30</v>
      </c>
      <c r="C272" s="453">
        <v>2</v>
      </c>
      <c r="D272" s="453"/>
      <c r="E272" s="453"/>
      <c r="F272" s="94" t="s">
        <v>31</v>
      </c>
      <c r="G272" s="93">
        <v>4</v>
      </c>
      <c r="H272" s="94" t="s">
        <v>70</v>
      </c>
      <c r="I272" s="93">
        <f>ROUND((C272*G272),2)</f>
        <v>8</v>
      </c>
    </row>
    <row r="273" spans="1:3" s="71" customFormat="1" ht="12.75">
      <c r="A273" s="95"/>
      <c r="B273" s="72"/>
      <c r="C273" s="73"/>
    </row>
    <row r="274" spans="1:4" s="71" customFormat="1" ht="12.75">
      <c r="A274" s="95"/>
      <c r="B274" s="198" t="s">
        <v>188</v>
      </c>
      <c r="C274" s="199">
        <f>I272</f>
        <v>8</v>
      </c>
      <c r="D274" s="200" t="s">
        <v>209</v>
      </c>
    </row>
    <row r="275" spans="1:3" s="71" customFormat="1" ht="12.75">
      <c r="A275" s="95"/>
      <c r="B275" s="72"/>
      <c r="C275" s="73"/>
    </row>
    <row r="276" spans="1:3" s="71" customFormat="1" ht="12.75">
      <c r="A276" s="95" t="str">
        <f>Orçamento!C45</f>
        <v>5.5</v>
      </c>
      <c r="B276" s="101" t="str">
        <f>Orçamento!D45</f>
        <v>Caixa em alvenaria de 30x30x30cm c/ tpo. Concreto</v>
      </c>
      <c r="C276" s="73"/>
    </row>
    <row r="277" spans="1:3" s="71" customFormat="1" ht="12.75">
      <c r="A277" s="95"/>
      <c r="B277" s="72"/>
      <c r="C277" s="73"/>
    </row>
    <row r="278" spans="1:4" s="71" customFormat="1" ht="12.75">
      <c r="A278" s="95"/>
      <c r="B278" s="198" t="s">
        <v>188</v>
      </c>
      <c r="C278" s="199">
        <v>4</v>
      </c>
      <c r="D278" s="200" t="s">
        <v>209</v>
      </c>
    </row>
    <row r="279" spans="1:3" s="71" customFormat="1" ht="12.75">
      <c r="A279" s="95"/>
      <c r="B279" s="72"/>
      <c r="C279" s="73"/>
    </row>
    <row r="280" spans="1:3" s="71" customFormat="1" ht="12.75">
      <c r="A280" s="95" t="str">
        <f>Orçamento!C46</f>
        <v>5.6</v>
      </c>
      <c r="B280" s="101" t="str">
        <f>Orçamento!D46</f>
        <v>Cabo de cobre 4mm2 - 750 V</v>
      </c>
      <c r="C280" s="73"/>
    </row>
    <row r="281" spans="1:3" s="71" customFormat="1" ht="12.75">
      <c r="A281" s="95"/>
      <c r="B281" s="72"/>
      <c r="C281" s="73"/>
    </row>
    <row r="282" spans="1:2" s="71" customFormat="1" ht="12.75">
      <c r="A282" s="95"/>
      <c r="B282" s="133" t="s">
        <v>129</v>
      </c>
    </row>
    <row r="283" spans="1:9" s="71" customFormat="1" ht="12.75">
      <c r="A283" s="95"/>
      <c r="B283" s="73"/>
      <c r="C283" s="137" t="s">
        <v>93</v>
      </c>
      <c r="D283" s="94"/>
      <c r="E283" s="93" t="s">
        <v>83</v>
      </c>
      <c r="F283" s="94"/>
      <c r="G283" s="94" t="s">
        <v>151</v>
      </c>
      <c r="H283" s="93"/>
      <c r="I283" s="94" t="s">
        <v>152</v>
      </c>
    </row>
    <row r="284" spans="1:10" s="71" customFormat="1" ht="12.75">
      <c r="A284" s="95"/>
      <c r="B284" s="137" t="s">
        <v>30</v>
      </c>
      <c r="C284" s="137">
        <v>2</v>
      </c>
      <c r="D284" s="94" t="s">
        <v>31</v>
      </c>
      <c r="E284" s="94">
        <v>23.5</v>
      </c>
      <c r="F284" s="93"/>
      <c r="G284" s="94"/>
      <c r="H284" s="94" t="s">
        <v>70</v>
      </c>
      <c r="I284" s="93">
        <f>ROUND((C284*E284),2)</f>
        <v>47</v>
      </c>
      <c r="J284" s="143" t="s">
        <v>87</v>
      </c>
    </row>
    <row r="285" spans="1:10" s="71" customFormat="1" ht="12.75">
      <c r="A285" s="95"/>
      <c r="B285" s="137" t="s">
        <v>30</v>
      </c>
      <c r="C285" s="93">
        <v>1</v>
      </c>
      <c r="D285" s="94" t="s">
        <v>31</v>
      </c>
      <c r="E285" s="137">
        <v>38.75</v>
      </c>
      <c r="F285" s="93"/>
      <c r="G285" s="93"/>
      <c r="H285" s="94" t="s">
        <v>70</v>
      </c>
      <c r="I285" s="93">
        <f>ROUND((C285*E285),2)</f>
        <v>38.75</v>
      </c>
      <c r="J285" s="130" t="s">
        <v>87</v>
      </c>
    </row>
    <row r="286" spans="1:10" s="71" customFormat="1" ht="12.75">
      <c r="A286" s="95"/>
      <c r="B286" s="141" t="s">
        <v>30</v>
      </c>
      <c r="C286" s="141">
        <v>4</v>
      </c>
      <c r="D286" s="141" t="s">
        <v>31</v>
      </c>
      <c r="E286" s="142">
        <v>11</v>
      </c>
      <c r="F286" s="141" t="s">
        <v>31</v>
      </c>
      <c r="G286" s="142">
        <v>3</v>
      </c>
      <c r="H286" s="141" t="s">
        <v>70</v>
      </c>
      <c r="I286" s="142">
        <f>ROUND((C286*E286*G286),2)</f>
        <v>132</v>
      </c>
      <c r="J286" s="130" t="s">
        <v>87</v>
      </c>
    </row>
    <row r="287" spans="1:10" s="71" customFormat="1" ht="12.75">
      <c r="A287" s="95"/>
      <c r="B287" s="72"/>
      <c r="C287" s="73"/>
      <c r="G287" s="94" t="s">
        <v>152</v>
      </c>
      <c r="H287" s="94" t="s">
        <v>70</v>
      </c>
      <c r="I287" s="93">
        <f>SUM(I284:I286)</f>
        <v>217.75</v>
      </c>
      <c r="J287" s="130" t="s">
        <v>87</v>
      </c>
    </row>
    <row r="288" spans="1:3" s="71" customFormat="1" ht="12.75">
      <c r="A288" s="95"/>
      <c r="B288" s="72"/>
      <c r="C288" s="73"/>
    </row>
    <row r="289" spans="1:4" s="71" customFormat="1" ht="12.75">
      <c r="A289" s="95"/>
      <c r="B289" s="198" t="s">
        <v>199</v>
      </c>
      <c r="C289" s="199">
        <f>I287</f>
        <v>217.75</v>
      </c>
      <c r="D289" s="200" t="s">
        <v>87</v>
      </c>
    </row>
    <row r="290" spans="1:3" s="71" customFormat="1" ht="12.75">
      <c r="A290" s="95"/>
      <c r="B290" s="72"/>
      <c r="C290" s="73"/>
    </row>
    <row r="291" spans="1:3" s="71" customFormat="1" ht="12.75">
      <c r="A291" s="95" t="str">
        <f>Orçamento!C47</f>
        <v>5.7</v>
      </c>
      <c r="B291" s="101" t="str">
        <f>Orçamento!D47</f>
        <v>Eletroduto PVC Rígido de 3/4</v>
      </c>
      <c r="C291" s="73"/>
    </row>
    <row r="292" spans="1:3" s="71" customFormat="1" ht="12.75">
      <c r="A292" s="95"/>
      <c r="B292" s="72"/>
      <c r="C292" s="73"/>
    </row>
    <row r="293" spans="1:8" s="71" customFormat="1" ht="12.75">
      <c r="A293" s="95"/>
      <c r="B293" s="73"/>
      <c r="C293" s="137" t="s">
        <v>93</v>
      </c>
      <c r="D293" s="94"/>
      <c r="E293" s="93" t="s">
        <v>83</v>
      </c>
      <c r="F293" s="94"/>
      <c r="G293" s="93"/>
      <c r="H293" s="94" t="s">
        <v>152</v>
      </c>
    </row>
    <row r="294" spans="1:9" s="71" customFormat="1" ht="12.75">
      <c r="A294" s="95"/>
      <c r="B294" s="137" t="s">
        <v>30</v>
      </c>
      <c r="C294" s="137">
        <v>2</v>
      </c>
      <c r="D294" s="94" t="s">
        <v>31</v>
      </c>
      <c r="E294" s="94">
        <v>23.5</v>
      </c>
      <c r="F294" s="93"/>
      <c r="G294" s="94" t="s">
        <v>70</v>
      </c>
      <c r="H294" s="93">
        <f>ROUND((C294*E294),2)</f>
        <v>47</v>
      </c>
      <c r="I294" s="143" t="s">
        <v>87</v>
      </c>
    </row>
    <row r="295" spans="1:9" s="71" customFormat="1" ht="12.75">
      <c r="A295" s="95"/>
      <c r="B295" s="141" t="s">
        <v>30</v>
      </c>
      <c r="C295" s="142">
        <v>1</v>
      </c>
      <c r="D295" s="141" t="s">
        <v>31</v>
      </c>
      <c r="E295" s="141">
        <v>38.75</v>
      </c>
      <c r="F295" s="142"/>
      <c r="G295" s="141" t="s">
        <v>70</v>
      </c>
      <c r="H295" s="142">
        <f>ROUND((C295*E295),2)</f>
        <v>38.75</v>
      </c>
      <c r="I295" s="130" t="s">
        <v>87</v>
      </c>
    </row>
    <row r="296" spans="1:9" s="71" customFormat="1" ht="12.75">
      <c r="A296" s="95"/>
      <c r="B296" s="72"/>
      <c r="C296" s="73"/>
      <c r="F296" s="94" t="s">
        <v>152</v>
      </c>
      <c r="G296" s="94" t="s">
        <v>70</v>
      </c>
      <c r="H296" s="93">
        <f>SUM(H294:H295)</f>
        <v>85.75</v>
      </c>
      <c r="I296" s="130" t="s">
        <v>87</v>
      </c>
    </row>
    <row r="297" spans="1:3" s="71" customFormat="1" ht="12.75">
      <c r="A297" s="95"/>
      <c r="B297" s="72"/>
      <c r="C297" s="73"/>
    </row>
    <row r="298" spans="1:4" s="71" customFormat="1" ht="12.75">
      <c r="A298" s="95"/>
      <c r="B298" s="198" t="s">
        <v>199</v>
      </c>
      <c r="C298" s="199">
        <f>H296</f>
        <v>85.75</v>
      </c>
      <c r="D298" s="200" t="s">
        <v>87</v>
      </c>
    </row>
    <row r="299" spans="1:3" s="71" customFormat="1" ht="12.75">
      <c r="A299" s="95"/>
      <c r="B299" s="72"/>
      <c r="C299" s="73"/>
    </row>
    <row r="300" spans="1:13" s="71" customFormat="1" ht="12.75">
      <c r="A300" s="95" t="str">
        <f>Orçamento!C48</f>
        <v>5.8</v>
      </c>
      <c r="B300" s="454" t="str">
        <f>Orçamento!D48</f>
        <v>Mureta de mediçao em alv.c/laje em conc.(c=2.20/l=0.50/h=2.0m)</v>
      </c>
      <c r="C300" s="454"/>
      <c r="D300" s="454"/>
      <c r="E300" s="454"/>
      <c r="F300" s="454"/>
      <c r="G300" s="454"/>
      <c r="H300" s="454"/>
      <c r="I300" s="454"/>
      <c r="J300" s="454"/>
      <c r="K300" s="454"/>
      <c r="L300" s="454"/>
      <c r="M300" s="454"/>
    </row>
    <row r="301" spans="1:3" s="71" customFormat="1" ht="12.75">
      <c r="A301" s="95"/>
      <c r="B301" s="72"/>
      <c r="C301" s="73"/>
    </row>
    <row r="302" spans="1:4" s="71" customFormat="1" ht="12.75">
      <c r="A302" s="95"/>
      <c r="B302" s="198" t="s">
        <v>188</v>
      </c>
      <c r="C302" s="199">
        <v>1</v>
      </c>
      <c r="D302" s="200" t="s">
        <v>209</v>
      </c>
    </row>
    <row r="303" spans="1:3" s="71" customFormat="1" ht="12.75">
      <c r="A303" s="95"/>
      <c r="B303" s="72"/>
      <c r="C303" s="73"/>
    </row>
    <row r="304" spans="1:3" s="71" customFormat="1" ht="12.75">
      <c r="A304" s="95" t="str">
        <f>Orçamento!C49</f>
        <v>5.9</v>
      </c>
      <c r="B304" s="101" t="str">
        <f>Orçamento!D49</f>
        <v>Centro de distribuição p/ 03 disjuntores (s/ barramento)</v>
      </c>
      <c r="C304" s="73"/>
    </row>
    <row r="305" spans="1:3" s="71" customFormat="1" ht="12.75">
      <c r="A305" s="95"/>
      <c r="B305" s="72"/>
      <c r="C305" s="73"/>
    </row>
    <row r="306" spans="1:4" s="71" customFormat="1" ht="12.75">
      <c r="A306" s="95"/>
      <c r="B306" s="198" t="s">
        <v>188</v>
      </c>
      <c r="C306" s="199">
        <v>1</v>
      </c>
      <c r="D306" s="200" t="s">
        <v>209</v>
      </c>
    </row>
    <row r="307" spans="1:3" s="71" customFormat="1" ht="12.75">
      <c r="A307" s="95"/>
      <c r="B307" s="72"/>
      <c r="C307" s="73"/>
    </row>
    <row r="308" spans="1:3" s="71" customFormat="1" ht="12.75">
      <c r="A308" s="95" t="str">
        <f>Orçamento!C50</f>
        <v>5.10</v>
      </c>
      <c r="B308" s="101" t="str">
        <f>Orçamento!D50</f>
        <v>Disjuntor 2P - 6 a 32A - PADRÃO DIN</v>
      </c>
      <c r="C308" s="73"/>
    </row>
    <row r="309" spans="1:3" s="71" customFormat="1" ht="12.75">
      <c r="A309" s="95"/>
      <c r="B309" s="101"/>
      <c r="C309" s="73"/>
    </row>
    <row r="310" spans="1:4" s="71" customFormat="1" ht="12.75">
      <c r="A310" s="95"/>
      <c r="B310" s="198" t="s">
        <v>188</v>
      </c>
      <c r="C310" s="199">
        <v>3</v>
      </c>
      <c r="D310" s="200" t="s">
        <v>209</v>
      </c>
    </row>
    <row r="311" spans="1:3" s="71" customFormat="1" ht="12.75">
      <c r="A311" s="95"/>
      <c r="B311" s="72"/>
      <c r="C311" s="73"/>
    </row>
    <row r="312" spans="1:3" s="71" customFormat="1" ht="12.75">
      <c r="A312" s="95" t="str">
        <f>Orçamento!C51</f>
        <v>5.11</v>
      </c>
      <c r="B312" s="101" t="str">
        <f>Orçamento!D51</f>
        <v>DISJUNTOR BIPOLAR TIPO DIN, CORRENTE NOMINAL DE 60A - FORNECIMENTO E INSTALAÇÃO.</v>
      </c>
      <c r="C312" s="73"/>
    </row>
    <row r="313" spans="1:3" s="71" customFormat="1" ht="12.75">
      <c r="A313" s="95"/>
      <c r="B313" s="101"/>
      <c r="C313" s="73"/>
    </row>
    <row r="314" spans="1:4" s="71" customFormat="1" ht="12.75">
      <c r="A314" s="95"/>
      <c r="B314" s="198" t="s">
        <v>188</v>
      </c>
      <c r="C314" s="199">
        <v>1</v>
      </c>
      <c r="D314" s="200" t="s">
        <v>209</v>
      </c>
    </row>
    <row r="315" spans="1:3" s="71" customFormat="1" ht="12.75">
      <c r="A315" s="95"/>
      <c r="B315" s="72"/>
      <c r="C315" s="73"/>
    </row>
    <row r="316" spans="1:3" s="71" customFormat="1" ht="12.75">
      <c r="A316" s="95" t="str">
        <f>Orçamento!C52</f>
        <v>5.12</v>
      </c>
      <c r="B316" s="101" t="str">
        <f>Orçamento!D52</f>
        <v>CABO DE COBRE FLEXÍVEL ISOLADO, 10 MM², ANTI-CHAMA 0,6/1,0 KV, PARA DISTRIBUIÇÃO - FORNECIMENTO E INSTALAÇÃO. AF_12/2015</v>
      </c>
      <c r="C316" s="73"/>
    </row>
    <row r="317" spans="1:3" s="71" customFormat="1" ht="12.75">
      <c r="A317" s="95"/>
      <c r="B317" s="101"/>
      <c r="C317" s="73"/>
    </row>
    <row r="318" spans="1:4" s="71" customFormat="1" ht="12.75">
      <c r="A318" s="95"/>
      <c r="B318" s="198" t="s">
        <v>188</v>
      </c>
      <c r="C318" s="199">
        <v>15</v>
      </c>
      <c r="D318" s="200" t="s">
        <v>87</v>
      </c>
    </row>
    <row r="319" spans="1:3" s="71" customFormat="1" ht="12.75">
      <c r="A319" s="95"/>
      <c r="B319" s="72"/>
      <c r="C319" s="73"/>
    </row>
    <row r="320" spans="1:3" s="71" customFormat="1" ht="12.75">
      <c r="A320" s="95" t="str">
        <f>Orçamento!C53</f>
        <v>5.13</v>
      </c>
      <c r="B320" s="101" t="str">
        <f>Orçamento!D53</f>
        <v>Poste de concreto circular 300 Dan h = 9m (incl. base em concreto ciclópico)</v>
      </c>
      <c r="C320" s="73"/>
    </row>
    <row r="321" spans="1:3" s="71" customFormat="1" ht="12.75">
      <c r="A321" s="95"/>
      <c r="B321" s="101"/>
      <c r="C321" s="73"/>
    </row>
    <row r="322" spans="1:4" s="71" customFormat="1" ht="12.75">
      <c r="A322" s="95"/>
      <c r="B322" s="198" t="s">
        <v>188</v>
      </c>
      <c r="C322" s="199">
        <v>1</v>
      </c>
      <c r="D322" s="200" t="s">
        <v>209</v>
      </c>
    </row>
    <row r="323" spans="1:3" s="71" customFormat="1" ht="12.75">
      <c r="A323" s="95"/>
      <c r="B323" s="72"/>
      <c r="C323" s="73"/>
    </row>
    <row r="324" spans="1:3" s="71" customFormat="1" ht="12.75">
      <c r="A324" s="95" t="str">
        <f>Orçamento!C54</f>
        <v>5.14</v>
      </c>
      <c r="B324" s="101" t="str">
        <f>Orçamento!D54</f>
        <v>QUADRO DE MEDIÇÃO GERAL DE ENERGIA COM 12 MEDIDORES - FORNECIMENTO E INSTALAÇÃO. AF_10/2020</v>
      </c>
      <c r="C324" s="73"/>
    </row>
    <row r="325" spans="1:3" s="71" customFormat="1" ht="12.75">
      <c r="A325" s="95"/>
      <c r="B325" s="101"/>
      <c r="C325" s="73"/>
    </row>
    <row r="326" spans="1:4" s="71" customFormat="1" ht="12.75">
      <c r="A326" s="95"/>
      <c r="B326" s="198" t="s">
        <v>188</v>
      </c>
      <c r="C326" s="199">
        <v>1</v>
      </c>
      <c r="D326" s="200" t="s">
        <v>209</v>
      </c>
    </row>
    <row r="327" spans="1:3" s="71" customFormat="1" ht="12.75">
      <c r="A327" s="95"/>
      <c r="B327" s="72"/>
      <c r="C327" s="73"/>
    </row>
    <row r="328" spans="1:13" s="71" customFormat="1" ht="12.75">
      <c r="A328" s="102" t="str">
        <f>Orçamento!C56</f>
        <v>6</v>
      </c>
      <c r="B328" s="450" t="str">
        <f>Orçamento!D56</f>
        <v>DRENAGEM DE ÁGUAS PLUVIAIS</v>
      </c>
      <c r="C328" s="450"/>
      <c r="D328" s="450"/>
      <c r="E328" s="450"/>
      <c r="F328" s="450"/>
      <c r="G328" s="450"/>
      <c r="H328" s="450"/>
      <c r="I328" s="450"/>
      <c r="J328" s="450"/>
      <c r="K328" s="450"/>
      <c r="L328" s="450"/>
      <c r="M328" s="451"/>
    </row>
    <row r="329" spans="1:3" s="71" customFormat="1" ht="12.75">
      <c r="A329" s="95"/>
      <c r="B329" s="72"/>
      <c r="C329" s="73"/>
    </row>
    <row r="330" spans="1:2" ht="12.75">
      <c r="A330" s="92" t="str">
        <f>Orçamento!C57</f>
        <v>6.1</v>
      </c>
      <c r="B330" s="106" t="str">
        <f>Orçamento!D57</f>
        <v>Escavação manual ate 1.50m de profundidade</v>
      </c>
    </row>
    <row r="331" ht="12.75">
      <c r="A331" s="92"/>
    </row>
    <row r="332" spans="1:2" ht="12.75">
      <c r="A332" s="92"/>
      <c r="B332" s="134" t="s">
        <v>132</v>
      </c>
    </row>
    <row r="333" spans="1:5" ht="12.75">
      <c r="A333" s="92"/>
      <c r="C333" s="18" t="s">
        <v>83</v>
      </c>
      <c r="E333" s="17" t="s">
        <v>97</v>
      </c>
    </row>
    <row r="334" spans="1:8" ht="12.75">
      <c r="A334" s="92"/>
      <c r="B334" s="19" t="s">
        <v>32</v>
      </c>
      <c r="C334" s="16">
        <v>11.2</v>
      </c>
      <c r="D334" s="17" t="s">
        <v>31</v>
      </c>
      <c r="E334" s="16">
        <v>8</v>
      </c>
      <c r="F334" s="17" t="s">
        <v>70</v>
      </c>
      <c r="G334" s="16">
        <f>ROUND((C334*E334),2)</f>
        <v>89.6</v>
      </c>
      <c r="H334" s="18" t="s">
        <v>98</v>
      </c>
    </row>
    <row r="335" spans="1:8" ht="12.75">
      <c r="A335" s="92"/>
      <c r="B335" s="19"/>
      <c r="C335" s="16">
        <v>7.8</v>
      </c>
      <c r="D335" s="17" t="s">
        <v>31</v>
      </c>
      <c r="E335" s="16">
        <v>16</v>
      </c>
      <c r="F335" s="17" t="s">
        <v>70</v>
      </c>
      <c r="G335" s="16">
        <f>ROUND((C335*E335),2)</f>
        <v>124.8</v>
      </c>
      <c r="H335" s="18" t="s">
        <v>98</v>
      </c>
    </row>
    <row r="336" spans="1:8" ht="12.75">
      <c r="A336" s="92"/>
      <c r="B336" s="19" t="s">
        <v>32</v>
      </c>
      <c r="C336" s="16">
        <v>37.7</v>
      </c>
      <c r="D336" s="17" t="s">
        <v>31</v>
      </c>
      <c r="E336" s="16">
        <v>1</v>
      </c>
      <c r="F336" s="17" t="s">
        <v>70</v>
      </c>
      <c r="G336" s="16">
        <f>ROUND((C336*E336),2)</f>
        <v>37.7</v>
      </c>
      <c r="H336" s="18" t="s">
        <v>99</v>
      </c>
    </row>
    <row r="337" spans="1:7" ht="12.75">
      <c r="A337" s="92"/>
      <c r="B337" s="449" t="s">
        <v>100</v>
      </c>
      <c r="C337" s="452"/>
      <c r="D337" s="452"/>
      <c r="E337" s="452"/>
      <c r="F337" s="17" t="s">
        <v>70</v>
      </c>
      <c r="G337" s="16">
        <f>SUM(G334:G336)</f>
        <v>252.09999999999997</v>
      </c>
    </row>
    <row r="338" spans="1:7" ht="12.75">
      <c r="A338" s="92"/>
      <c r="B338" s="15"/>
      <c r="C338" s="16"/>
      <c r="D338" s="17"/>
      <c r="E338" s="16"/>
      <c r="F338" s="17"/>
      <c r="G338" s="16"/>
    </row>
    <row r="339" spans="1:10" ht="12.75">
      <c r="A339" s="92"/>
      <c r="B339" s="19"/>
      <c r="C339" s="17" t="s">
        <v>101</v>
      </c>
      <c r="D339" s="17"/>
      <c r="E339" s="17" t="s">
        <v>102</v>
      </c>
      <c r="F339" s="17"/>
      <c r="G339" s="17" t="s">
        <v>86</v>
      </c>
      <c r="I339" s="204" t="s">
        <v>201</v>
      </c>
      <c r="J339" s="203"/>
    </row>
    <row r="340" spans="1:10" ht="12.75">
      <c r="A340" s="92"/>
      <c r="B340" s="17" t="s">
        <v>89</v>
      </c>
      <c r="C340" s="16">
        <f>G337</f>
        <v>252.09999999999997</v>
      </c>
      <c r="D340" s="17" t="s">
        <v>31</v>
      </c>
      <c r="E340" s="16">
        <v>0.3</v>
      </c>
      <c r="F340" s="17" t="s">
        <v>31</v>
      </c>
      <c r="G340" s="16">
        <v>0.4</v>
      </c>
      <c r="H340" s="17" t="s">
        <v>70</v>
      </c>
      <c r="I340" s="203">
        <f>ROUND((C340*E340*G340),2)</f>
        <v>30.25</v>
      </c>
      <c r="J340" s="204" t="s">
        <v>6</v>
      </c>
    </row>
    <row r="341" spans="1:7" ht="12.75">
      <c r="A341" s="92"/>
      <c r="B341" s="19"/>
      <c r="C341" s="16"/>
      <c r="D341" s="17"/>
      <c r="E341" s="16"/>
      <c r="F341" s="17"/>
      <c r="G341" s="16"/>
    </row>
    <row r="342" spans="1:7" ht="12.75">
      <c r="A342" s="92"/>
      <c r="B342" s="135" t="s">
        <v>133</v>
      </c>
      <c r="C342" s="16"/>
      <c r="D342" s="17"/>
      <c r="E342" s="16"/>
      <c r="F342" s="17"/>
      <c r="G342" s="16"/>
    </row>
    <row r="343" spans="1:9" ht="12.75">
      <c r="A343" s="92"/>
      <c r="C343" s="17" t="s">
        <v>101</v>
      </c>
      <c r="D343" s="17"/>
      <c r="E343" s="17" t="s">
        <v>102</v>
      </c>
      <c r="F343" s="17"/>
      <c r="G343" s="17" t="s">
        <v>86</v>
      </c>
      <c r="I343" s="204" t="s">
        <v>201</v>
      </c>
    </row>
    <row r="344" spans="1:10" ht="12.75">
      <c r="A344" s="92"/>
      <c r="B344" s="17" t="s">
        <v>89</v>
      </c>
      <c r="C344" s="16">
        <v>50</v>
      </c>
      <c r="D344" s="17" t="s">
        <v>31</v>
      </c>
      <c r="E344" s="16">
        <v>0.3</v>
      </c>
      <c r="F344" s="17" t="s">
        <v>31</v>
      </c>
      <c r="G344" s="16">
        <v>0.4</v>
      </c>
      <c r="H344" s="17" t="s">
        <v>70</v>
      </c>
      <c r="I344" s="16">
        <f>ROUND((C344*E344*G344),2)</f>
        <v>6</v>
      </c>
      <c r="J344" s="204" t="s">
        <v>6</v>
      </c>
    </row>
    <row r="345" spans="1:7" ht="12.75">
      <c r="A345" s="92"/>
      <c r="B345" s="19"/>
      <c r="C345" s="16"/>
      <c r="D345" s="17"/>
      <c r="E345" s="16"/>
      <c r="F345" s="17"/>
      <c r="G345" s="16"/>
    </row>
    <row r="346" spans="1:4" ht="12.75">
      <c r="A346" s="92"/>
      <c r="B346" s="198" t="s">
        <v>211</v>
      </c>
      <c r="C346" s="199">
        <f>I340+I344</f>
        <v>36.25</v>
      </c>
      <c r="D346" s="200" t="s">
        <v>6</v>
      </c>
    </row>
    <row r="347" ht="12.75">
      <c r="A347" s="92"/>
    </row>
    <row r="348" spans="1:2" ht="12.75">
      <c r="A348" s="92" t="str">
        <f>Orçamento!C58</f>
        <v>6.2</v>
      </c>
      <c r="B348" s="14" t="str">
        <f>Orçamento!D58</f>
        <v>Seixo com espalhamento</v>
      </c>
    </row>
    <row r="349" ht="12.75">
      <c r="A349" s="92"/>
    </row>
    <row r="350" spans="1:9" ht="12.75">
      <c r="A350" s="92"/>
      <c r="B350" s="19"/>
      <c r="C350" s="17" t="s">
        <v>101</v>
      </c>
      <c r="D350" s="17"/>
      <c r="E350" s="17" t="s">
        <v>102</v>
      </c>
      <c r="F350" s="17"/>
      <c r="G350" s="17" t="s">
        <v>86</v>
      </c>
      <c r="I350" s="204" t="s">
        <v>201</v>
      </c>
    </row>
    <row r="351" spans="1:9" ht="12.75">
      <c r="A351" s="92"/>
      <c r="B351" s="17" t="s">
        <v>212</v>
      </c>
      <c r="C351" s="16">
        <f>C340</f>
        <v>252.09999999999997</v>
      </c>
      <c r="D351" s="17" t="s">
        <v>31</v>
      </c>
      <c r="E351" s="16">
        <v>0.3</v>
      </c>
      <c r="F351" s="17" t="s">
        <v>31</v>
      </c>
      <c r="G351" s="16">
        <v>0.4</v>
      </c>
      <c r="H351" s="17" t="s">
        <v>70</v>
      </c>
      <c r="I351" s="16">
        <f>ROUND((C351*E351*G351),2)</f>
        <v>30.25</v>
      </c>
    </row>
    <row r="352" spans="1:7" ht="12.75">
      <c r="A352" s="92"/>
      <c r="B352" s="15"/>
      <c r="C352" s="16"/>
      <c r="D352" s="17"/>
      <c r="E352" s="16"/>
      <c r="F352" s="17"/>
      <c r="G352" s="16"/>
    </row>
    <row r="353" spans="1:4" ht="12.75">
      <c r="A353" s="92"/>
      <c r="B353" s="198" t="s">
        <v>191</v>
      </c>
      <c r="C353" s="199">
        <f>I351</f>
        <v>30.25</v>
      </c>
      <c r="D353" s="200" t="s">
        <v>6</v>
      </c>
    </row>
    <row r="354" ht="12.75">
      <c r="A354" s="92"/>
    </row>
    <row r="355" spans="1:2" ht="12.75">
      <c r="A355" s="92" t="str">
        <f>Orçamento!C59</f>
        <v>6.3</v>
      </c>
      <c r="B355" s="14" t="str">
        <f>Orçamento!D59</f>
        <v>Caixa em alvenaria de 60x60x60cm c/ tpo. Concreto</v>
      </c>
    </row>
    <row r="356" ht="12.75">
      <c r="A356" s="92"/>
    </row>
    <row r="357" spans="1:4" ht="12.75">
      <c r="A357" s="92"/>
      <c r="B357" s="198" t="s">
        <v>213</v>
      </c>
      <c r="C357" s="199">
        <v>1</v>
      </c>
      <c r="D357" s="200" t="s">
        <v>209</v>
      </c>
    </row>
    <row r="358" ht="12.75">
      <c r="A358" s="92"/>
    </row>
    <row r="359" spans="1:2" ht="12.75">
      <c r="A359" s="92" t="str">
        <f>Orçamento!C60</f>
        <v>6.4</v>
      </c>
      <c r="B359" s="14" t="str">
        <f>Orçamento!D60</f>
        <v>Tubo em PVC - 100mm (LS)</v>
      </c>
    </row>
    <row r="360" ht="12.75">
      <c r="A360" s="92"/>
    </row>
    <row r="361" spans="1:4" ht="12.75">
      <c r="A361" s="92"/>
      <c r="B361" s="198" t="s">
        <v>199</v>
      </c>
      <c r="C361" s="199">
        <f>C344</f>
        <v>50</v>
      </c>
      <c r="D361" s="200" t="s">
        <v>87</v>
      </c>
    </row>
    <row r="362" ht="12.75">
      <c r="A362" s="92"/>
    </row>
    <row r="363" spans="1:13" ht="12.75">
      <c r="A363" s="102" t="str">
        <f>Orçamento!C62</f>
        <v>7</v>
      </c>
      <c r="B363" s="450" t="str">
        <f>Orçamento!D62</f>
        <v>SERVIÇOS FINAIS</v>
      </c>
      <c r="C363" s="450"/>
      <c r="D363" s="450"/>
      <c r="E363" s="450"/>
      <c r="F363" s="450"/>
      <c r="G363" s="450"/>
      <c r="H363" s="450"/>
      <c r="I363" s="450"/>
      <c r="J363" s="450"/>
      <c r="K363" s="450"/>
      <c r="L363" s="450"/>
      <c r="M363" s="451"/>
    </row>
    <row r="364" ht="12.75">
      <c r="A364" s="92"/>
    </row>
    <row r="365" spans="1:2" ht="12.75">
      <c r="A365" s="92" t="str">
        <f>Orçamento!C63</f>
        <v>7.1</v>
      </c>
      <c r="B365" s="14" t="str">
        <f>Orçamento!D63</f>
        <v>LIMPEZA DE CONTRAPISO COM VASSOURA A SECO. AF_04/2019 </v>
      </c>
    </row>
    <row r="366" spans="1:9" ht="12.75">
      <c r="A366" s="92"/>
      <c r="C366" s="449" t="s">
        <v>84</v>
      </c>
      <c r="D366" s="449"/>
      <c r="E366" s="449"/>
      <c r="G366" s="449" t="s">
        <v>85</v>
      </c>
      <c r="H366" s="449"/>
      <c r="I366" s="449"/>
    </row>
    <row r="367" spans="2:11" ht="12.75">
      <c r="B367" s="17" t="s">
        <v>214</v>
      </c>
      <c r="C367" s="452">
        <f>C32</f>
        <v>22.7</v>
      </c>
      <c r="D367" s="452"/>
      <c r="E367" s="452"/>
      <c r="F367" s="16" t="s">
        <v>31</v>
      </c>
      <c r="G367" s="452">
        <f>G32</f>
        <v>37.699999999999996</v>
      </c>
      <c r="H367" s="452"/>
      <c r="I367" s="452"/>
      <c r="J367" s="17" t="s">
        <v>70</v>
      </c>
      <c r="K367" s="7">
        <f>ROUND((C367*G367),2)</f>
        <v>855.79</v>
      </c>
    </row>
    <row r="368" spans="2:5" ht="12.75">
      <c r="B368" s="15"/>
      <c r="C368" s="16"/>
      <c r="D368" s="16"/>
      <c r="E368" s="16"/>
    </row>
    <row r="369" spans="2:4" ht="12.75">
      <c r="B369" s="198" t="s">
        <v>185</v>
      </c>
      <c r="C369" s="199">
        <f>K367</f>
        <v>855.79</v>
      </c>
      <c r="D369" s="200" t="s">
        <v>4</v>
      </c>
    </row>
  </sheetData>
  <sheetProtection/>
  <mergeCells count="41">
    <mergeCell ref="B69:M69"/>
    <mergeCell ref="B74:M74"/>
    <mergeCell ref="B244:B247"/>
    <mergeCell ref="B136:M136"/>
    <mergeCell ref="G99:I99"/>
    <mergeCell ref="G98:I98"/>
    <mergeCell ref="C163:J163"/>
    <mergeCell ref="C193:G193"/>
    <mergeCell ref="C223:G223"/>
    <mergeCell ref="A1:C1"/>
    <mergeCell ref="A2:C2"/>
    <mergeCell ref="A3:C3"/>
    <mergeCell ref="A4:C4"/>
    <mergeCell ref="A8:C8"/>
    <mergeCell ref="A5:C5"/>
    <mergeCell ref="D3:M3"/>
    <mergeCell ref="A6:C6"/>
    <mergeCell ref="A7:C7"/>
    <mergeCell ref="B48:M48"/>
    <mergeCell ref="D7:M7"/>
    <mergeCell ref="D8:M8"/>
    <mergeCell ref="B300:M300"/>
    <mergeCell ref="D2:M2"/>
    <mergeCell ref="D4:M4"/>
    <mergeCell ref="D1:M1"/>
    <mergeCell ref="C32:E32"/>
    <mergeCell ref="C31:E31"/>
    <mergeCell ref="G32:I32"/>
    <mergeCell ref="A9:M10"/>
    <mergeCell ref="D5:M5"/>
    <mergeCell ref="D6:M6"/>
    <mergeCell ref="G366:I366"/>
    <mergeCell ref="B251:M251"/>
    <mergeCell ref="B328:M328"/>
    <mergeCell ref="B363:M363"/>
    <mergeCell ref="C366:E366"/>
    <mergeCell ref="C367:E367"/>
    <mergeCell ref="G367:I367"/>
    <mergeCell ref="B337:E337"/>
    <mergeCell ref="C271:E271"/>
    <mergeCell ref="C272:E272"/>
  </mergeCells>
  <printOptions/>
  <pageMargins left="0.7" right="0.7" top="0.75" bottom="0.75" header="0.3" footer="0.3"/>
  <pageSetup fitToHeight="0" fitToWidth="1" horizontalDpi="360" verticalDpi="360" orientation="portrait" paperSize="9" scale="65" r:id="rId4"/>
  <rowBreaks count="2" manualBreakCount="2">
    <brk id="73" max="12" man="1"/>
    <brk id="160" max="12" man="1"/>
  </rowBreaks>
  <drawing r:id="rId3"/>
  <legacyDrawing r:id="rId2"/>
  <oleObjects>
    <oleObject progId="Word.Document.12" shapeId="346116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patri</cp:lastModifiedBy>
  <cp:lastPrinted>2023-03-07T18:53:02Z</cp:lastPrinted>
  <dcterms:created xsi:type="dcterms:W3CDTF">2007-04-04T14:43:04Z</dcterms:created>
  <dcterms:modified xsi:type="dcterms:W3CDTF">2023-06-21T19:15:11Z</dcterms:modified>
  <cp:category/>
  <cp:version/>
  <cp:contentType/>
  <cp:contentStatus/>
</cp:coreProperties>
</file>