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BAPTISTA4\Rede\CONVENIOS\PM_OURÉM\2022\0-CONVÊNIOS ESTADO\1-SEDOP\02- CENTRO DE FISIOTERAPIA\3- ORÇAMENTO\"/>
    </mc:Choice>
  </mc:AlternateContent>
  <bookViews>
    <workbookView xWindow="1950" yWindow="1950" windowWidth="14385" windowHeight="10800" tabRatio="911" firstSheet="2" activeTab="2"/>
  </bookViews>
  <sheets>
    <sheet name="BDI" sheetId="21" r:id="rId1"/>
    <sheet name="ENC.SOC." sheetId="22" r:id="rId2"/>
    <sheet name="CFF" sheetId="4" r:id="rId3"/>
    <sheet name="COTAÇÃO" sheetId="38" r:id="rId4"/>
    <sheet name="ORÇ" sheetId="3" r:id="rId5"/>
    <sheet name="COMPOSIÇÕES" sheetId="16" r:id="rId6"/>
    <sheet name="1.ADM" sheetId="34" r:id="rId7"/>
    <sheet name="2.SER.PRE" sheetId="5" r:id="rId8"/>
    <sheet name="3.M.TER." sheetId="30" r:id="rId9"/>
    <sheet name="4.FUND." sheetId="31" r:id="rId10"/>
    <sheet name="5.SUP." sheetId="32" r:id="rId11"/>
    <sheet name="6.COB." sheetId="15" r:id="rId12"/>
    <sheet name="7.ALVE." sheetId="11" r:id="rId13"/>
    <sheet name="8.REV." sheetId="36" r:id="rId14"/>
    <sheet name="9.ESQ." sheetId="10" r:id="rId15"/>
    <sheet name="10.PAV." sheetId="9" r:id="rId16"/>
    <sheet name="11.PINT" sheetId="13" r:id="rId17"/>
    <sheet name="12.ELE." sheetId="26" r:id="rId18"/>
    <sheet name="13.HIDRO" sheetId="27" r:id="rId19"/>
    <sheet name="14.ACESS." sheetId="37" r:id="rId20"/>
    <sheet name="15.SAUNA" sheetId="39" r:id="rId21"/>
    <sheet name="16.MURO" sheetId="40" r:id="rId22"/>
    <sheet name="17.PLAY" sheetId="41" r:id="rId23"/>
    <sheet name="18.PISC" sheetId="42" r:id="rId24"/>
    <sheet name="19.FACH" sheetId="43" r:id="rId25"/>
    <sheet name="20. C. INCEN" sheetId="35" r:id="rId26"/>
    <sheet name="21.S. FINAIS" sheetId="19" r:id="rId27"/>
  </sheets>
  <definedNames>
    <definedName name="_xlnm.Print_Area" localSheetId="2">CFF!$A$1:$O$89</definedName>
    <definedName name="Print_Area" localSheetId="6">'1.ADM'!$A$1:$J$26</definedName>
    <definedName name="Print_Area" localSheetId="15">'10.PAV.'!$A$1:$J$363</definedName>
    <definedName name="Print_Area" localSheetId="16">'11.PINT'!$A$1:$J$38</definedName>
    <definedName name="Print_Area" localSheetId="17">'12.ELE.'!$A$1:$I$513</definedName>
    <definedName name="Print_Area" localSheetId="18">'13.HIDRO'!$A$1:$M$512</definedName>
    <definedName name="Print_Area" localSheetId="19">'14.ACESS.'!$A$1:$M$271</definedName>
    <definedName name="Print_Area" localSheetId="20">'15.SAUNA'!$A$1:$J$64</definedName>
    <definedName name="Print_Area" localSheetId="21">'16.MURO'!$A$1:$J$179</definedName>
    <definedName name="Print_Area" localSheetId="22">'17.PLAY'!$A$1:$J$151</definedName>
    <definedName name="Print_Area" localSheetId="23">'18.PISC'!$A$1:$J$697</definedName>
    <definedName name="Print_Area" localSheetId="24">'19.FACH'!$A$1:$J$65</definedName>
    <definedName name="Print_Area" localSheetId="7">'2.SER.PRE'!$A$1:$I$61</definedName>
    <definedName name="Print_Area" localSheetId="25">'20. C. INCEN'!$A$1:$J$38</definedName>
    <definedName name="Print_Area" localSheetId="26">'21.S. FINAIS'!$A$1:$J$21</definedName>
    <definedName name="Print_Area" localSheetId="8">'3.M.TER.'!$A$1:$I$22</definedName>
    <definedName name="Print_Area" localSheetId="9">'4.FUND.'!$A$1:$K$582</definedName>
    <definedName name="Print_Area" localSheetId="10">'5.SUP.'!$A$1:$J$568</definedName>
    <definedName name="Print_Area" localSheetId="11">'6.COB.'!$A$1:$K$87</definedName>
    <definedName name="Print_Area" localSheetId="12">'7.ALVE.'!$A$1:$J$182</definedName>
    <definedName name="Print_Area" localSheetId="13">'8.REV.'!$A$1:$J$112</definedName>
    <definedName name="Print_Area" localSheetId="14">'9.ESQ.'!$A$1:$K$167</definedName>
    <definedName name="Print_Area" localSheetId="0">BDI!$A$1:$I$55</definedName>
    <definedName name="Print_Area" localSheetId="2">CFF!$A$1:$O$89</definedName>
    <definedName name="Print_Area" localSheetId="5">COMPOSIÇÕES!$A$1:$P$795</definedName>
    <definedName name="Print_Area" localSheetId="3">COTAÇÃO!$A$1:$L$193</definedName>
    <definedName name="Print_Area" localSheetId="1">ENC.SOC.!$A$1:$F$46</definedName>
    <definedName name="Print_Area" localSheetId="4">ORÇ!$A$1:$J$604</definedName>
    <definedName name="Print_Titles" localSheetId="15">'10.PAV.'!$1:$10</definedName>
    <definedName name="Print_Titles" localSheetId="16">'11.PINT'!$1:$10</definedName>
    <definedName name="Print_Titles" localSheetId="8">'3.M.TER.'!$1:$10</definedName>
    <definedName name="Print_Titles" localSheetId="11">'6.COB.'!$1:$10</definedName>
    <definedName name="Print_Titles" localSheetId="12">'7.ALVE.'!$1:$10</definedName>
    <definedName name="Print_Titles" localSheetId="14">'9.ESQ.'!$1:$9</definedName>
    <definedName name="Print_Titles" localSheetId="0">BDI!$1:$7</definedName>
    <definedName name="Print_Titles" localSheetId="4">ORÇ!$1:$10</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6" i="4" l="1"/>
  <c r="O86" i="4"/>
  <c r="A84" i="16" l="1"/>
  <c r="K91" i="16" l="1"/>
  <c r="G54" i="36" l="1"/>
  <c r="G39" i="5" l="1"/>
  <c r="C41" i="5" s="1"/>
  <c r="F17" i="3"/>
  <c r="B19" i="5"/>
  <c r="A19" i="5"/>
  <c r="F583" i="3"/>
  <c r="B694" i="42"/>
  <c r="A694" i="42"/>
  <c r="B695" i="42"/>
  <c r="A695" i="42"/>
  <c r="C572" i="16"/>
  <c r="F238" i="3"/>
  <c r="F237" i="3"/>
  <c r="F236" i="3"/>
  <c r="F235" i="3"/>
  <c r="F234" i="3"/>
  <c r="F233" i="3"/>
  <c r="F232" i="3"/>
  <c r="F231" i="3"/>
  <c r="F230" i="3"/>
  <c r="F229" i="3"/>
  <c r="F228" i="3"/>
  <c r="F227" i="3"/>
  <c r="F226" i="3"/>
  <c r="F225" i="3"/>
  <c r="F224" i="3"/>
  <c r="F223" i="3"/>
  <c r="C266" i="26"/>
  <c r="B266" i="26"/>
  <c r="C262" i="26"/>
  <c r="B262" i="26"/>
  <c r="C258" i="26"/>
  <c r="B258" i="26"/>
  <c r="C253" i="26"/>
  <c r="B253" i="26"/>
  <c r="C249" i="26"/>
  <c r="B249" i="26"/>
  <c r="C245" i="26"/>
  <c r="B245" i="26"/>
  <c r="C241" i="26"/>
  <c r="B241" i="26"/>
  <c r="C237" i="26"/>
  <c r="B237" i="26"/>
  <c r="C233" i="26"/>
  <c r="B233" i="26"/>
  <c r="C229" i="26"/>
  <c r="B229" i="26"/>
  <c r="B225" i="26"/>
  <c r="C221" i="26"/>
  <c r="B221" i="26"/>
  <c r="C217" i="26"/>
  <c r="B217" i="26"/>
  <c r="C213" i="26"/>
  <c r="B213" i="26"/>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C155" i="26"/>
  <c r="C127" i="26"/>
  <c r="C199" i="26"/>
  <c r="B199" i="26"/>
  <c r="C195" i="26"/>
  <c r="B195" i="26"/>
  <c r="C191" i="26"/>
  <c r="B191" i="26"/>
  <c r="C187" i="26"/>
  <c r="B187" i="26"/>
  <c r="C183" i="26"/>
  <c r="B183" i="26"/>
  <c r="C179" i="26"/>
  <c r="B179" i="26"/>
  <c r="C175" i="26"/>
  <c r="B175" i="26"/>
  <c r="C171" i="26"/>
  <c r="B171" i="26"/>
  <c r="C167" i="26"/>
  <c r="B167" i="26"/>
  <c r="C163" i="26"/>
  <c r="B163" i="26"/>
  <c r="C159" i="26"/>
  <c r="B159" i="26"/>
  <c r="B155" i="26"/>
  <c r="C151" i="26"/>
  <c r="B151" i="26"/>
  <c r="C147" i="26"/>
  <c r="B147" i="26"/>
  <c r="C143" i="26"/>
  <c r="B143" i="26"/>
  <c r="C139" i="26"/>
  <c r="B139" i="26"/>
  <c r="C135" i="26"/>
  <c r="B135" i="26"/>
  <c r="B131" i="26"/>
  <c r="B127" i="26"/>
  <c r="C123" i="26"/>
  <c r="B123" i="26"/>
  <c r="C119" i="26"/>
  <c r="B119" i="26"/>
  <c r="C115" i="26"/>
  <c r="B115" i="26"/>
  <c r="C111" i="26"/>
  <c r="B111" i="26"/>
  <c r="C107" i="26"/>
  <c r="B107" i="26"/>
  <c r="C103" i="26"/>
  <c r="B103" i="26"/>
  <c r="B99" i="26"/>
  <c r="B95" i="26"/>
  <c r="B91" i="26"/>
  <c r="B87" i="26"/>
  <c r="B83" i="26"/>
  <c r="B79" i="26"/>
  <c r="B75" i="26"/>
  <c r="B71" i="26"/>
  <c r="B228" i="3" l="1"/>
  <c r="D228" i="3"/>
  <c r="C225" i="26" s="1"/>
  <c r="A216" i="16"/>
  <c r="C219" i="16"/>
  <c r="M220" i="16"/>
  <c r="A219" i="16"/>
  <c r="M222" i="16"/>
  <c r="M221" i="16"/>
  <c r="E180" i="38"/>
  <c r="L219" i="16" s="1"/>
  <c r="M219" i="16" s="1"/>
  <c r="M223" i="16" s="1"/>
  <c r="G228" i="3" s="1"/>
  <c r="D204" i="3"/>
  <c r="C131" i="26" s="1"/>
  <c r="B204" i="3"/>
  <c r="A207" i="16"/>
  <c r="M212" i="16"/>
  <c r="M211" i="16"/>
  <c r="M210" i="16"/>
  <c r="M213" i="16" l="1"/>
  <c r="H204" i="3" s="1"/>
  <c r="D196" i="3"/>
  <c r="C99" i="26" s="1"/>
  <c r="B196" i="3"/>
  <c r="D195" i="3"/>
  <c r="C95" i="26" s="1"/>
  <c r="B195" i="3"/>
  <c r="A198" i="16"/>
  <c r="A189" i="16"/>
  <c r="L201" i="16"/>
  <c r="M201" i="16" s="1"/>
  <c r="C201" i="16"/>
  <c r="A201" i="16"/>
  <c r="M203" i="16"/>
  <c r="M202" i="16"/>
  <c r="E173" i="38"/>
  <c r="C192" i="16"/>
  <c r="A192" i="16"/>
  <c r="M194" i="16"/>
  <c r="M193" i="16"/>
  <c r="E166" i="38"/>
  <c r="L192" i="16" s="1"/>
  <c r="M192" i="16" s="1"/>
  <c r="A180" i="16"/>
  <c r="A171" i="16"/>
  <c r="A162" i="16"/>
  <c r="A153" i="16"/>
  <c r="A144" i="16"/>
  <c r="A135" i="16"/>
  <c r="D194" i="3"/>
  <c r="C91" i="26" s="1"/>
  <c r="B194" i="3"/>
  <c r="D193" i="3"/>
  <c r="C87" i="26" s="1"/>
  <c r="B193" i="3"/>
  <c r="D192" i="3"/>
  <c r="C83" i="26" s="1"/>
  <c r="B192" i="3"/>
  <c r="D191" i="3"/>
  <c r="C79" i="26" s="1"/>
  <c r="B191" i="3"/>
  <c r="D190" i="3"/>
  <c r="C75" i="26" s="1"/>
  <c r="B190" i="3"/>
  <c r="D189" i="3"/>
  <c r="C71" i="26" s="1"/>
  <c r="B189" i="3"/>
  <c r="C183" i="16"/>
  <c r="A183" i="16"/>
  <c r="M185" i="16"/>
  <c r="M184" i="16"/>
  <c r="E159" i="38"/>
  <c r="L183" i="16" s="1"/>
  <c r="M183" i="16" s="1"/>
  <c r="L174" i="16"/>
  <c r="M174" i="16" s="1"/>
  <c r="C174" i="16"/>
  <c r="A174" i="16"/>
  <c r="M176" i="16"/>
  <c r="M175" i="16"/>
  <c r="C165" i="16"/>
  <c r="A165" i="16"/>
  <c r="M167" i="16"/>
  <c r="M166" i="16"/>
  <c r="E152" i="38"/>
  <c r="E145" i="38"/>
  <c r="L165" i="16" s="1"/>
  <c r="M165" i="16" s="1"/>
  <c r="C156" i="16"/>
  <c r="A156" i="16"/>
  <c r="M158" i="16"/>
  <c r="M157" i="16"/>
  <c r="E138" i="38"/>
  <c r="L156" i="16" s="1"/>
  <c r="M156" i="16" s="1"/>
  <c r="C147" i="16"/>
  <c r="A147" i="16"/>
  <c r="M149" i="16"/>
  <c r="M148" i="16"/>
  <c r="E131" i="38"/>
  <c r="L147" i="16" s="1"/>
  <c r="M147" i="16" s="1"/>
  <c r="C138" i="16"/>
  <c r="A138" i="16"/>
  <c r="E124" i="38"/>
  <c r="L138" i="16" s="1"/>
  <c r="M138" i="16" s="1"/>
  <c r="M140" i="16"/>
  <c r="M139" i="16"/>
  <c r="F180" i="3"/>
  <c r="F179" i="3"/>
  <c r="C33" i="26"/>
  <c r="B33" i="26"/>
  <c r="C37" i="26"/>
  <c r="B37" i="26"/>
  <c r="G204" i="3" l="1"/>
  <c r="M159" i="16"/>
  <c r="G191" i="3" s="1"/>
  <c r="M204" i="16"/>
  <c r="G196" i="3" s="1"/>
  <c r="M195" i="16"/>
  <c r="G195" i="3" s="1"/>
  <c r="M150" i="16"/>
  <c r="G190" i="3" s="1"/>
  <c r="M186" i="16"/>
  <c r="G194" i="3" s="1"/>
  <c r="M168" i="16"/>
  <c r="G192" i="3" s="1"/>
  <c r="M141" i="16"/>
  <c r="G189" i="3" s="1"/>
  <c r="M177" i="16"/>
  <c r="G193" i="3" s="1"/>
  <c r="A572" i="16"/>
  <c r="M573" i="16"/>
  <c r="E187" i="38"/>
  <c r="L572" i="16" s="1"/>
  <c r="M572" i="16" s="1"/>
  <c r="G6" i="30"/>
  <c r="G6" i="5"/>
  <c r="A547" i="16"/>
  <c r="A522" i="16"/>
  <c r="M789" i="16"/>
  <c r="M790" i="16"/>
  <c r="M791" i="16"/>
  <c r="M792" i="16"/>
  <c r="M793" i="16"/>
  <c r="M787" i="16"/>
  <c r="M779" i="16"/>
  <c r="M768" i="16"/>
  <c r="M769" i="16"/>
  <c r="M770" i="16"/>
  <c r="M771" i="16"/>
  <c r="M772" i="16"/>
  <c r="M756" i="16"/>
  <c r="M757" i="16"/>
  <c r="M758" i="16"/>
  <c r="M759" i="16"/>
  <c r="M760" i="16"/>
  <c r="M744" i="16"/>
  <c r="M745" i="16"/>
  <c r="M746" i="16"/>
  <c r="M747" i="16"/>
  <c r="M748" i="16"/>
  <c r="M731" i="16"/>
  <c r="M732" i="16"/>
  <c r="M733" i="16"/>
  <c r="M734" i="16"/>
  <c r="M735" i="16"/>
  <c r="M736" i="16"/>
  <c r="M719" i="16"/>
  <c r="M720" i="16"/>
  <c r="M721" i="16"/>
  <c r="M722" i="16"/>
  <c r="M723" i="16"/>
  <c r="M702" i="16"/>
  <c r="M703" i="16"/>
  <c r="M704" i="16"/>
  <c r="M705" i="16"/>
  <c r="M706" i="16"/>
  <c r="M707" i="16"/>
  <c r="M708" i="16"/>
  <c r="M709" i="16"/>
  <c r="M710" i="16"/>
  <c r="M711" i="16"/>
  <c r="M701" i="16"/>
  <c r="M681" i="16"/>
  <c r="M682" i="16"/>
  <c r="M670" i="16"/>
  <c r="M672" i="16"/>
  <c r="M673" i="16"/>
  <c r="M637" i="16"/>
  <c r="M638" i="16"/>
  <c r="M639" i="16"/>
  <c r="M640" i="16"/>
  <c r="M636" i="16"/>
  <c r="M627" i="16"/>
  <c r="M628" i="16"/>
  <c r="M629" i="16"/>
  <c r="M626" i="16"/>
  <c r="M618" i="16"/>
  <c r="M619" i="16"/>
  <c r="M617" i="16"/>
  <c r="M608" i="16"/>
  <c r="M609" i="16"/>
  <c r="M587" i="16"/>
  <c r="M588" i="16"/>
  <c r="M589" i="16"/>
  <c r="M590" i="16"/>
  <c r="M591" i="16"/>
  <c r="M592" i="16"/>
  <c r="M593" i="16"/>
  <c r="M594" i="16"/>
  <c r="M595" i="16"/>
  <c r="M596" i="16"/>
  <c r="M597" i="16"/>
  <c r="M598" i="16"/>
  <c r="M599" i="16"/>
  <c r="M586" i="16"/>
  <c r="M574" i="16"/>
  <c r="M575" i="16"/>
  <c r="M576" i="16"/>
  <c r="M577" i="16"/>
  <c r="M578" i="16"/>
  <c r="M579" i="16"/>
  <c r="M564" i="16"/>
  <c r="M565" i="16"/>
  <c r="M542" i="16"/>
  <c r="M543" i="16"/>
  <c r="M544" i="16"/>
  <c r="M540" i="16"/>
  <c r="M508" i="16"/>
  <c r="M509" i="16"/>
  <c r="M510" i="16"/>
  <c r="M517" i="16"/>
  <c r="M518" i="16"/>
  <c r="M519" i="16"/>
  <c r="M507" i="16"/>
  <c r="M486" i="16"/>
  <c r="M487" i="16"/>
  <c r="M488" i="16"/>
  <c r="M489" i="16"/>
  <c r="M490" i="16"/>
  <c r="M491" i="16"/>
  <c r="M498" i="16"/>
  <c r="M499" i="16"/>
  <c r="M500" i="16"/>
  <c r="M445" i="16"/>
  <c r="M446" i="16"/>
  <c r="M447" i="16"/>
  <c r="M448" i="16"/>
  <c r="M449" i="16"/>
  <c r="M456" i="16"/>
  <c r="M457" i="16"/>
  <c r="M458" i="16"/>
  <c r="M444" i="16"/>
  <c r="M434" i="16"/>
  <c r="M435" i="16"/>
  <c r="M436" i="16"/>
  <c r="M437" i="16"/>
  <c r="M433" i="16"/>
  <c r="M422" i="16"/>
  <c r="M423" i="16"/>
  <c r="M424" i="16"/>
  <c r="M425" i="16"/>
  <c r="M426" i="16"/>
  <c r="M421" i="16"/>
  <c r="M410" i="16"/>
  <c r="M411" i="16"/>
  <c r="M412" i="16"/>
  <c r="M413" i="16"/>
  <c r="M414" i="16"/>
  <c r="M409" i="16"/>
  <c r="M398" i="16"/>
  <c r="M399" i="16"/>
  <c r="M400" i="16"/>
  <c r="M401" i="16"/>
  <c r="M402" i="16"/>
  <c r="M397" i="16"/>
  <c r="M386" i="16"/>
  <c r="M387" i="16"/>
  <c r="M388" i="16"/>
  <c r="M389" i="16"/>
  <c r="M390" i="16"/>
  <c r="M385" i="16"/>
  <c r="M376" i="16"/>
  <c r="M377" i="16"/>
  <c r="M378" i="16"/>
  <c r="M364" i="16"/>
  <c r="M365" i="16"/>
  <c r="M366" i="16"/>
  <c r="M367" i="16"/>
  <c r="M368" i="16"/>
  <c r="M363" i="16"/>
  <c r="M352" i="16"/>
  <c r="M353" i="16"/>
  <c r="M354" i="16"/>
  <c r="M355" i="16"/>
  <c r="M356" i="16"/>
  <c r="M351" i="16"/>
  <c r="M341" i="16"/>
  <c r="M342" i="16"/>
  <c r="M343" i="16"/>
  <c r="M340" i="16"/>
  <c r="M332" i="16"/>
  <c r="M333" i="16"/>
  <c r="M323" i="16"/>
  <c r="M324" i="16"/>
  <c r="M314" i="16"/>
  <c r="M315" i="16"/>
  <c r="M313" i="16"/>
  <c r="M305" i="16"/>
  <c r="M306" i="16"/>
  <c r="M304" i="16"/>
  <c r="M296" i="16"/>
  <c r="M297" i="16"/>
  <c r="M295" i="16"/>
  <c r="M287" i="16"/>
  <c r="M288" i="16"/>
  <c r="M286" i="16"/>
  <c r="M298" i="16" l="1"/>
  <c r="M415" i="16"/>
  <c r="M620" i="16"/>
  <c r="M289" i="16"/>
  <c r="M316" i="16"/>
  <c r="M391" i="16"/>
  <c r="M403" i="16"/>
  <c r="M580" i="16"/>
  <c r="M641" i="16"/>
  <c r="M712" i="16"/>
  <c r="M357" i="16"/>
  <c r="M600" i="16"/>
  <c r="M307" i="16"/>
  <c r="M369" i="16"/>
  <c r="M427" i="16"/>
  <c r="M438" i="16"/>
  <c r="M630" i="16"/>
  <c r="A569" i="16"/>
  <c r="B431" i="3"/>
  <c r="D327" i="3" l="1"/>
  <c r="A360" i="16"/>
  <c r="M26" i="16"/>
  <c r="M27" i="16"/>
  <c r="M29" i="16"/>
  <c r="M30" i="16"/>
  <c r="M31" i="16"/>
  <c r="M21" i="16"/>
  <c r="M278" i="16" l="1"/>
  <c r="M279" i="16"/>
  <c r="M277" i="16"/>
  <c r="M269" i="16"/>
  <c r="M270" i="16"/>
  <c r="M268" i="16"/>
  <c r="M259" i="16"/>
  <c r="M260" i="16"/>
  <c r="M261" i="16"/>
  <c r="M258" i="16"/>
  <c r="M249" i="16"/>
  <c r="M250" i="16"/>
  <c r="M251" i="16"/>
  <c r="M248" i="16"/>
  <c r="M239" i="16"/>
  <c r="M240" i="16"/>
  <c r="M241" i="16"/>
  <c r="M238" i="16"/>
  <c r="M230" i="16"/>
  <c r="M231" i="16"/>
  <c r="M130" i="16"/>
  <c r="M131" i="16"/>
  <c r="M129" i="16"/>
  <c r="K344" i="16"/>
  <c r="M344" i="16" s="1"/>
  <c r="M345" i="16" s="1"/>
  <c r="M118" i="16"/>
  <c r="M119" i="16"/>
  <c r="M120" i="16"/>
  <c r="M121" i="16"/>
  <c r="M122" i="16"/>
  <c r="M116" i="16"/>
  <c r="M104" i="16"/>
  <c r="M107" i="16"/>
  <c r="M109" i="16"/>
  <c r="M103" i="16"/>
  <c r="M88" i="16"/>
  <c r="M89" i="16"/>
  <c r="M91" i="16"/>
  <c r="M95" i="16"/>
  <c r="M96" i="16"/>
  <c r="M87" i="16"/>
  <c r="M77" i="16"/>
  <c r="M80" i="16"/>
  <c r="M76" i="16"/>
  <c r="M65" i="16"/>
  <c r="M66" i="16"/>
  <c r="M67" i="16"/>
  <c r="M68" i="16"/>
  <c r="M69" i="16"/>
  <c r="M63" i="16"/>
  <c r="M52" i="16"/>
  <c r="M53" i="16"/>
  <c r="M54" i="16"/>
  <c r="M55" i="16"/>
  <c r="M56" i="16"/>
  <c r="M50" i="16"/>
  <c r="M39" i="16"/>
  <c r="M41" i="16"/>
  <c r="M42" i="16"/>
  <c r="M43" i="16"/>
  <c r="M38" i="16"/>
  <c r="M271" i="16" l="1"/>
  <c r="M132" i="16"/>
  <c r="M242" i="16"/>
  <c r="M252" i="16"/>
  <c r="M262" i="16"/>
  <c r="M280" i="16"/>
  <c r="G431" i="3"/>
  <c r="G4" i="21"/>
  <c r="I22" i="21" l="1"/>
  <c r="I15" i="21" s="1"/>
  <c r="I24" i="21" s="1"/>
  <c r="B5" i="3" s="1"/>
  <c r="D22" i="22"/>
  <c r="C22" i="22"/>
  <c r="E4" i="22" l="1"/>
  <c r="B16" i="4"/>
  <c r="B14" i="4"/>
  <c r="J16" i="4"/>
  <c r="J15" i="4"/>
  <c r="J12" i="4"/>
  <c r="B13" i="4"/>
  <c r="B12" i="4"/>
  <c r="B81" i="4" l="1"/>
  <c r="B78" i="4"/>
  <c r="B75" i="4"/>
  <c r="B72" i="4"/>
  <c r="B69" i="4"/>
  <c r="B66" i="4"/>
  <c r="B63" i="4"/>
  <c r="B60" i="4"/>
  <c r="B57" i="4"/>
  <c r="B54" i="4"/>
  <c r="B51" i="4"/>
  <c r="B48" i="4"/>
  <c r="B45" i="4"/>
  <c r="B42" i="4"/>
  <c r="B39" i="4"/>
  <c r="B33" i="4"/>
  <c r="B30" i="4"/>
  <c r="B27" i="4"/>
  <c r="B24" i="4"/>
  <c r="B21" i="4"/>
  <c r="G119" i="10"/>
  <c r="G117" i="10"/>
  <c r="F187" i="3"/>
  <c r="F186" i="3"/>
  <c r="F185" i="3"/>
  <c r="F184" i="3"/>
  <c r="F183" i="3"/>
  <c r="F182" i="3"/>
  <c r="F181" i="3"/>
  <c r="F178" i="3"/>
  <c r="C70" i="26"/>
  <c r="B70" i="26"/>
  <c r="F176" i="3"/>
  <c r="F175" i="3"/>
  <c r="F174" i="3"/>
  <c r="D176" i="3"/>
  <c r="B176" i="3"/>
  <c r="A126" i="16"/>
  <c r="F250" i="3"/>
  <c r="F249" i="3"/>
  <c r="F248" i="3"/>
  <c r="F247" i="3"/>
  <c r="F246" i="3"/>
  <c r="F245" i="3"/>
  <c r="F244" i="3"/>
  <c r="F243" i="3"/>
  <c r="F242" i="3"/>
  <c r="F241" i="3"/>
  <c r="F240" i="3"/>
  <c r="B312" i="26"/>
  <c r="B308" i="26"/>
  <c r="B304" i="26"/>
  <c r="B292" i="26"/>
  <c r="D245" i="3"/>
  <c r="C292" i="26" s="1"/>
  <c r="B245" i="3"/>
  <c r="A226" i="16"/>
  <c r="C229" i="16"/>
  <c r="A229" i="16"/>
  <c r="D119" i="38"/>
  <c r="D118" i="38"/>
  <c r="D117" i="38"/>
  <c r="D250" i="3"/>
  <c r="C312" i="26" s="1"/>
  <c r="B250" i="3"/>
  <c r="A274" i="16"/>
  <c r="G250" i="3"/>
  <c r="D249" i="3"/>
  <c r="C308" i="26" s="1"/>
  <c r="B249" i="3"/>
  <c r="A265" i="16"/>
  <c r="D248" i="3"/>
  <c r="C304" i="26" s="1"/>
  <c r="B248" i="3"/>
  <c r="A255" i="16"/>
  <c r="D247" i="3"/>
  <c r="B247" i="3"/>
  <c r="A245" i="16"/>
  <c r="D246" i="3"/>
  <c r="B246" i="3"/>
  <c r="A235" i="16"/>
  <c r="G176" i="3" l="1"/>
  <c r="G247" i="3"/>
  <c r="G246" i="3"/>
  <c r="G248" i="3"/>
  <c r="E117" i="38"/>
  <c r="L229" i="16" s="1"/>
  <c r="M229" i="16" s="1"/>
  <c r="M232" i="16" s="1"/>
  <c r="G245" i="3" s="1"/>
  <c r="G249" i="3"/>
  <c r="F289" i="3"/>
  <c r="F288" i="3"/>
  <c r="F287" i="3"/>
  <c r="F286" i="3"/>
  <c r="F285" i="3"/>
  <c r="F284" i="3"/>
  <c r="F283" i="3"/>
  <c r="F282" i="3"/>
  <c r="F281" i="3"/>
  <c r="F280" i="3"/>
  <c r="F279" i="3"/>
  <c r="F278" i="3"/>
  <c r="F277" i="3"/>
  <c r="F276" i="3"/>
  <c r="F275" i="3"/>
  <c r="F274" i="3"/>
  <c r="F273" i="3"/>
  <c r="F272" i="3"/>
  <c r="F271" i="3"/>
  <c r="F270" i="3"/>
  <c r="F269" i="3"/>
  <c r="F266" i="3"/>
  <c r="F265" i="3"/>
  <c r="F264" i="3"/>
  <c r="F263" i="3"/>
  <c r="F262" i="3"/>
  <c r="F261" i="3"/>
  <c r="F260" i="3"/>
  <c r="F259" i="3"/>
  <c r="F258" i="3"/>
  <c r="F257" i="3"/>
  <c r="F256" i="3"/>
  <c r="F255" i="3"/>
  <c r="F254" i="3"/>
  <c r="F253" i="3"/>
  <c r="F252" i="3"/>
  <c r="D385" i="26"/>
  <c r="F268" i="3" s="1"/>
  <c r="D381" i="26"/>
  <c r="F267" i="3" s="1"/>
  <c r="C467" i="26"/>
  <c r="B467" i="26"/>
  <c r="C463" i="26"/>
  <c r="B463" i="26"/>
  <c r="C459" i="26"/>
  <c r="B459" i="26"/>
  <c r="C455" i="26"/>
  <c r="B455" i="26"/>
  <c r="B451" i="26"/>
  <c r="C447" i="26"/>
  <c r="B447" i="26"/>
  <c r="B443" i="26"/>
  <c r="C439" i="26"/>
  <c r="B439" i="26"/>
  <c r="C435" i="26"/>
  <c r="B435" i="26"/>
  <c r="B431" i="26"/>
  <c r="C427" i="26"/>
  <c r="B427" i="26"/>
  <c r="C423" i="26"/>
  <c r="B423" i="26"/>
  <c r="C419" i="26"/>
  <c r="B419" i="26"/>
  <c r="C415" i="26"/>
  <c r="B415" i="26"/>
  <c r="C411" i="26"/>
  <c r="B411" i="26"/>
  <c r="C407" i="26"/>
  <c r="B407" i="26"/>
  <c r="C403" i="26"/>
  <c r="B403" i="26"/>
  <c r="C399" i="26"/>
  <c r="B399" i="26"/>
  <c r="C395" i="26"/>
  <c r="B395" i="26"/>
  <c r="C391" i="26"/>
  <c r="B391" i="26"/>
  <c r="B387" i="26"/>
  <c r="C383" i="26"/>
  <c r="B383" i="26"/>
  <c r="C379" i="26"/>
  <c r="B379" i="26"/>
  <c r="C375" i="26"/>
  <c r="B375" i="26"/>
  <c r="C371" i="26"/>
  <c r="B371" i="26"/>
  <c r="C367" i="26"/>
  <c r="B367" i="26"/>
  <c r="B363" i="26"/>
  <c r="C359" i="26"/>
  <c r="B359" i="26"/>
  <c r="C355" i="26"/>
  <c r="B355" i="26"/>
  <c r="C351" i="26"/>
  <c r="B351" i="26"/>
  <c r="C347" i="26"/>
  <c r="B347" i="26"/>
  <c r="C330" i="26"/>
  <c r="B330" i="26"/>
  <c r="D285" i="3"/>
  <c r="C451" i="26" s="1"/>
  <c r="B285" i="3"/>
  <c r="C331" i="16"/>
  <c r="A331" i="16"/>
  <c r="D112" i="38"/>
  <c r="D111" i="38"/>
  <c r="A328" i="16"/>
  <c r="D283" i="3"/>
  <c r="C443" i="26" s="1"/>
  <c r="B283" i="3"/>
  <c r="A319" i="16"/>
  <c r="C322" i="16"/>
  <c r="A322" i="16"/>
  <c r="D103" i="38"/>
  <c r="E103" i="38" s="1"/>
  <c r="L322" i="16" s="1"/>
  <c r="M322" i="16" s="1"/>
  <c r="M325" i="16" s="1"/>
  <c r="D104" i="38"/>
  <c r="D280" i="3"/>
  <c r="C431" i="26" s="1"/>
  <c r="B280" i="3"/>
  <c r="A310" i="16"/>
  <c r="D269" i="3"/>
  <c r="C387" i="26" s="1"/>
  <c r="B269" i="3"/>
  <c r="A301" i="16"/>
  <c r="D263" i="3"/>
  <c r="C363" i="26" s="1"/>
  <c r="B263" i="3"/>
  <c r="A292" i="16"/>
  <c r="F300" i="3"/>
  <c r="F299" i="3"/>
  <c r="F298" i="3"/>
  <c r="F297" i="3"/>
  <c r="F296" i="3"/>
  <c r="F295" i="3"/>
  <c r="F294" i="3"/>
  <c r="F293" i="3"/>
  <c r="F292" i="3"/>
  <c r="F291" i="3"/>
  <c r="C510" i="26"/>
  <c r="B510" i="26"/>
  <c r="C506" i="26"/>
  <c r="B506" i="26"/>
  <c r="D294" i="3"/>
  <c r="B294" i="3"/>
  <c r="A337" i="16"/>
  <c r="I270" i="9"/>
  <c r="C272" i="9" s="1"/>
  <c r="F148" i="3" s="1"/>
  <c r="C280" i="9"/>
  <c r="F149" i="3" s="1"/>
  <c r="B274" i="9"/>
  <c r="A274" i="9"/>
  <c r="B264" i="9"/>
  <c r="A264" i="9"/>
  <c r="C271" i="37"/>
  <c r="F427" i="3" s="1"/>
  <c r="B256" i="37"/>
  <c r="A256" i="37"/>
  <c r="F581" i="3"/>
  <c r="F580" i="3"/>
  <c r="F579" i="3"/>
  <c r="F578" i="3"/>
  <c r="F577" i="3"/>
  <c r="F576" i="3"/>
  <c r="F575" i="3"/>
  <c r="F574" i="3"/>
  <c r="F573" i="3"/>
  <c r="F572" i="3"/>
  <c r="F571" i="3"/>
  <c r="F570" i="3"/>
  <c r="F569" i="3"/>
  <c r="F568" i="3"/>
  <c r="F567" i="3"/>
  <c r="F566" i="3"/>
  <c r="A689" i="42"/>
  <c r="A685" i="42"/>
  <c r="A681" i="42"/>
  <c r="B677" i="42"/>
  <c r="A677" i="42"/>
  <c r="A673" i="42"/>
  <c r="B669" i="42"/>
  <c r="A669" i="42"/>
  <c r="B665" i="42"/>
  <c r="A665" i="42"/>
  <c r="B661" i="42"/>
  <c r="A661" i="42"/>
  <c r="A657" i="42"/>
  <c r="B653" i="42"/>
  <c r="A653" i="42"/>
  <c r="B649" i="42"/>
  <c r="A649" i="42"/>
  <c r="B645" i="42"/>
  <c r="A645" i="42"/>
  <c r="B641" i="42"/>
  <c r="A641" i="42"/>
  <c r="B637" i="42"/>
  <c r="A637" i="42"/>
  <c r="B633" i="42"/>
  <c r="A633" i="42"/>
  <c r="B629" i="42"/>
  <c r="A629" i="42"/>
  <c r="D581" i="3"/>
  <c r="B689" i="42" s="1"/>
  <c r="B581" i="3"/>
  <c r="A764" i="16"/>
  <c r="C767" i="16"/>
  <c r="A767" i="16"/>
  <c r="D98" i="38"/>
  <c r="D97" i="38"/>
  <c r="D96" i="38"/>
  <c r="D580" i="3"/>
  <c r="B685" i="42" s="1"/>
  <c r="B580" i="3"/>
  <c r="A752" i="16"/>
  <c r="C755" i="16"/>
  <c r="A755" i="16"/>
  <c r="D91" i="38"/>
  <c r="D90" i="38"/>
  <c r="D89" i="38"/>
  <c r="D579" i="3"/>
  <c r="B681" i="42" s="1"/>
  <c r="B579" i="3"/>
  <c r="A740" i="16"/>
  <c r="C743" i="16"/>
  <c r="A743" i="16"/>
  <c r="D84" i="38"/>
  <c r="D83" i="38"/>
  <c r="D82" i="38"/>
  <c r="D577" i="3"/>
  <c r="B673" i="42" s="1"/>
  <c r="B577" i="3"/>
  <c r="A727" i="16"/>
  <c r="C730" i="16"/>
  <c r="A730" i="16"/>
  <c r="D77" i="38"/>
  <c r="D76" i="38"/>
  <c r="D75" i="38"/>
  <c r="E75" i="38" s="1"/>
  <c r="L730" i="16" s="1"/>
  <c r="M730" i="16" s="1"/>
  <c r="M737" i="16" s="1"/>
  <c r="E96" i="38" l="1"/>
  <c r="L767" i="16" s="1"/>
  <c r="M767" i="16" s="1"/>
  <c r="M773" i="16" s="1"/>
  <c r="E89" i="38"/>
  <c r="L755" i="16" s="1"/>
  <c r="M755" i="16" s="1"/>
  <c r="M761" i="16" s="1"/>
  <c r="G269" i="3"/>
  <c r="G263" i="3"/>
  <c r="G280" i="3"/>
  <c r="G283" i="3"/>
  <c r="G294" i="3"/>
  <c r="E110" i="38"/>
  <c r="L331" i="16" s="1"/>
  <c r="M331" i="16" s="1"/>
  <c r="M334" i="16" s="1"/>
  <c r="G285" i="3" s="1"/>
  <c r="G580" i="3"/>
  <c r="G581" i="3"/>
  <c r="G577" i="3"/>
  <c r="E82" i="38"/>
  <c r="L743" i="16" s="1"/>
  <c r="M743" i="16" s="1"/>
  <c r="M749" i="16" s="1"/>
  <c r="C718" i="16"/>
  <c r="A718" i="16"/>
  <c r="D70" i="38"/>
  <c r="D68" i="38"/>
  <c r="E68" i="38" s="1"/>
  <c r="L718" i="16" s="1"/>
  <c r="M718" i="16" s="1"/>
  <c r="M724" i="16" s="1"/>
  <c r="D573" i="3"/>
  <c r="B657" i="42" s="1"/>
  <c r="B573" i="3"/>
  <c r="A715" i="16"/>
  <c r="F563" i="3"/>
  <c r="F562" i="3"/>
  <c r="G624" i="42"/>
  <c r="C626" i="42" s="1"/>
  <c r="F564" i="3" s="1"/>
  <c r="G608" i="42"/>
  <c r="C610" i="42" s="1"/>
  <c r="F560" i="3" s="1"/>
  <c r="I590" i="42"/>
  <c r="C592" i="42" s="1"/>
  <c r="C597" i="42" s="1"/>
  <c r="I583" i="42"/>
  <c r="I582" i="42"/>
  <c r="I575" i="42"/>
  <c r="C577" i="42" s="1"/>
  <c r="F554" i="3" s="1"/>
  <c r="I556" i="42"/>
  <c r="C558" i="42" s="1"/>
  <c r="C563" i="42" s="1"/>
  <c r="G563" i="42" s="1"/>
  <c r="C565" i="42" s="1"/>
  <c r="C570" i="42" s="1"/>
  <c r="F553" i="3" s="1"/>
  <c r="G544" i="42"/>
  <c r="C546" i="42" s="1"/>
  <c r="D550" i="42" s="1"/>
  <c r="G538" i="42"/>
  <c r="C540" i="42" s="1"/>
  <c r="B550" i="42" s="1"/>
  <c r="B530" i="42"/>
  <c r="A530" i="42"/>
  <c r="B535" i="42"/>
  <c r="A535" i="42"/>
  <c r="B552" i="42"/>
  <c r="A552" i="42"/>
  <c r="G516" i="42"/>
  <c r="C518" i="42" s="1"/>
  <c r="C523" i="42" s="1"/>
  <c r="C528" i="42" s="1"/>
  <c r="C533" i="42" s="1"/>
  <c r="F548" i="3" s="1"/>
  <c r="I507" i="42"/>
  <c r="I508" i="42"/>
  <c r="I506" i="42"/>
  <c r="G499" i="42"/>
  <c r="C501" i="42" s="1"/>
  <c r="F542" i="3" s="1"/>
  <c r="J492" i="42"/>
  <c r="J491" i="42"/>
  <c r="J484" i="42"/>
  <c r="J483" i="42"/>
  <c r="J482" i="42"/>
  <c r="J423" i="42"/>
  <c r="J453" i="42"/>
  <c r="J452" i="42"/>
  <c r="J444" i="42"/>
  <c r="J445" i="42"/>
  <c r="I432" i="42"/>
  <c r="I431" i="42"/>
  <c r="J424" i="42"/>
  <c r="J422" i="42"/>
  <c r="B628" i="42"/>
  <c r="A628" i="42"/>
  <c r="A621" i="42"/>
  <c r="A617" i="42"/>
  <c r="B613" i="42"/>
  <c r="A613" i="42"/>
  <c r="B612" i="42"/>
  <c r="A612" i="42"/>
  <c r="B605" i="42"/>
  <c r="A605" i="42"/>
  <c r="B604" i="42"/>
  <c r="A604" i="42"/>
  <c r="B599" i="42"/>
  <c r="A599" i="42"/>
  <c r="B594" i="42"/>
  <c r="A594" i="42"/>
  <c r="B587" i="42"/>
  <c r="A587" i="42"/>
  <c r="B579" i="42"/>
  <c r="A579" i="42"/>
  <c r="B572" i="42"/>
  <c r="A572" i="42"/>
  <c r="B567" i="42"/>
  <c r="A567" i="42"/>
  <c r="B560" i="42"/>
  <c r="A560" i="42"/>
  <c r="B553" i="42"/>
  <c r="A553" i="42"/>
  <c r="B525" i="42"/>
  <c r="A525" i="42"/>
  <c r="B520" i="42"/>
  <c r="A520" i="42"/>
  <c r="B513" i="42"/>
  <c r="A513" i="42"/>
  <c r="B512" i="42"/>
  <c r="A512" i="42"/>
  <c r="B503" i="42"/>
  <c r="A503" i="42"/>
  <c r="B496" i="42"/>
  <c r="A496" i="42"/>
  <c r="B488" i="42"/>
  <c r="A488" i="42"/>
  <c r="B478" i="42"/>
  <c r="A478" i="42"/>
  <c r="B467" i="42"/>
  <c r="A467" i="42"/>
  <c r="B462" i="42"/>
  <c r="A462" i="42"/>
  <c r="B457" i="42"/>
  <c r="A457" i="42"/>
  <c r="B449" i="42"/>
  <c r="A449" i="42"/>
  <c r="B441" i="42"/>
  <c r="A441" i="42"/>
  <c r="B412" i="32"/>
  <c r="C409" i="32"/>
  <c r="B409" i="32"/>
  <c r="D564" i="3"/>
  <c r="B621" i="42" s="1"/>
  <c r="B564" i="3"/>
  <c r="A698" i="16"/>
  <c r="A685" i="16"/>
  <c r="D563" i="3"/>
  <c r="B617" i="42" s="1"/>
  <c r="B563" i="3"/>
  <c r="A677" i="16"/>
  <c r="C680" i="16"/>
  <c r="A680" i="16"/>
  <c r="D63" i="38"/>
  <c r="D62" i="38"/>
  <c r="B436" i="42"/>
  <c r="A436" i="42"/>
  <c r="B428" i="42"/>
  <c r="A428" i="42"/>
  <c r="G190" i="37"/>
  <c r="G189" i="37"/>
  <c r="C192" i="37" s="1"/>
  <c r="F419" i="3" s="1"/>
  <c r="B186" i="37"/>
  <c r="A186" i="37"/>
  <c r="E61" i="38" l="1"/>
  <c r="L680" i="16" s="1"/>
  <c r="M680" i="16" s="1"/>
  <c r="M683" i="16" s="1"/>
  <c r="G579" i="3"/>
  <c r="F551" i="3"/>
  <c r="G573" i="3"/>
  <c r="C602" i="42"/>
  <c r="F558" i="3" s="1"/>
  <c r="F557" i="3"/>
  <c r="F552" i="3"/>
  <c r="F556" i="3"/>
  <c r="C585" i="42"/>
  <c r="F555" i="3" s="1"/>
  <c r="F546" i="3"/>
  <c r="F550" i="42"/>
  <c r="F549" i="3" s="1"/>
  <c r="F547" i="3"/>
  <c r="F545" i="3"/>
  <c r="C510" i="42"/>
  <c r="F543" i="3" s="1"/>
  <c r="C494" i="42"/>
  <c r="F541" i="3" s="1"/>
  <c r="C486" i="42"/>
  <c r="F540" i="3" s="1"/>
  <c r="C455" i="42"/>
  <c r="F465" i="42" s="1"/>
  <c r="C426" i="42"/>
  <c r="F532" i="3" s="1"/>
  <c r="C434" i="42"/>
  <c r="C447" i="42"/>
  <c r="G564" i="3"/>
  <c r="G563" i="3"/>
  <c r="H412" i="42"/>
  <c r="C414" i="42" s="1"/>
  <c r="F529" i="3" s="1"/>
  <c r="I403" i="42"/>
  <c r="C405" i="42" s="1"/>
  <c r="F527" i="3" s="1"/>
  <c r="B277" i="42"/>
  <c r="C274" i="42"/>
  <c r="D274" i="42"/>
  <c r="E274" i="42"/>
  <c r="C275" i="42"/>
  <c r="D275" i="42"/>
  <c r="E275" i="42"/>
  <c r="C276" i="42"/>
  <c r="D276" i="42"/>
  <c r="E276" i="42"/>
  <c r="C277" i="42"/>
  <c r="D277" i="42"/>
  <c r="E277" i="42"/>
  <c r="C278" i="42"/>
  <c r="D278" i="42"/>
  <c r="E278" i="42"/>
  <c r="C279" i="42"/>
  <c r="D279" i="42"/>
  <c r="E279" i="42"/>
  <c r="C280" i="42"/>
  <c r="D280" i="42"/>
  <c r="E280" i="42"/>
  <c r="D273" i="42"/>
  <c r="E273" i="42"/>
  <c r="C273" i="42"/>
  <c r="G223" i="42"/>
  <c r="G222" i="42"/>
  <c r="G221" i="42"/>
  <c r="G220" i="42"/>
  <c r="I385" i="42"/>
  <c r="I383" i="42"/>
  <c r="I384" i="42"/>
  <c r="H376" i="42"/>
  <c r="C378" i="42" s="1"/>
  <c r="F523" i="3" s="1"/>
  <c r="B372" i="42"/>
  <c r="A372" i="42"/>
  <c r="J368" i="42"/>
  <c r="J367" i="42"/>
  <c r="G283" i="42"/>
  <c r="G282" i="42"/>
  <c r="G281" i="42"/>
  <c r="G226" i="42"/>
  <c r="G225" i="42"/>
  <c r="G224" i="42"/>
  <c r="I134" i="42"/>
  <c r="I133" i="42"/>
  <c r="I132" i="42"/>
  <c r="I131" i="42"/>
  <c r="G87" i="42"/>
  <c r="G86" i="42"/>
  <c r="I70" i="42"/>
  <c r="I69" i="42"/>
  <c r="I72" i="42"/>
  <c r="I71" i="42"/>
  <c r="B27" i="42"/>
  <c r="A27" i="42"/>
  <c r="B317" i="42"/>
  <c r="A317" i="42"/>
  <c r="J348" i="42"/>
  <c r="H340" i="42"/>
  <c r="H339" i="42"/>
  <c r="H330" i="42"/>
  <c r="J322" i="42"/>
  <c r="J347" i="42"/>
  <c r="H338" i="42"/>
  <c r="H337" i="42"/>
  <c r="H329" i="42"/>
  <c r="J321" i="42"/>
  <c r="B389" i="42"/>
  <c r="A389" i="42"/>
  <c r="B380" i="42"/>
  <c r="A380" i="42"/>
  <c r="F512" i="3"/>
  <c r="G307" i="42"/>
  <c r="C309" i="42" s="1"/>
  <c r="F511" i="3" s="1"/>
  <c r="G295" i="42"/>
  <c r="G294" i="42"/>
  <c r="G293" i="42"/>
  <c r="G292" i="42"/>
  <c r="G291" i="42"/>
  <c r="G290" i="42"/>
  <c r="G289" i="42"/>
  <c r="G256" i="42"/>
  <c r="G255" i="42"/>
  <c r="G254" i="42"/>
  <c r="G253" i="42"/>
  <c r="G238" i="42"/>
  <c r="G237" i="42"/>
  <c r="G236" i="42"/>
  <c r="G235" i="42"/>
  <c r="G234" i="42"/>
  <c r="G233" i="42"/>
  <c r="G232" i="42"/>
  <c r="G216" i="42"/>
  <c r="G215" i="42"/>
  <c r="G214" i="42"/>
  <c r="G213" i="42"/>
  <c r="G219" i="42"/>
  <c r="G218" i="42"/>
  <c r="G217" i="42"/>
  <c r="G212" i="42"/>
  <c r="G204" i="42"/>
  <c r="G203" i="42"/>
  <c r="G202" i="42"/>
  <c r="G201" i="42"/>
  <c r="G194" i="42"/>
  <c r="C196" i="42" s="1"/>
  <c r="F501" i="3" s="1"/>
  <c r="G188" i="42"/>
  <c r="C190" i="42" s="1"/>
  <c r="F500" i="3" s="1"/>
  <c r="G181" i="42"/>
  <c r="C183" i="42" s="1"/>
  <c r="F499" i="3" s="1"/>
  <c r="G172" i="42"/>
  <c r="G173" i="42"/>
  <c r="G171" i="42"/>
  <c r="G174" i="42"/>
  <c r="G170" i="42"/>
  <c r="B418" i="42"/>
  <c r="A418" i="42"/>
  <c r="B417" i="42"/>
  <c r="A417" i="42"/>
  <c r="B409" i="42"/>
  <c r="A409" i="42"/>
  <c r="B408" i="42"/>
  <c r="A408" i="42"/>
  <c r="B400" i="42"/>
  <c r="A400" i="42"/>
  <c r="B394" i="42"/>
  <c r="A394" i="42"/>
  <c r="B364" i="42"/>
  <c r="A364" i="42"/>
  <c r="B363" i="42"/>
  <c r="A363" i="42"/>
  <c r="B357" i="42"/>
  <c r="A357" i="42"/>
  <c r="B352" i="42"/>
  <c r="A352" i="42"/>
  <c r="B344" i="42"/>
  <c r="A344" i="42"/>
  <c r="B334" i="42"/>
  <c r="A334" i="42"/>
  <c r="B166" i="42"/>
  <c r="A166" i="42"/>
  <c r="B167" i="42"/>
  <c r="A167" i="42"/>
  <c r="B178" i="42"/>
  <c r="A178" i="42"/>
  <c r="B185" i="42"/>
  <c r="A185" i="42"/>
  <c r="B192" i="42"/>
  <c r="A192" i="42"/>
  <c r="B198" i="42"/>
  <c r="A198" i="42"/>
  <c r="B208" i="42"/>
  <c r="A208" i="42"/>
  <c r="B209" i="42"/>
  <c r="A209" i="42"/>
  <c r="B245" i="42"/>
  <c r="A245" i="42"/>
  <c r="B250" i="42"/>
  <c r="A250" i="42"/>
  <c r="B260" i="42"/>
  <c r="A260" i="42"/>
  <c r="B265" i="42"/>
  <c r="A265" i="42"/>
  <c r="B270" i="42"/>
  <c r="A270" i="42"/>
  <c r="B303" i="42"/>
  <c r="A303" i="42"/>
  <c r="B304" i="42"/>
  <c r="A304" i="42"/>
  <c r="A311" i="42"/>
  <c r="D512" i="3"/>
  <c r="B311" i="42" s="1"/>
  <c r="B512" i="3"/>
  <c r="K671" i="16"/>
  <c r="M671" i="16" s="1"/>
  <c r="A666" i="16"/>
  <c r="A643" i="16"/>
  <c r="C669" i="16"/>
  <c r="A669" i="16"/>
  <c r="D54" i="38"/>
  <c r="D56" i="38"/>
  <c r="D55" i="38"/>
  <c r="K606" i="16"/>
  <c r="M606" i="16" s="1"/>
  <c r="B28" i="39"/>
  <c r="A28" i="39"/>
  <c r="C33" i="39"/>
  <c r="F433" i="3" s="1"/>
  <c r="K607" i="16" l="1"/>
  <c r="M607" i="16" s="1"/>
  <c r="E54" i="38"/>
  <c r="L669" i="16" s="1"/>
  <c r="M669" i="16" s="1"/>
  <c r="M674" i="16" s="1"/>
  <c r="B465" i="42"/>
  <c r="F536" i="3"/>
  <c r="C460" i="42"/>
  <c r="F537" i="3" s="1"/>
  <c r="F535" i="3"/>
  <c r="C439" i="42"/>
  <c r="F533" i="3"/>
  <c r="G276" i="42"/>
  <c r="G273" i="42"/>
  <c r="C387" i="42"/>
  <c r="G279" i="42"/>
  <c r="G277" i="42"/>
  <c r="G275" i="42"/>
  <c r="C297" i="42"/>
  <c r="D300" i="42" s="1"/>
  <c r="G280" i="42"/>
  <c r="G278" i="42"/>
  <c r="G274" i="42"/>
  <c r="C228" i="42"/>
  <c r="B243" i="42" s="1"/>
  <c r="C350" i="42"/>
  <c r="F360" i="42" s="1"/>
  <c r="C370" i="42"/>
  <c r="F522" i="3" s="1"/>
  <c r="C342" i="42"/>
  <c r="C355" i="42" s="1"/>
  <c r="F519" i="3" s="1"/>
  <c r="C332" i="42"/>
  <c r="C324" i="42"/>
  <c r="C258" i="42"/>
  <c r="C240" i="42"/>
  <c r="D243" i="42" s="1"/>
  <c r="C206" i="42"/>
  <c r="F502" i="3" s="1"/>
  <c r="C176" i="42"/>
  <c r="F498" i="3" s="1"/>
  <c r="D460" i="3"/>
  <c r="B460" i="3"/>
  <c r="A583" i="16"/>
  <c r="B257" i="9"/>
  <c r="A257" i="9"/>
  <c r="G260" i="9"/>
  <c r="C243" i="9"/>
  <c r="G512" i="3" l="1"/>
  <c r="F524" i="3"/>
  <c r="C392" i="42"/>
  <c r="C397" i="42" s="1"/>
  <c r="F526" i="3" s="1"/>
  <c r="D465" i="42"/>
  <c r="H465" i="42" s="1"/>
  <c r="F538" i="3" s="1"/>
  <c r="F534" i="3"/>
  <c r="C285" i="42"/>
  <c r="B300" i="42" s="1"/>
  <c r="F300" i="42" s="1"/>
  <c r="F509" i="3" s="1"/>
  <c r="F518" i="3"/>
  <c r="F517" i="3"/>
  <c r="F516" i="3"/>
  <c r="D360" i="42"/>
  <c r="B360" i="42"/>
  <c r="F515" i="3"/>
  <c r="C263" i="42"/>
  <c r="C268" i="42" s="1"/>
  <c r="F506" i="3"/>
  <c r="F243" i="42"/>
  <c r="C248" i="42" s="1"/>
  <c r="C262" i="9"/>
  <c r="F147" i="3" s="1"/>
  <c r="G460" i="3" l="1"/>
  <c r="F525" i="3"/>
  <c r="H360" i="42"/>
  <c r="F520" i="3" s="1"/>
  <c r="F505" i="3"/>
  <c r="F504" i="3"/>
  <c r="F508" i="3"/>
  <c r="F507" i="3"/>
  <c r="B326" i="42"/>
  <c r="A326" i="42"/>
  <c r="I158" i="42"/>
  <c r="I157" i="42"/>
  <c r="I156" i="42"/>
  <c r="I155" i="42"/>
  <c r="I154" i="42"/>
  <c r="I146" i="42"/>
  <c r="I145" i="42"/>
  <c r="I144" i="42"/>
  <c r="I143" i="42"/>
  <c r="I142" i="42"/>
  <c r="I141" i="42"/>
  <c r="G100" i="42"/>
  <c r="G99" i="42"/>
  <c r="G98" i="42"/>
  <c r="G85" i="42"/>
  <c r="G84" i="42"/>
  <c r="I130" i="42"/>
  <c r="I129" i="42"/>
  <c r="I68" i="42"/>
  <c r="G18" i="30"/>
  <c r="G77" i="41"/>
  <c r="G78" i="41"/>
  <c r="G79" i="41"/>
  <c r="G80" i="41"/>
  <c r="G81" i="41"/>
  <c r="G82" i="41"/>
  <c r="G83" i="41"/>
  <c r="G76" i="41"/>
  <c r="C85" i="41" l="1"/>
  <c r="C160" i="42"/>
  <c r="F163" i="42" s="1"/>
  <c r="C148" i="42"/>
  <c r="F495" i="3" s="1"/>
  <c r="C175" i="9"/>
  <c r="B97" i="9"/>
  <c r="I67" i="42"/>
  <c r="I66" i="42"/>
  <c r="I65" i="42"/>
  <c r="B138" i="42"/>
  <c r="A138" i="42"/>
  <c r="I125" i="42" l="1"/>
  <c r="I126" i="42"/>
  <c r="I127" i="42"/>
  <c r="I128" i="42"/>
  <c r="I124" i="42"/>
  <c r="G117" i="42"/>
  <c r="C119" i="42" s="1"/>
  <c r="F493" i="3" s="1"/>
  <c r="G109" i="42"/>
  <c r="G108" i="42"/>
  <c r="G96" i="42"/>
  <c r="G95" i="42"/>
  <c r="G81" i="42"/>
  <c r="G80" i="42"/>
  <c r="G82" i="42"/>
  <c r="I63" i="42"/>
  <c r="I62" i="42"/>
  <c r="I64" i="42"/>
  <c r="I61" i="42"/>
  <c r="H54" i="42"/>
  <c r="H53" i="42"/>
  <c r="B35" i="42"/>
  <c r="A35" i="42"/>
  <c r="F38" i="42"/>
  <c r="C40" i="42" s="1"/>
  <c r="F486" i="3" s="1"/>
  <c r="F45" i="42"/>
  <c r="C47" i="42" s="1"/>
  <c r="H31" i="42"/>
  <c r="C33" i="42" s="1"/>
  <c r="B318" i="42"/>
  <c r="A318" i="42"/>
  <c r="B316" i="42"/>
  <c r="A316" i="42"/>
  <c r="B150" i="42"/>
  <c r="A150" i="42"/>
  <c r="B121" i="42"/>
  <c r="A121" i="42"/>
  <c r="B113" i="42"/>
  <c r="A113" i="42"/>
  <c r="B104" i="42"/>
  <c r="A104" i="42"/>
  <c r="B91" i="42"/>
  <c r="A91" i="42"/>
  <c r="B76" i="42"/>
  <c r="A76" i="42"/>
  <c r="B58" i="42"/>
  <c r="A58" i="42"/>
  <c r="C89" i="42" l="1"/>
  <c r="C102" i="42"/>
  <c r="C74" i="42"/>
  <c r="C136" i="42"/>
  <c r="F494" i="3" s="1"/>
  <c r="F490" i="3"/>
  <c r="B163" i="42"/>
  <c r="F485" i="3"/>
  <c r="F487" i="3"/>
  <c r="D163" i="42"/>
  <c r="F491" i="3"/>
  <c r="C111" i="42"/>
  <c r="F492" i="3" s="1"/>
  <c r="F489" i="3"/>
  <c r="C56" i="42"/>
  <c r="F488" i="3" s="1"/>
  <c r="B49" i="42"/>
  <c r="A49" i="42"/>
  <c r="B42" i="42"/>
  <c r="A42" i="42"/>
  <c r="B28" i="42"/>
  <c r="A28" i="42"/>
  <c r="B26" i="42"/>
  <c r="A26" i="42"/>
  <c r="B11" i="42"/>
  <c r="A11" i="42"/>
  <c r="C57" i="43"/>
  <c r="G252" i="37"/>
  <c r="G251" i="37"/>
  <c r="I250" i="9"/>
  <c r="D250" i="9"/>
  <c r="I249" i="9"/>
  <c r="D249" i="9"/>
  <c r="F329" i="3"/>
  <c r="F328" i="3"/>
  <c r="F327" i="3"/>
  <c r="F326" i="3"/>
  <c r="F325" i="3"/>
  <c r="F324" i="3"/>
  <c r="F323" i="3"/>
  <c r="F322" i="3"/>
  <c r="F321" i="3"/>
  <c r="F320" i="3"/>
  <c r="F319" i="3"/>
  <c r="F318" i="3"/>
  <c r="F317" i="3"/>
  <c r="F316" i="3"/>
  <c r="F315" i="3"/>
  <c r="F314" i="3"/>
  <c r="F313" i="3"/>
  <c r="B130" i="27"/>
  <c r="A130" i="27"/>
  <c r="B126" i="27"/>
  <c r="A126" i="27"/>
  <c r="A122" i="27"/>
  <c r="B118" i="27"/>
  <c r="A118" i="27"/>
  <c r="B114" i="27"/>
  <c r="A114" i="27"/>
  <c r="B110" i="27"/>
  <c r="A110" i="27"/>
  <c r="B106" i="27"/>
  <c r="A106" i="27"/>
  <c r="B102" i="27"/>
  <c r="A102" i="27"/>
  <c r="B98" i="27"/>
  <c r="A98" i="27"/>
  <c r="B94" i="27"/>
  <c r="A94" i="27"/>
  <c r="B90" i="27"/>
  <c r="A90" i="27"/>
  <c r="B86" i="27"/>
  <c r="A86" i="27"/>
  <c r="B82" i="27"/>
  <c r="A82" i="27"/>
  <c r="B78" i="27"/>
  <c r="A78" i="27"/>
  <c r="B74" i="27"/>
  <c r="A74" i="27"/>
  <c r="B70" i="27"/>
  <c r="A70" i="27"/>
  <c r="B122" i="27"/>
  <c r="B327" i="3"/>
  <c r="A372" i="16"/>
  <c r="C375" i="16"/>
  <c r="A375" i="16"/>
  <c r="D49" i="38"/>
  <c r="D48" i="38"/>
  <c r="K51" i="16"/>
  <c r="M51" i="16" s="1"/>
  <c r="M57" i="16" s="1"/>
  <c r="C21" i="35"/>
  <c r="C19" i="35"/>
  <c r="E47" i="38" l="1"/>
  <c r="L375" i="16" s="1"/>
  <c r="M375" i="16" s="1"/>
  <c r="M379" i="16" s="1"/>
  <c r="G327" i="3" s="1"/>
  <c r="C23" i="35"/>
  <c r="H163" i="42"/>
  <c r="F496" i="3" s="1"/>
  <c r="F311" i="3"/>
  <c r="F310" i="3"/>
  <c r="F306" i="3"/>
  <c r="F305" i="3"/>
  <c r="F304" i="3"/>
  <c r="C27" i="27"/>
  <c r="F307" i="3" s="1"/>
  <c r="C54" i="27"/>
  <c r="F309" i="3" s="1"/>
  <c r="C37" i="27"/>
  <c r="F308" i="3" s="1"/>
  <c r="A60" i="27"/>
  <c r="B56" i="27"/>
  <c r="A56" i="27"/>
  <c r="B39" i="27"/>
  <c r="A39" i="27"/>
  <c r="B29" i="27"/>
  <c r="A29" i="27"/>
  <c r="B25" i="27"/>
  <c r="A25" i="27"/>
  <c r="D306" i="3"/>
  <c r="B306" i="3"/>
  <c r="A348" i="16"/>
  <c r="D36" i="35"/>
  <c r="B248" i="37"/>
  <c r="A248" i="37"/>
  <c r="C254" i="37"/>
  <c r="F426" i="3" s="1"/>
  <c r="C151" i="41"/>
  <c r="I91" i="41"/>
  <c r="B94" i="41" s="1"/>
  <c r="F94" i="41" s="1"/>
  <c r="C96" i="41" s="1"/>
  <c r="I69" i="41"/>
  <c r="C71" i="41" s="1"/>
  <c r="F471" i="3" s="1"/>
  <c r="A73" i="41"/>
  <c r="B66" i="41"/>
  <c r="A66" i="41"/>
  <c r="C41" i="41"/>
  <c r="D472" i="3"/>
  <c r="B73" i="41" s="1"/>
  <c r="B472" i="3"/>
  <c r="A614" i="16"/>
  <c r="I53" i="41"/>
  <c r="C55" i="41" s="1"/>
  <c r="A31" i="41"/>
  <c r="B31" i="41"/>
  <c r="A50" i="41"/>
  <c r="B50" i="41"/>
  <c r="A57" i="41"/>
  <c r="B57" i="41"/>
  <c r="I62" i="41"/>
  <c r="C64" i="41" s="1"/>
  <c r="I252" i="9"/>
  <c r="C224" i="9"/>
  <c r="F143" i="3" s="1"/>
  <c r="F401" i="3"/>
  <c r="F400" i="3"/>
  <c r="F399" i="3"/>
  <c r="F398" i="3"/>
  <c r="F397" i="3"/>
  <c r="F396" i="3"/>
  <c r="F395" i="3"/>
  <c r="F394" i="3"/>
  <c r="F393" i="3"/>
  <c r="F392" i="3"/>
  <c r="F391" i="3"/>
  <c r="F390" i="3"/>
  <c r="F389" i="3"/>
  <c r="F388" i="3"/>
  <c r="F387" i="3"/>
  <c r="F386" i="3"/>
  <c r="F385" i="3"/>
  <c r="F384" i="3"/>
  <c r="F383" i="3"/>
  <c r="F382" i="3"/>
  <c r="B509" i="27"/>
  <c r="A509" i="27"/>
  <c r="B505" i="27"/>
  <c r="A505" i="27"/>
  <c r="B501" i="27"/>
  <c r="A501" i="27"/>
  <c r="B409" i="27"/>
  <c r="A409" i="27"/>
  <c r="H402" i="27"/>
  <c r="C407" i="27" s="1"/>
  <c r="C412" i="27" s="1"/>
  <c r="F377" i="3" s="1"/>
  <c r="J395" i="27"/>
  <c r="F373" i="3" s="1"/>
  <c r="K387" i="27"/>
  <c r="C389" i="27" s="1"/>
  <c r="F372" i="3" s="1"/>
  <c r="H379" i="27"/>
  <c r="D382" i="27" s="1"/>
  <c r="J375" i="27"/>
  <c r="B382" i="27" s="1"/>
  <c r="J355" i="27"/>
  <c r="C357" i="27" s="1"/>
  <c r="H349" i="27"/>
  <c r="C351" i="27" s="1"/>
  <c r="J364" i="27"/>
  <c r="D367" i="27" s="1"/>
  <c r="C340" i="27"/>
  <c r="K340" i="27" s="1"/>
  <c r="C339" i="27"/>
  <c r="K339" i="27" s="1"/>
  <c r="C338" i="27"/>
  <c r="K338" i="27" s="1"/>
  <c r="C337" i="27"/>
  <c r="K337" i="27" s="1"/>
  <c r="C336" i="27"/>
  <c r="K336" i="27" s="1"/>
  <c r="C335" i="27"/>
  <c r="K335" i="27" s="1"/>
  <c r="C334" i="27"/>
  <c r="K334" i="27" s="1"/>
  <c r="K333" i="27"/>
  <c r="K332" i="27"/>
  <c r="F306" i="27"/>
  <c r="H314" i="27"/>
  <c r="F307" i="27"/>
  <c r="F305" i="27"/>
  <c r="K325" i="27"/>
  <c r="K324" i="27"/>
  <c r="H313" i="27"/>
  <c r="F304" i="27"/>
  <c r="J298" i="27"/>
  <c r="F365" i="3" s="1"/>
  <c r="J283" i="27"/>
  <c r="D286" i="27" s="1"/>
  <c r="H277" i="27"/>
  <c r="C279" i="27" s="1"/>
  <c r="B286" i="27" s="1"/>
  <c r="I269" i="27"/>
  <c r="I262" i="27"/>
  <c r="I261" i="27"/>
  <c r="G306" i="3" l="1"/>
  <c r="F472" i="3"/>
  <c r="G472" i="3"/>
  <c r="F375" i="3"/>
  <c r="F376" i="3"/>
  <c r="B418" i="27"/>
  <c r="F382" i="27"/>
  <c r="F371" i="3" s="1"/>
  <c r="D360" i="27"/>
  <c r="C342" i="27"/>
  <c r="F368" i="3" s="1"/>
  <c r="B360" i="27"/>
  <c r="C327" i="27"/>
  <c r="F367" i="3" s="1"/>
  <c r="C316" i="27"/>
  <c r="D319" i="27" s="1"/>
  <c r="C309" i="27"/>
  <c r="B319" i="27" s="1"/>
  <c r="G286" i="27"/>
  <c r="C264" i="27"/>
  <c r="F360" i="3" s="1"/>
  <c r="C271" i="27"/>
  <c r="F361" i="3" s="1"/>
  <c r="J256" i="27"/>
  <c r="F359" i="3" s="1"/>
  <c r="B353" i="9"/>
  <c r="A353" i="9"/>
  <c r="G349" i="9"/>
  <c r="G348" i="9"/>
  <c r="G85" i="36"/>
  <c r="G80" i="36"/>
  <c r="G83" i="36"/>
  <c r="G82" i="36"/>
  <c r="G81" i="36"/>
  <c r="G84" i="36"/>
  <c r="H248" i="27"/>
  <c r="H247" i="27"/>
  <c r="F241" i="27"/>
  <c r="H236" i="27"/>
  <c r="B497" i="27"/>
  <c r="A497" i="27"/>
  <c r="B493" i="27"/>
  <c r="A493" i="27"/>
  <c r="B489" i="27"/>
  <c r="A489" i="27"/>
  <c r="B485" i="27"/>
  <c r="A485" i="27"/>
  <c r="A481" i="27"/>
  <c r="B477" i="27"/>
  <c r="A477" i="27"/>
  <c r="B473" i="27"/>
  <c r="A473" i="27"/>
  <c r="B469" i="27"/>
  <c r="A469" i="27"/>
  <c r="B465" i="27"/>
  <c r="A465" i="27"/>
  <c r="B461" i="27"/>
  <c r="A461" i="27"/>
  <c r="B457" i="27"/>
  <c r="A457" i="27"/>
  <c r="B453" i="27"/>
  <c r="A453" i="27"/>
  <c r="B449" i="27"/>
  <c r="A449" i="27"/>
  <c r="B445" i="27"/>
  <c r="A445" i="27"/>
  <c r="B441" i="27"/>
  <c r="A441" i="27"/>
  <c r="B437" i="27"/>
  <c r="A437" i="27"/>
  <c r="A433" i="27"/>
  <c r="B432" i="27"/>
  <c r="A432" i="27"/>
  <c r="B427" i="27"/>
  <c r="A427" i="27"/>
  <c r="B422" i="27"/>
  <c r="A422" i="27"/>
  <c r="B414" i="27"/>
  <c r="A414" i="27"/>
  <c r="B404" i="27"/>
  <c r="A404" i="27"/>
  <c r="B398" i="27"/>
  <c r="A398" i="27"/>
  <c r="B397" i="27"/>
  <c r="A397" i="27"/>
  <c r="B391" i="27"/>
  <c r="A391" i="27"/>
  <c r="B384" i="27"/>
  <c r="A384" i="27"/>
  <c r="B371" i="27"/>
  <c r="A371" i="27"/>
  <c r="B370" i="27"/>
  <c r="A370" i="27"/>
  <c r="B344" i="27"/>
  <c r="A344" i="27"/>
  <c r="B329" i="27"/>
  <c r="A329" i="27"/>
  <c r="B321" i="27"/>
  <c r="A321" i="27"/>
  <c r="B300" i="27"/>
  <c r="A300" i="27"/>
  <c r="B294" i="27"/>
  <c r="A294" i="27"/>
  <c r="B293" i="27"/>
  <c r="A293" i="27"/>
  <c r="B288" i="27"/>
  <c r="A288" i="27"/>
  <c r="B273" i="27"/>
  <c r="A273" i="27"/>
  <c r="B266" i="27"/>
  <c r="A266" i="27"/>
  <c r="B258" i="27"/>
  <c r="A258" i="27"/>
  <c r="B252" i="27"/>
  <c r="A252" i="27"/>
  <c r="B243" i="27"/>
  <c r="A243" i="27"/>
  <c r="D394" i="3"/>
  <c r="B481" i="27" s="1"/>
  <c r="B394" i="3"/>
  <c r="A418" i="16"/>
  <c r="C351" i="9" l="1"/>
  <c r="G394" i="3"/>
  <c r="H360" i="27"/>
  <c r="B367" i="27" s="1"/>
  <c r="G367" i="27" s="1"/>
  <c r="F369" i="3" s="1"/>
  <c r="H319" i="27"/>
  <c r="B291" i="27"/>
  <c r="F356" i="3"/>
  <c r="D291" i="27"/>
  <c r="F357" i="3"/>
  <c r="F291" i="27"/>
  <c r="F362" i="3"/>
  <c r="C250" i="27"/>
  <c r="F358" i="3" s="1"/>
  <c r="D382" i="3"/>
  <c r="B433" i="27" s="1"/>
  <c r="B382" i="3"/>
  <c r="A406" i="16"/>
  <c r="F366" i="3" l="1"/>
  <c r="D418" i="27"/>
  <c r="F418" i="27" s="1"/>
  <c r="C420" i="27" s="1"/>
  <c r="H291" i="27"/>
  <c r="F363" i="3" s="1"/>
  <c r="G382" i="3"/>
  <c r="C425" i="27" l="1"/>
  <c r="F378" i="3"/>
  <c r="F353" i="3"/>
  <c r="F352" i="3"/>
  <c r="F351" i="3"/>
  <c r="C217" i="27"/>
  <c r="F350" i="3" s="1"/>
  <c r="F348" i="3"/>
  <c r="F347" i="3"/>
  <c r="F346" i="3"/>
  <c r="F345" i="3"/>
  <c r="F344" i="3"/>
  <c r="F343" i="3"/>
  <c r="F342" i="3"/>
  <c r="F341" i="3"/>
  <c r="F340" i="3"/>
  <c r="F339" i="3"/>
  <c r="F338" i="3"/>
  <c r="F337" i="3"/>
  <c r="F336" i="3"/>
  <c r="F335" i="3"/>
  <c r="F334" i="3"/>
  <c r="F333" i="3"/>
  <c r="F332" i="3"/>
  <c r="F331" i="3"/>
  <c r="B204" i="27"/>
  <c r="A204" i="27"/>
  <c r="B238" i="27"/>
  <c r="A238" i="27"/>
  <c r="B233" i="27"/>
  <c r="A233" i="27"/>
  <c r="B232" i="27"/>
  <c r="A232" i="27"/>
  <c r="B200" i="27"/>
  <c r="A200" i="27"/>
  <c r="A196" i="27"/>
  <c r="A192" i="27"/>
  <c r="B188" i="27"/>
  <c r="A188" i="27"/>
  <c r="B184" i="27"/>
  <c r="A184" i="27"/>
  <c r="B180" i="27"/>
  <c r="A180" i="27"/>
  <c r="B176" i="27"/>
  <c r="A176" i="27"/>
  <c r="B172" i="27"/>
  <c r="A172" i="27"/>
  <c r="B168" i="27"/>
  <c r="A168" i="27"/>
  <c r="B164" i="27"/>
  <c r="A164" i="27"/>
  <c r="B160" i="27"/>
  <c r="A160" i="27"/>
  <c r="B156" i="27"/>
  <c r="A156" i="27"/>
  <c r="B152" i="27"/>
  <c r="A152" i="27"/>
  <c r="B148" i="27"/>
  <c r="A148" i="27"/>
  <c r="B144" i="27"/>
  <c r="A144" i="27"/>
  <c r="B140" i="27"/>
  <c r="A140" i="27"/>
  <c r="B136" i="27"/>
  <c r="A136" i="27"/>
  <c r="A9" i="27"/>
  <c r="C430" i="27" l="1"/>
  <c r="F380" i="3" s="1"/>
  <c r="F379" i="3"/>
  <c r="D346" i="3"/>
  <c r="B196" i="27" s="1"/>
  <c r="B346" i="3"/>
  <c r="A394" i="16"/>
  <c r="B345" i="3"/>
  <c r="G346" i="3" l="1"/>
  <c r="I251" i="9" l="1"/>
  <c r="G229" i="9"/>
  <c r="C231" i="9" s="1"/>
  <c r="F144" i="3" s="1"/>
  <c r="B226" i="9"/>
  <c r="A226" i="9"/>
  <c r="C235" i="9"/>
  <c r="C259" i="9" s="1"/>
  <c r="B243" i="9"/>
  <c r="B207" i="9"/>
  <c r="A207" i="9"/>
  <c r="D260" i="9"/>
  <c r="C42" i="43"/>
  <c r="K788" i="16"/>
  <c r="M788" i="16" s="1"/>
  <c r="M794" i="16" s="1"/>
  <c r="I21" i="43" l="1"/>
  <c r="I20" i="43"/>
  <c r="D251" i="9"/>
  <c r="F592" i="3"/>
  <c r="D588" i="3"/>
  <c r="B25" i="43" s="1"/>
  <c r="B588" i="3"/>
  <c r="A776" i="16"/>
  <c r="J780" i="16"/>
  <c r="C780" i="16"/>
  <c r="A780" i="16"/>
  <c r="E40" i="38"/>
  <c r="L780" i="16" s="1"/>
  <c r="M780" i="16" s="1"/>
  <c r="M781" i="16" s="1"/>
  <c r="F593" i="3"/>
  <c r="B63" i="43"/>
  <c r="A63" i="43"/>
  <c r="G29" i="43"/>
  <c r="G28" i="43"/>
  <c r="B59" i="43"/>
  <c r="A59" i="43"/>
  <c r="B45" i="43"/>
  <c r="A45" i="43"/>
  <c r="B44" i="43"/>
  <c r="A44" i="43"/>
  <c r="A25" i="43"/>
  <c r="B12" i="43"/>
  <c r="A12" i="43"/>
  <c r="B11" i="43"/>
  <c r="A11" i="43"/>
  <c r="A33" i="43"/>
  <c r="I19" i="43"/>
  <c r="I18" i="43"/>
  <c r="I17" i="43"/>
  <c r="I16" i="43"/>
  <c r="B13" i="43"/>
  <c r="A13" i="43"/>
  <c r="A10" i="43"/>
  <c r="A9" i="43"/>
  <c r="G7" i="43"/>
  <c r="C7" i="43"/>
  <c r="G6" i="43"/>
  <c r="C5" i="43"/>
  <c r="C4" i="43"/>
  <c r="H3" i="43"/>
  <c r="C3" i="43"/>
  <c r="A9" i="37"/>
  <c r="A9" i="26"/>
  <c r="A9" i="13"/>
  <c r="A9" i="9"/>
  <c r="A9" i="10"/>
  <c r="A9" i="36"/>
  <c r="A9" i="11"/>
  <c r="A9" i="15"/>
  <c r="A10" i="34"/>
  <c r="A10" i="42"/>
  <c r="A9" i="42"/>
  <c r="G7" i="42"/>
  <c r="C7" i="42"/>
  <c r="G6" i="42"/>
  <c r="C5" i="42"/>
  <c r="C4" i="42"/>
  <c r="H3" i="42"/>
  <c r="C3" i="42"/>
  <c r="C26" i="15"/>
  <c r="C23" i="43" l="1"/>
  <c r="C31" i="43"/>
  <c r="F588" i="3" s="1"/>
  <c r="F591" i="3"/>
  <c r="G588" i="3"/>
  <c r="F480" i="3"/>
  <c r="G131" i="41"/>
  <c r="G121" i="41"/>
  <c r="I111" i="41"/>
  <c r="G101" i="41"/>
  <c r="F474" i="3"/>
  <c r="A139" i="41"/>
  <c r="B138" i="41"/>
  <c r="A138" i="41"/>
  <c r="B128" i="41"/>
  <c r="A128" i="41"/>
  <c r="A118" i="41"/>
  <c r="B108" i="41"/>
  <c r="A108" i="41"/>
  <c r="B98" i="41"/>
  <c r="A98" i="41"/>
  <c r="B88" i="41"/>
  <c r="A88" i="41"/>
  <c r="B87" i="41"/>
  <c r="A87" i="41"/>
  <c r="D480" i="3"/>
  <c r="B139" i="41" s="1"/>
  <c r="B480" i="3"/>
  <c r="A633" i="16"/>
  <c r="D477" i="3"/>
  <c r="B118" i="41" s="1"/>
  <c r="B477" i="3"/>
  <c r="A623" i="16"/>
  <c r="F466" i="3"/>
  <c r="B22" i="41"/>
  <c r="A22" i="41"/>
  <c r="A18" i="41"/>
  <c r="B117" i="40"/>
  <c r="A117" i="40"/>
  <c r="C115" i="40"/>
  <c r="F451" i="3" s="1"/>
  <c r="D466" i="3"/>
  <c r="B18" i="41" s="1"/>
  <c r="B466" i="3"/>
  <c r="A603" i="16"/>
  <c r="C610" i="16"/>
  <c r="A610" i="16"/>
  <c r="E33" i="38"/>
  <c r="L610" i="16" s="1"/>
  <c r="M610" i="16" s="1"/>
  <c r="M611" i="16" s="1"/>
  <c r="F464" i="3"/>
  <c r="B17" i="41"/>
  <c r="A17" i="41"/>
  <c r="B13" i="41"/>
  <c r="A13" i="41"/>
  <c r="B12" i="41"/>
  <c r="A12" i="41"/>
  <c r="B11" i="41"/>
  <c r="A11" i="41"/>
  <c r="A10" i="41"/>
  <c r="A9" i="41"/>
  <c r="G7" i="41"/>
  <c r="C7" i="41"/>
  <c r="G6" i="41"/>
  <c r="C5" i="41"/>
  <c r="C4" i="41"/>
  <c r="H3" i="41"/>
  <c r="C3" i="41"/>
  <c r="G177" i="40"/>
  <c r="G176" i="40"/>
  <c r="G175" i="40"/>
  <c r="G158" i="40"/>
  <c r="G159" i="40"/>
  <c r="G160" i="40"/>
  <c r="G157" i="40"/>
  <c r="B172" i="40"/>
  <c r="A172" i="40"/>
  <c r="G149" i="10"/>
  <c r="G148" i="10"/>
  <c r="G114" i="10"/>
  <c r="I138" i="40"/>
  <c r="I139" i="40"/>
  <c r="C133" i="40"/>
  <c r="F453" i="3" s="1"/>
  <c r="C123" i="40"/>
  <c r="F452" i="3" s="1"/>
  <c r="J99" i="40"/>
  <c r="J97" i="40"/>
  <c r="J96" i="40"/>
  <c r="J95" i="40"/>
  <c r="A103" i="40"/>
  <c r="B103" i="40"/>
  <c r="J87" i="40"/>
  <c r="J76" i="40"/>
  <c r="J79" i="40"/>
  <c r="J77" i="40"/>
  <c r="A56" i="40"/>
  <c r="B56" i="40"/>
  <c r="F33" i="37"/>
  <c r="F34" i="37"/>
  <c r="F35" i="37"/>
  <c r="F36" i="37"/>
  <c r="F32" i="37"/>
  <c r="C139" i="37"/>
  <c r="C117" i="37"/>
  <c r="C89" i="37"/>
  <c r="C24" i="37"/>
  <c r="I68" i="40"/>
  <c r="J60" i="40"/>
  <c r="G45" i="40"/>
  <c r="G44" i="40"/>
  <c r="I37" i="40"/>
  <c r="I36" i="40"/>
  <c r="I29" i="40"/>
  <c r="I28" i="40"/>
  <c r="B41" i="40"/>
  <c r="A41" i="40"/>
  <c r="A9" i="40"/>
  <c r="G466" i="3" l="1"/>
  <c r="B134" i="41"/>
  <c r="F134" i="41" s="1"/>
  <c r="C136" i="41" s="1"/>
  <c r="F478" i="3" s="1"/>
  <c r="B104" i="41"/>
  <c r="F104" i="41" s="1"/>
  <c r="C106" i="41" s="1"/>
  <c r="F475" i="3" s="1"/>
  <c r="B114" i="41"/>
  <c r="F114" i="41" s="1"/>
  <c r="C116" i="41" s="1"/>
  <c r="F476" i="3" s="1"/>
  <c r="B124" i="41"/>
  <c r="F124" i="41" s="1"/>
  <c r="C126" i="41" s="1"/>
  <c r="F477" i="3" s="1"/>
  <c r="G477" i="3"/>
  <c r="F469" i="3"/>
  <c r="F470" i="3"/>
  <c r="G480" i="3"/>
  <c r="C179" i="40"/>
  <c r="F460" i="3" s="1"/>
  <c r="C162" i="40"/>
  <c r="C141" i="40"/>
  <c r="C146" i="40" s="1"/>
  <c r="C151" i="40" s="1"/>
  <c r="F456" i="3" s="1"/>
  <c r="C101" i="40"/>
  <c r="F448" i="3" s="1"/>
  <c r="C62" i="40"/>
  <c r="B106" i="40" s="1"/>
  <c r="D70" i="40"/>
  <c r="D106" i="40" s="1"/>
  <c r="C89" i="40"/>
  <c r="F106" i="40" s="1"/>
  <c r="C81" i="40"/>
  <c r="F446" i="3" s="1"/>
  <c r="C38" i="37"/>
  <c r="C47" i="40"/>
  <c r="F442" i="3" s="1"/>
  <c r="C39" i="40"/>
  <c r="F441" i="3" s="1"/>
  <c r="C31" i="40"/>
  <c r="F440" i="3" s="1"/>
  <c r="B164" i="40"/>
  <c r="A164" i="40"/>
  <c r="B154" i="40"/>
  <c r="A154" i="40"/>
  <c r="B153" i="40"/>
  <c r="A153" i="40"/>
  <c r="B148" i="40"/>
  <c r="A148" i="40"/>
  <c r="B143" i="40"/>
  <c r="A143" i="40"/>
  <c r="B135" i="40"/>
  <c r="A135" i="40"/>
  <c r="A125" i="40"/>
  <c r="B109" i="40"/>
  <c r="A109" i="40"/>
  <c r="B108" i="40"/>
  <c r="A108" i="40"/>
  <c r="B91" i="40"/>
  <c r="A91" i="40"/>
  <c r="B83" i="40"/>
  <c r="A83" i="40"/>
  <c r="B72" i="40"/>
  <c r="A72" i="40"/>
  <c r="B64" i="40"/>
  <c r="A64" i="40"/>
  <c r="B49" i="40"/>
  <c r="A49" i="40"/>
  <c r="B33" i="40"/>
  <c r="A33" i="40"/>
  <c r="B25" i="40"/>
  <c r="A25" i="40"/>
  <c r="B12" i="40"/>
  <c r="A12" i="40"/>
  <c r="B11" i="40"/>
  <c r="A11" i="40"/>
  <c r="F19" i="3"/>
  <c r="B31" i="5"/>
  <c r="A31" i="5"/>
  <c r="F95" i="3"/>
  <c r="B20" i="15"/>
  <c r="A20" i="15"/>
  <c r="D453" i="3"/>
  <c r="B125" i="40" s="1"/>
  <c r="B453" i="3"/>
  <c r="F455" i="3" l="1"/>
  <c r="C167" i="40"/>
  <c r="F459" i="3" s="1"/>
  <c r="F458" i="3"/>
  <c r="F454" i="3"/>
  <c r="F444" i="3"/>
  <c r="F447" i="3"/>
  <c r="F445" i="3"/>
  <c r="A10" i="40"/>
  <c r="A10" i="39"/>
  <c r="A9" i="39"/>
  <c r="G7" i="40"/>
  <c r="C7" i="40"/>
  <c r="G6" i="40"/>
  <c r="C5" i="40"/>
  <c r="C4" i="40"/>
  <c r="H3" i="40"/>
  <c r="C3" i="40"/>
  <c r="K25" i="16"/>
  <c r="M25" i="16" s="1"/>
  <c r="G61" i="39"/>
  <c r="G60" i="39"/>
  <c r="I53" i="39"/>
  <c r="I51" i="39"/>
  <c r="I50" i="39"/>
  <c r="I49" i="39"/>
  <c r="I48" i="39"/>
  <c r="C26" i="39"/>
  <c r="F432" i="3" s="1"/>
  <c r="C19" i="39"/>
  <c r="F431" i="3" s="1"/>
  <c r="B57" i="39"/>
  <c r="A57" i="39"/>
  <c r="B45" i="39"/>
  <c r="A45" i="39"/>
  <c r="B35" i="39"/>
  <c r="A35" i="39"/>
  <c r="B21" i="39"/>
  <c r="A21" i="39"/>
  <c r="A13" i="39"/>
  <c r="B12" i="39"/>
  <c r="A12" i="39"/>
  <c r="B11" i="39"/>
  <c r="A11" i="39"/>
  <c r="F589" i="3"/>
  <c r="F587" i="3"/>
  <c r="K22" i="16"/>
  <c r="M22" i="16" s="1"/>
  <c r="K24" i="16"/>
  <c r="M24" i="16" s="1"/>
  <c r="K23" i="16"/>
  <c r="M23" i="16" s="1"/>
  <c r="C18" i="15"/>
  <c r="F94" i="3" s="1"/>
  <c r="C33" i="15"/>
  <c r="F96" i="3" s="1"/>
  <c r="A28" i="15"/>
  <c r="C63" i="39" l="1"/>
  <c r="F436" i="3" s="1"/>
  <c r="H106" i="40"/>
  <c r="F449" i="3" s="1"/>
  <c r="C55" i="39"/>
  <c r="F435" i="3" s="1"/>
  <c r="D96" i="3"/>
  <c r="B28" i="15" s="1"/>
  <c r="B96" i="3"/>
  <c r="K28" i="16"/>
  <c r="M28" i="16" s="1"/>
  <c r="M32" i="16" s="1"/>
  <c r="A18" i="16" l="1"/>
  <c r="G96" i="3" l="1"/>
  <c r="G7" i="39"/>
  <c r="C7" i="39"/>
  <c r="G6" i="39"/>
  <c r="C5" i="39"/>
  <c r="C4" i="39"/>
  <c r="H3" i="39"/>
  <c r="C3" i="39"/>
  <c r="D431" i="3"/>
  <c r="C164" i="11"/>
  <c r="C174" i="11" s="1"/>
  <c r="B552" i="32"/>
  <c r="C552" i="32"/>
  <c r="B553" i="32"/>
  <c r="B554" i="32"/>
  <c r="B555" i="32"/>
  <c r="C555" i="32"/>
  <c r="B556" i="32"/>
  <c r="C556" i="32"/>
  <c r="B557" i="32"/>
  <c r="B558" i="32"/>
  <c r="C558" i="32"/>
  <c r="B559" i="32"/>
  <c r="C559" i="32"/>
  <c r="B551" i="32"/>
  <c r="E552" i="32"/>
  <c r="E553" i="32"/>
  <c r="E554" i="32"/>
  <c r="E555" i="32"/>
  <c r="E556" i="32"/>
  <c r="E557" i="32"/>
  <c r="E558" i="32"/>
  <c r="E559" i="32"/>
  <c r="E551" i="32"/>
  <c r="J522" i="32"/>
  <c r="J521" i="32"/>
  <c r="J520" i="32"/>
  <c r="J519" i="32"/>
  <c r="J518" i="32"/>
  <c r="J517" i="32"/>
  <c r="J516" i="32"/>
  <c r="J515" i="32"/>
  <c r="J514" i="32"/>
  <c r="J513" i="32"/>
  <c r="J528" i="32"/>
  <c r="J527" i="32"/>
  <c r="J526" i="32"/>
  <c r="J525" i="32"/>
  <c r="J524" i="32"/>
  <c r="J523" i="32"/>
  <c r="C469" i="32"/>
  <c r="I469" i="32" s="1"/>
  <c r="C466" i="32"/>
  <c r="I466" i="32" s="1"/>
  <c r="C465" i="32"/>
  <c r="I465" i="32" s="1"/>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62" i="32"/>
  <c r="I467" i="32"/>
  <c r="I470" i="32"/>
  <c r="I471" i="32"/>
  <c r="C463" i="32"/>
  <c r="C551" i="32" s="1"/>
  <c r="C564" i="32"/>
  <c r="B564" i="32"/>
  <c r="C548" i="32"/>
  <c r="B548" i="32"/>
  <c r="C533" i="32"/>
  <c r="B533" i="32"/>
  <c r="C491" i="32"/>
  <c r="B491" i="32"/>
  <c r="C475" i="32"/>
  <c r="B475" i="32"/>
  <c r="C460" i="32"/>
  <c r="B460" i="32"/>
  <c r="C459" i="32"/>
  <c r="B459" i="32"/>
  <c r="I556" i="32"/>
  <c r="J543" i="32"/>
  <c r="J542" i="32"/>
  <c r="J541" i="32"/>
  <c r="J540" i="32"/>
  <c r="J539" i="32"/>
  <c r="J538" i="32"/>
  <c r="J537" i="32"/>
  <c r="J536" i="32"/>
  <c r="J512" i="32"/>
  <c r="J511" i="32"/>
  <c r="J510" i="32"/>
  <c r="J509" i="32"/>
  <c r="J508" i="32"/>
  <c r="J507" i="32"/>
  <c r="J506" i="32"/>
  <c r="J505" i="32"/>
  <c r="J504" i="32"/>
  <c r="J503" i="32"/>
  <c r="J502" i="32"/>
  <c r="J501" i="32"/>
  <c r="J500" i="32"/>
  <c r="J499" i="32"/>
  <c r="J498" i="32"/>
  <c r="J497" i="32"/>
  <c r="J496" i="32"/>
  <c r="J495" i="32"/>
  <c r="J494" i="32"/>
  <c r="J486" i="32"/>
  <c r="J485" i="32"/>
  <c r="J484" i="32"/>
  <c r="J483" i="32"/>
  <c r="J482" i="32"/>
  <c r="J481" i="32"/>
  <c r="J480" i="32"/>
  <c r="J479" i="32"/>
  <c r="J478" i="32"/>
  <c r="I468" i="32"/>
  <c r="I464" i="32"/>
  <c r="B84" i="15"/>
  <c r="B81" i="15"/>
  <c r="B82" i="15"/>
  <c r="B83" i="15"/>
  <c r="B78" i="15"/>
  <c r="B79" i="15"/>
  <c r="B80" i="15"/>
  <c r="B75" i="15"/>
  <c r="B76" i="15"/>
  <c r="B77" i="15"/>
  <c r="B61" i="15"/>
  <c r="B62" i="15"/>
  <c r="B63" i="15"/>
  <c r="B64" i="15"/>
  <c r="B65" i="15"/>
  <c r="B66" i="15"/>
  <c r="B67" i="15"/>
  <c r="B68" i="15"/>
  <c r="B69" i="15"/>
  <c r="B70" i="15"/>
  <c r="B71" i="15"/>
  <c r="B72" i="15"/>
  <c r="B73" i="15"/>
  <c r="B74" i="15"/>
  <c r="B60" i="15"/>
  <c r="B57" i="15"/>
  <c r="A57" i="15"/>
  <c r="A9" i="19"/>
  <c r="G33" i="35"/>
  <c r="G32" i="35"/>
  <c r="B29" i="35"/>
  <c r="A29" i="35"/>
  <c r="A9" i="35"/>
  <c r="A9" i="32"/>
  <c r="C451" i="32"/>
  <c r="C452" i="32"/>
  <c r="C453" i="32"/>
  <c r="C454" i="32"/>
  <c r="I423" i="32"/>
  <c r="I424" i="32"/>
  <c r="G432" i="32"/>
  <c r="G434" i="32"/>
  <c r="B431" i="32"/>
  <c r="B432" i="32"/>
  <c r="B433" i="32"/>
  <c r="B434" i="32"/>
  <c r="C448" i="32"/>
  <c r="B448" i="32"/>
  <c r="C442" i="32"/>
  <c r="C443" i="32"/>
  <c r="G421" i="32"/>
  <c r="G422" i="32"/>
  <c r="B420" i="32"/>
  <c r="B421" i="32"/>
  <c r="B422" i="32"/>
  <c r="B419" i="32"/>
  <c r="E374" i="32"/>
  <c r="I374" i="32" s="1"/>
  <c r="E375" i="32"/>
  <c r="I375" i="32" s="1"/>
  <c r="E376" i="32"/>
  <c r="I376" i="32" s="1"/>
  <c r="E377" i="32"/>
  <c r="I377" i="32" s="1"/>
  <c r="E378" i="32"/>
  <c r="I378" i="32" s="1"/>
  <c r="E379" i="32"/>
  <c r="I379" i="32" s="1"/>
  <c r="E380" i="32"/>
  <c r="I380" i="32" s="1"/>
  <c r="E381" i="32"/>
  <c r="E382" i="32"/>
  <c r="I382" i="32" s="1"/>
  <c r="E383" i="32"/>
  <c r="I383" i="32" s="1"/>
  <c r="E384" i="32"/>
  <c r="I384" i="32" s="1"/>
  <c r="E385" i="32"/>
  <c r="E386" i="32"/>
  <c r="E387" i="32"/>
  <c r="I387" i="32" s="1"/>
  <c r="E388" i="32"/>
  <c r="I388" i="32" s="1"/>
  <c r="E389" i="32"/>
  <c r="I389" i="32" s="1"/>
  <c r="E390" i="32"/>
  <c r="I390" i="32" s="1"/>
  <c r="E391" i="32"/>
  <c r="E392" i="32"/>
  <c r="I392" i="32" s="1"/>
  <c r="E393" i="32"/>
  <c r="I393" i="32" s="1"/>
  <c r="E394" i="32"/>
  <c r="I394" i="32" s="1"/>
  <c r="E395" i="32"/>
  <c r="I395" i="32" s="1"/>
  <c r="E396" i="32"/>
  <c r="E397" i="32"/>
  <c r="I397" i="32" s="1"/>
  <c r="E398" i="32"/>
  <c r="I398" i="32" s="1"/>
  <c r="E399" i="32"/>
  <c r="I399" i="32" s="1"/>
  <c r="E373" i="32"/>
  <c r="I373" i="32" s="1"/>
  <c r="C396" i="32"/>
  <c r="C391" i="32"/>
  <c r="C386" i="32"/>
  <c r="C385" i="32"/>
  <c r="C381" i="32"/>
  <c r="J354" i="32"/>
  <c r="J353" i="32"/>
  <c r="J352" i="32"/>
  <c r="J351" i="32"/>
  <c r="J316" i="32"/>
  <c r="J315" i="32"/>
  <c r="J314" i="32"/>
  <c r="J313" i="32"/>
  <c r="J312" i="32"/>
  <c r="J311" i="32"/>
  <c r="J310" i="32"/>
  <c r="J302" i="32"/>
  <c r="J301" i="32"/>
  <c r="J300" i="32"/>
  <c r="J299" i="32"/>
  <c r="J298" i="32"/>
  <c r="J297" i="32"/>
  <c r="J296" i="32"/>
  <c r="J295" i="32"/>
  <c r="J294" i="32"/>
  <c r="J293" i="32"/>
  <c r="J292" i="32"/>
  <c r="J291" i="32"/>
  <c r="J290" i="32"/>
  <c r="J289" i="32"/>
  <c r="J288" i="32"/>
  <c r="J287" i="32"/>
  <c r="J309" i="32"/>
  <c r="J308" i="32"/>
  <c r="J307" i="32"/>
  <c r="J306" i="32"/>
  <c r="J305" i="32"/>
  <c r="J304" i="32"/>
  <c r="J303" i="32"/>
  <c r="J215" i="32"/>
  <c r="J214" i="32"/>
  <c r="J213" i="32"/>
  <c r="J212" i="32"/>
  <c r="J211" i="32"/>
  <c r="J210" i="32"/>
  <c r="J209" i="32"/>
  <c r="J208" i="32"/>
  <c r="J207" i="32"/>
  <c r="I551" i="32" l="1"/>
  <c r="I558" i="32"/>
  <c r="C546" i="32"/>
  <c r="G546" i="32" s="1"/>
  <c r="F89" i="3" s="1"/>
  <c r="C557" i="32"/>
  <c r="I552" i="32"/>
  <c r="B36" i="35"/>
  <c r="F36" i="35" s="1"/>
  <c r="F599" i="3" s="1"/>
  <c r="B13" i="39"/>
  <c r="I557" i="32"/>
  <c r="C553" i="32"/>
  <c r="I553" i="32" s="1"/>
  <c r="C531" i="32"/>
  <c r="G531" i="32" s="1"/>
  <c r="F88" i="3" s="1"/>
  <c r="C554" i="32"/>
  <c r="I554" i="32" s="1"/>
  <c r="I555" i="32"/>
  <c r="C489" i="32"/>
  <c r="G489" i="32" s="1"/>
  <c r="F87" i="3" s="1"/>
  <c r="I559" i="32"/>
  <c r="I463" i="32"/>
  <c r="C473" i="32" s="1"/>
  <c r="F86" i="3" s="1"/>
  <c r="I396" i="32"/>
  <c r="I386" i="32"/>
  <c r="I381" i="32"/>
  <c r="I391" i="32"/>
  <c r="I385" i="32"/>
  <c r="J365" i="32"/>
  <c r="J364" i="32"/>
  <c r="J205" i="32"/>
  <c r="J204" i="32"/>
  <c r="J203" i="32"/>
  <c r="J202" i="32"/>
  <c r="J201" i="32"/>
  <c r="J200" i="32"/>
  <c r="J199" i="32"/>
  <c r="J198" i="32"/>
  <c r="J197" i="32"/>
  <c r="J196" i="32"/>
  <c r="J218" i="32"/>
  <c r="J217" i="32"/>
  <c r="J216" i="32"/>
  <c r="J206" i="32"/>
  <c r="J195" i="32"/>
  <c r="J363" i="32"/>
  <c r="J286" i="32"/>
  <c r="J285" i="32"/>
  <c r="J284" i="32"/>
  <c r="J280" i="32"/>
  <c r="J279" i="32"/>
  <c r="J278" i="32"/>
  <c r="J277" i="32"/>
  <c r="J276" i="32"/>
  <c r="J274" i="32"/>
  <c r="J267" i="32"/>
  <c r="J266" i="32"/>
  <c r="J265" i="32"/>
  <c r="J264" i="32"/>
  <c r="J262" i="32"/>
  <c r="J261" i="32"/>
  <c r="J260" i="32"/>
  <c r="J259" i="32"/>
  <c r="J258" i="32"/>
  <c r="J254" i="32"/>
  <c r="J248" i="32"/>
  <c r="C360" i="32"/>
  <c r="B360" i="32"/>
  <c r="C347" i="32"/>
  <c r="B347" i="32"/>
  <c r="C223" i="32"/>
  <c r="B223" i="32"/>
  <c r="I163" i="32"/>
  <c r="I164" i="32"/>
  <c r="I165" i="32"/>
  <c r="I166" i="32"/>
  <c r="I167" i="32"/>
  <c r="I168" i="32"/>
  <c r="I169" i="32"/>
  <c r="I171" i="32"/>
  <c r="I172" i="32"/>
  <c r="I173" i="32"/>
  <c r="I176" i="32"/>
  <c r="J231" i="32" s="1"/>
  <c r="I177" i="32"/>
  <c r="I178" i="32"/>
  <c r="J350" i="32" s="1"/>
  <c r="C357" i="32" s="1"/>
  <c r="G357" i="32" s="1"/>
  <c r="F75" i="3" s="1"/>
  <c r="I179" i="32"/>
  <c r="I181" i="32"/>
  <c r="I182" i="32"/>
  <c r="I183" i="32"/>
  <c r="I184" i="32"/>
  <c r="J341" i="32" s="1"/>
  <c r="I186" i="32"/>
  <c r="I187" i="32"/>
  <c r="I188" i="32"/>
  <c r="J257" i="32" s="1"/>
  <c r="I162" i="32"/>
  <c r="C185" i="32"/>
  <c r="C180" i="32"/>
  <c r="C175" i="32"/>
  <c r="C174" i="32"/>
  <c r="C170" i="32"/>
  <c r="J148" i="32"/>
  <c r="J146" i="32"/>
  <c r="J145" i="32"/>
  <c r="J143" i="32"/>
  <c r="J142" i="32"/>
  <c r="J132" i="32"/>
  <c r="J133" i="32"/>
  <c r="J131" i="32"/>
  <c r="J120" i="32"/>
  <c r="J118" i="32"/>
  <c r="J117" i="32"/>
  <c r="J116" i="32"/>
  <c r="J115" i="32"/>
  <c r="J114" i="32"/>
  <c r="J113" i="32"/>
  <c r="J112" i="32"/>
  <c r="J111" i="32"/>
  <c r="J110" i="32"/>
  <c r="J109" i="32"/>
  <c r="J108" i="32"/>
  <c r="J107" i="32"/>
  <c r="J106" i="32"/>
  <c r="J89" i="32"/>
  <c r="J88" i="32"/>
  <c r="J87" i="32"/>
  <c r="J86" i="32"/>
  <c r="J85" i="32"/>
  <c r="J76" i="32"/>
  <c r="J77" i="32"/>
  <c r="J78" i="32"/>
  <c r="J79" i="32"/>
  <c r="J80" i="32"/>
  <c r="J81" i="32"/>
  <c r="J92" i="32"/>
  <c r="J93" i="32"/>
  <c r="J94" i="32"/>
  <c r="J95" i="32"/>
  <c r="J96" i="32"/>
  <c r="J97" i="32"/>
  <c r="J83" i="32"/>
  <c r="J75" i="32"/>
  <c r="B90" i="32"/>
  <c r="J91" i="32"/>
  <c r="J84" i="32"/>
  <c r="J82" i="32"/>
  <c r="J62" i="32"/>
  <c r="J59" i="32"/>
  <c r="J56" i="32"/>
  <c r="J55" i="32"/>
  <c r="J54" i="32"/>
  <c r="J53" i="32"/>
  <c r="J51" i="32"/>
  <c r="J50" i="32"/>
  <c r="J49" i="32"/>
  <c r="J66" i="32"/>
  <c r="J65" i="32"/>
  <c r="H64" i="32"/>
  <c r="J64" i="32" s="1"/>
  <c r="J60" i="32"/>
  <c r="H61" i="32"/>
  <c r="J61" i="32" s="1"/>
  <c r="J58" i="32"/>
  <c r="J52" i="32"/>
  <c r="J48" i="32"/>
  <c r="B64" i="32"/>
  <c r="J122" i="32"/>
  <c r="C127" i="32"/>
  <c r="B127" i="32"/>
  <c r="C102" i="32"/>
  <c r="B102" i="32"/>
  <c r="D39" i="32"/>
  <c r="D40" i="32"/>
  <c r="E37" i="32"/>
  <c r="C37" i="32"/>
  <c r="E36" i="32"/>
  <c r="C36" i="32"/>
  <c r="E35" i="32"/>
  <c r="C35" i="32"/>
  <c r="E34" i="32"/>
  <c r="C34" i="32"/>
  <c r="E33" i="32"/>
  <c r="C33" i="32"/>
  <c r="E32" i="32"/>
  <c r="C32" i="32"/>
  <c r="E31" i="32"/>
  <c r="C31" i="32"/>
  <c r="E30" i="32"/>
  <c r="C30" i="32"/>
  <c r="E28" i="32"/>
  <c r="E40" i="32" s="1"/>
  <c r="C28" i="32"/>
  <c r="E27" i="32"/>
  <c r="C27" i="32"/>
  <c r="E26" i="32"/>
  <c r="E39" i="32" s="1"/>
  <c r="C26" i="32"/>
  <c r="E25" i="32"/>
  <c r="C25" i="32"/>
  <c r="E24" i="32"/>
  <c r="C24" i="32"/>
  <c r="E23" i="32"/>
  <c r="C23" i="32"/>
  <c r="E22" i="32"/>
  <c r="C22" i="32"/>
  <c r="C20" i="32"/>
  <c r="E21" i="32"/>
  <c r="C21" i="32"/>
  <c r="E20" i="32"/>
  <c r="C18" i="32"/>
  <c r="E19" i="32"/>
  <c r="C19" i="32"/>
  <c r="E18" i="32"/>
  <c r="A9" i="31"/>
  <c r="A10" i="30"/>
  <c r="A10" i="5"/>
  <c r="B525" i="31"/>
  <c r="A525" i="31"/>
  <c r="B151" i="31"/>
  <c r="A151" i="31"/>
  <c r="B93" i="31"/>
  <c r="A93" i="31"/>
  <c r="C561" i="32" l="1"/>
  <c r="C401" i="32"/>
  <c r="C406" i="32" s="1"/>
  <c r="F78" i="3" s="1"/>
  <c r="C368" i="32"/>
  <c r="G368" i="32" s="1"/>
  <c r="F76" i="3" s="1"/>
  <c r="C221" i="32"/>
  <c r="G221" i="32" s="1"/>
  <c r="F72" i="3" s="1"/>
  <c r="I175" i="32"/>
  <c r="I174" i="32"/>
  <c r="I180" i="32"/>
  <c r="J232" i="32"/>
  <c r="J236" i="32"/>
  <c r="J238" i="32"/>
  <c r="J339" i="32"/>
  <c r="J340" i="32"/>
  <c r="J330" i="32"/>
  <c r="J329" i="32"/>
  <c r="J324" i="32"/>
  <c r="J326" i="32"/>
  <c r="J243" i="32"/>
  <c r="J244" i="32"/>
  <c r="J327" i="32"/>
  <c r="J328" i="32"/>
  <c r="J233" i="32"/>
  <c r="J226" i="32"/>
  <c r="J235" i="32"/>
  <c r="J245" i="32"/>
  <c r="J253" i="32"/>
  <c r="J250" i="32"/>
  <c r="J256" i="32"/>
  <c r="J332" i="32"/>
  <c r="J336" i="32"/>
  <c r="J325" i="32"/>
  <c r="J335" i="32"/>
  <c r="J272" i="32"/>
  <c r="J273" i="32"/>
  <c r="J229" i="32"/>
  <c r="J228" i="32"/>
  <c r="J270" i="32"/>
  <c r="J269" i="32"/>
  <c r="J281" i="32"/>
  <c r="J275" i="32"/>
  <c r="J230" i="32"/>
  <c r="J255" i="32"/>
  <c r="J271" i="32"/>
  <c r="J227" i="32"/>
  <c r="J252" i="32"/>
  <c r="J263" i="32"/>
  <c r="J268" i="32"/>
  <c r="I170" i="32"/>
  <c r="I185" i="32"/>
  <c r="J249" i="32" s="1"/>
  <c r="C150" i="32"/>
  <c r="F68" i="3" s="1"/>
  <c r="C136" i="32"/>
  <c r="G136" i="32" s="1"/>
  <c r="F67" i="3" s="1"/>
  <c r="C125" i="32"/>
  <c r="G125" i="32" s="1"/>
  <c r="F66" i="3" s="1"/>
  <c r="C100" i="32"/>
  <c r="G100" i="32" s="1"/>
  <c r="F65" i="3" s="1"/>
  <c r="C69" i="32"/>
  <c r="G69" i="32" s="1"/>
  <c r="F64" i="3" s="1"/>
  <c r="J28" i="32"/>
  <c r="J31" i="32"/>
  <c r="J33" i="32"/>
  <c r="J35" i="32"/>
  <c r="J37" i="32"/>
  <c r="J20" i="32"/>
  <c r="C40" i="32"/>
  <c r="J40" i="32" s="1"/>
  <c r="J26" i="32"/>
  <c r="J30" i="32"/>
  <c r="J32" i="32"/>
  <c r="J34" i="32"/>
  <c r="J36" i="32"/>
  <c r="C39" i="32"/>
  <c r="J39" i="32" s="1"/>
  <c r="J21" i="32"/>
  <c r="J18" i="32"/>
  <c r="J22" i="32"/>
  <c r="J25" i="32"/>
  <c r="J27" i="32"/>
  <c r="J19" i="32"/>
  <c r="J24" i="32"/>
  <c r="J23" i="32"/>
  <c r="K540" i="31"/>
  <c r="K541" i="31"/>
  <c r="K542" i="31"/>
  <c r="K543" i="31"/>
  <c r="K544" i="31"/>
  <c r="K545" i="31"/>
  <c r="K546" i="31"/>
  <c r="K548" i="31"/>
  <c r="K549" i="31"/>
  <c r="K550" i="31"/>
  <c r="K553" i="31"/>
  <c r="K554" i="31"/>
  <c r="K555" i="31"/>
  <c r="K556" i="31"/>
  <c r="K558" i="31"/>
  <c r="K559" i="31"/>
  <c r="K560" i="31"/>
  <c r="K561" i="31"/>
  <c r="K563" i="31"/>
  <c r="K564" i="31"/>
  <c r="K565" i="31"/>
  <c r="K539" i="31"/>
  <c r="C562" i="31"/>
  <c r="K562" i="31" s="1"/>
  <c r="C557" i="31"/>
  <c r="K557" i="31" s="1"/>
  <c r="C552" i="31"/>
  <c r="K552" i="31" s="1"/>
  <c r="C551" i="31"/>
  <c r="K551" i="31" s="1"/>
  <c r="C547" i="31"/>
  <c r="K547" i="31" s="1"/>
  <c r="K521" i="31"/>
  <c r="K520" i="31"/>
  <c r="K519" i="31"/>
  <c r="C518" i="31"/>
  <c r="K518" i="31" s="1"/>
  <c r="K517" i="31"/>
  <c r="K516" i="31"/>
  <c r="K515" i="31"/>
  <c r="K514" i="31"/>
  <c r="C513" i="31"/>
  <c r="K513" i="31" s="1"/>
  <c r="K512" i="31"/>
  <c r="K511" i="31"/>
  <c r="K510" i="31"/>
  <c r="K509" i="31"/>
  <c r="C508" i="31"/>
  <c r="K508" i="31" s="1"/>
  <c r="C507" i="31"/>
  <c r="K507" i="31" s="1"/>
  <c r="K506" i="31"/>
  <c r="K505" i="31"/>
  <c r="K504" i="31"/>
  <c r="C503" i="31"/>
  <c r="K503" i="31" s="1"/>
  <c r="K502" i="31"/>
  <c r="K501" i="31"/>
  <c r="K500" i="31"/>
  <c r="K499" i="31"/>
  <c r="K498" i="31"/>
  <c r="K497" i="31"/>
  <c r="K496" i="31"/>
  <c r="K495" i="31"/>
  <c r="B442" i="31"/>
  <c r="H401" i="31"/>
  <c r="H400" i="31" s="1"/>
  <c r="J400" i="31" s="1"/>
  <c r="B390" i="31"/>
  <c r="H369" i="31"/>
  <c r="J369" i="31" s="1"/>
  <c r="H370" i="31"/>
  <c r="J370" i="31" s="1"/>
  <c r="H371" i="31"/>
  <c r="J371" i="31" s="1"/>
  <c r="B365" i="31"/>
  <c r="B354" i="31"/>
  <c r="H354" i="31"/>
  <c r="J354" i="31" s="1"/>
  <c r="H482" i="31"/>
  <c r="J482" i="31" s="1"/>
  <c r="H483" i="31"/>
  <c r="J483" i="31" s="1"/>
  <c r="H484" i="31"/>
  <c r="J484" i="31" s="1"/>
  <c r="H485" i="31"/>
  <c r="J485" i="31" s="1"/>
  <c r="H486" i="31"/>
  <c r="J486" i="31" s="1"/>
  <c r="H487" i="31"/>
  <c r="J487" i="31" s="1"/>
  <c r="B482" i="31"/>
  <c r="B483" i="31"/>
  <c r="B484" i="31"/>
  <c r="B485" i="31"/>
  <c r="B486" i="31"/>
  <c r="B487" i="31"/>
  <c r="H474" i="31"/>
  <c r="J474" i="31" s="1"/>
  <c r="B474" i="31"/>
  <c r="H460" i="31"/>
  <c r="J460" i="31" s="1"/>
  <c r="H461" i="31"/>
  <c r="J461" i="31" s="1"/>
  <c r="H463" i="31"/>
  <c r="J463" i="31" s="1"/>
  <c r="H466" i="31"/>
  <c r="J466" i="31" s="1"/>
  <c r="B460" i="31"/>
  <c r="B461" i="31"/>
  <c r="B463" i="31"/>
  <c r="B466" i="31"/>
  <c r="H412" i="31"/>
  <c r="J412" i="31" s="1"/>
  <c r="H414" i="31"/>
  <c r="J414" i="31" s="1"/>
  <c r="H416" i="31"/>
  <c r="J416" i="31" s="1"/>
  <c r="H420" i="31"/>
  <c r="J420" i="31" s="1"/>
  <c r="H424" i="31"/>
  <c r="J424" i="31" s="1"/>
  <c r="H426" i="31"/>
  <c r="J426" i="31" s="1"/>
  <c r="H429" i="31"/>
  <c r="J429" i="31" s="1"/>
  <c r="H433" i="31"/>
  <c r="J433" i="31" s="1"/>
  <c r="H435" i="31"/>
  <c r="J435" i="31" s="1"/>
  <c r="H438" i="31"/>
  <c r="J438" i="31" s="1"/>
  <c r="H442" i="31"/>
  <c r="J442" i="31" s="1"/>
  <c r="H445" i="31"/>
  <c r="J445" i="31" s="1"/>
  <c r="H447" i="31"/>
  <c r="J447" i="31" s="1"/>
  <c r="H409" i="31"/>
  <c r="J409" i="31" s="1"/>
  <c r="B412" i="31"/>
  <c r="B414" i="31"/>
  <c r="B416" i="31"/>
  <c r="B420" i="31"/>
  <c r="B424" i="31"/>
  <c r="B426" i="31"/>
  <c r="B429" i="31"/>
  <c r="B433" i="31"/>
  <c r="B435" i="31"/>
  <c r="B438" i="31"/>
  <c r="B445" i="31"/>
  <c r="B447" i="31"/>
  <c r="B409" i="31"/>
  <c r="H341" i="31"/>
  <c r="J341" i="31" s="1"/>
  <c r="H344" i="31"/>
  <c r="J344" i="31" s="1"/>
  <c r="H347" i="31"/>
  <c r="J347" i="31" s="1"/>
  <c r="H349" i="31"/>
  <c r="J349" i="31" s="1"/>
  <c r="H356" i="31"/>
  <c r="J356" i="31" s="1"/>
  <c r="H357" i="31"/>
  <c r="J357" i="31" s="1"/>
  <c r="H359" i="31"/>
  <c r="J359" i="31" s="1"/>
  <c r="H360" i="31"/>
  <c r="J360" i="31" s="1"/>
  <c r="H363" i="31"/>
  <c r="J363" i="31" s="1"/>
  <c r="H365" i="31"/>
  <c r="J365" i="31" s="1"/>
  <c r="H368" i="31"/>
  <c r="J368" i="31" s="1"/>
  <c r="J372" i="31"/>
  <c r="J373" i="31"/>
  <c r="H374" i="31"/>
  <c r="J374" i="31" s="1"/>
  <c r="H376" i="31"/>
  <c r="J376" i="31" s="1"/>
  <c r="H378" i="31"/>
  <c r="J378" i="31" s="1"/>
  <c r="H382" i="31"/>
  <c r="J382" i="31" s="1"/>
  <c r="H385" i="31"/>
  <c r="J385" i="31" s="1"/>
  <c r="H388" i="31"/>
  <c r="J388" i="31" s="1"/>
  <c r="H390" i="31"/>
  <c r="J390" i="31" s="1"/>
  <c r="H395" i="31"/>
  <c r="J395" i="31" s="1"/>
  <c r="H397" i="31"/>
  <c r="J397" i="31" s="1"/>
  <c r="H337" i="31"/>
  <c r="H338" i="31" s="1"/>
  <c r="B395" i="31"/>
  <c r="B397" i="31"/>
  <c r="B399" i="31"/>
  <c r="B376" i="31"/>
  <c r="B378" i="31"/>
  <c r="B382" i="31"/>
  <c r="B385" i="31"/>
  <c r="B388" i="31"/>
  <c r="B341" i="31"/>
  <c r="B343" i="31"/>
  <c r="B347" i="31"/>
  <c r="B349" i="31"/>
  <c r="B356" i="31"/>
  <c r="B357" i="31"/>
  <c r="B359" i="31"/>
  <c r="B360" i="31"/>
  <c r="B363" i="31"/>
  <c r="B368" i="31"/>
  <c r="B372" i="31"/>
  <c r="B374" i="31"/>
  <c r="B337" i="31"/>
  <c r="F19" i="34"/>
  <c r="J19" i="34" s="1"/>
  <c r="F24" i="34"/>
  <c r="J24" i="34" s="1"/>
  <c r="K318" i="31"/>
  <c r="K330" i="31"/>
  <c r="K329" i="31"/>
  <c r="K328" i="31"/>
  <c r="C327" i="31"/>
  <c r="K327" i="31" s="1"/>
  <c r="K326" i="31"/>
  <c r="K325" i="31"/>
  <c r="K324" i="31"/>
  <c r="K323" i="31"/>
  <c r="C322" i="31"/>
  <c r="K322" i="31" s="1"/>
  <c r="K321" i="31"/>
  <c r="K320" i="31"/>
  <c r="K319" i="31"/>
  <c r="C317" i="31"/>
  <c r="K317" i="31" s="1"/>
  <c r="C316" i="31"/>
  <c r="K316" i="31" s="1"/>
  <c r="K315" i="31"/>
  <c r="K314" i="31"/>
  <c r="K313" i="31"/>
  <c r="C312" i="31"/>
  <c r="K312" i="31" s="1"/>
  <c r="K311" i="31"/>
  <c r="K310" i="31"/>
  <c r="K309" i="31"/>
  <c r="K308" i="31"/>
  <c r="K307" i="31"/>
  <c r="K306" i="31"/>
  <c r="K305" i="31"/>
  <c r="K304" i="31"/>
  <c r="B272" i="31"/>
  <c r="C272" i="31"/>
  <c r="I272" i="31" s="1"/>
  <c r="B273" i="31"/>
  <c r="C273" i="31"/>
  <c r="I273" i="31" s="1"/>
  <c r="B274" i="31"/>
  <c r="C274" i="31"/>
  <c r="I274" i="31" s="1"/>
  <c r="B275" i="31"/>
  <c r="C275" i="31"/>
  <c r="I275" i="31" s="1"/>
  <c r="B276" i="31"/>
  <c r="C276" i="31"/>
  <c r="I276" i="31" s="1"/>
  <c r="B277" i="31"/>
  <c r="C277" i="31"/>
  <c r="I277" i="31" s="1"/>
  <c r="B278" i="31"/>
  <c r="C278" i="31"/>
  <c r="I278" i="31" s="1"/>
  <c r="B279" i="31"/>
  <c r="B280" i="31"/>
  <c r="C280" i="31"/>
  <c r="I280" i="31" s="1"/>
  <c r="B281" i="31"/>
  <c r="C281" i="31"/>
  <c r="I281" i="31" s="1"/>
  <c r="B282" i="31"/>
  <c r="C282" i="31"/>
  <c r="I282" i="31" s="1"/>
  <c r="B283" i="31"/>
  <c r="B284" i="31"/>
  <c r="B285" i="31"/>
  <c r="C285" i="31"/>
  <c r="I285" i="31" s="1"/>
  <c r="B286" i="31"/>
  <c r="C286" i="31"/>
  <c r="I286" i="31" s="1"/>
  <c r="B287" i="31"/>
  <c r="C287" i="31"/>
  <c r="I287" i="31" s="1"/>
  <c r="B288" i="31"/>
  <c r="C288" i="31"/>
  <c r="I288" i="31" s="1"/>
  <c r="B289" i="31"/>
  <c r="B290" i="31"/>
  <c r="C290" i="31"/>
  <c r="I290" i="31" s="1"/>
  <c r="B291" i="31"/>
  <c r="C291" i="31"/>
  <c r="I291" i="31" s="1"/>
  <c r="B292" i="31"/>
  <c r="C292" i="31"/>
  <c r="I292" i="31" s="1"/>
  <c r="B293" i="31"/>
  <c r="C293" i="31"/>
  <c r="I293" i="31" s="1"/>
  <c r="B294" i="31"/>
  <c r="B295" i="31"/>
  <c r="C295" i="31"/>
  <c r="I295" i="31" s="1"/>
  <c r="B296" i="31"/>
  <c r="C296" i="31"/>
  <c r="I296" i="31" s="1"/>
  <c r="B297" i="31"/>
  <c r="C297" i="31"/>
  <c r="I297" i="31" s="1"/>
  <c r="C271" i="31"/>
  <c r="I271" i="31" s="1"/>
  <c r="B271" i="31"/>
  <c r="C261" i="31"/>
  <c r="K261" i="31" s="1"/>
  <c r="C256" i="31"/>
  <c r="K256" i="31" s="1"/>
  <c r="C251" i="31"/>
  <c r="K251" i="31" s="1"/>
  <c r="C250" i="31"/>
  <c r="K250" i="31" s="1"/>
  <c r="C246" i="31"/>
  <c r="K246" i="31" s="1"/>
  <c r="K239" i="31"/>
  <c r="K240" i="31"/>
  <c r="K241" i="31"/>
  <c r="K242" i="31"/>
  <c r="K243" i="31"/>
  <c r="K244" i="31"/>
  <c r="K245" i="31"/>
  <c r="K247" i="31"/>
  <c r="K248" i="31"/>
  <c r="K249" i="31"/>
  <c r="K252" i="31"/>
  <c r="K253" i="31"/>
  <c r="K254" i="31"/>
  <c r="K255" i="31"/>
  <c r="K257" i="31"/>
  <c r="K258" i="31"/>
  <c r="K259" i="31"/>
  <c r="K260" i="31"/>
  <c r="K262" i="31"/>
  <c r="K263" i="31"/>
  <c r="K264" i="31"/>
  <c r="K238" i="31"/>
  <c r="B535" i="31"/>
  <c r="A535" i="31"/>
  <c r="B530" i="31"/>
  <c r="A530" i="31"/>
  <c r="B492" i="31"/>
  <c r="A492" i="31"/>
  <c r="B479" i="31"/>
  <c r="A479" i="31"/>
  <c r="B471" i="31"/>
  <c r="A471" i="31"/>
  <c r="B457" i="31"/>
  <c r="A457" i="31"/>
  <c r="B406" i="31"/>
  <c r="A406" i="31"/>
  <c r="B334" i="31"/>
  <c r="A334" i="31"/>
  <c r="B301" i="31"/>
  <c r="A301" i="31"/>
  <c r="B268" i="31"/>
  <c r="A268" i="31"/>
  <c r="B234" i="31"/>
  <c r="A234" i="31"/>
  <c r="B233" i="31"/>
  <c r="A233" i="31"/>
  <c r="J221" i="31"/>
  <c r="J219" i="31"/>
  <c r="J217" i="31"/>
  <c r="J218" i="31"/>
  <c r="J211" i="31"/>
  <c r="J210" i="31"/>
  <c r="J208" i="31"/>
  <c r="J222" i="31"/>
  <c r="J220" i="31"/>
  <c r="J216" i="31"/>
  <c r="J215" i="31"/>
  <c r="J214" i="31"/>
  <c r="J213" i="31"/>
  <c r="J209" i="31"/>
  <c r="J212" i="31"/>
  <c r="J207" i="31"/>
  <c r="J206" i="31"/>
  <c r="H186" i="31"/>
  <c r="J186" i="31" s="1"/>
  <c r="H187" i="31"/>
  <c r="J187" i="31" s="1"/>
  <c r="H185" i="31"/>
  <c r="J185" i="31" s="1"/>
  <c r="J183" i="31"/>
  <c r="J182" i="31"/>
  <c r="J181" i="31"/>
  <c r="J179" i="31"/>
  <c r="J180" i="31"/>
  <c r="J178" i="31"/>
  <c r="H184" i="31"/>
  <c r="J184" i="31" s="1"/>
  <c r="H188" i="31"/>
  <c r="J188" i="31" s="1"/>
  <c r="H189" i="31"/>
  <c r="J189" i="31" s="1"/>
  <c r="B194" i="31"/>
  <c r="A194" i="31"/>
  <c r="B174" i="31"/>
  <c r="A174" i="31"/>
  <c r="J198" i="31"/>
  <c r="J197" i="31"/>
  <c r="J177" i="31"/>
  <c r="J162" i="31"/>
  <c r="J163" i="31"/>
  <c r="J161" i="31"/>
  <c r="G139" i="31"/>
  <c r="G140" i="31"/>
  <c r="G141" i="31"/>
  <c r="G142" i="31"/>
  <c r="G143" i="31"/>
  <c r="G144" i="31"/>
  <c r="G145" i="31"/>
  <c r="G146" i="31"/>
  <c r="G147" i="31"/>
  <c r="G138" i="31"/>
  <c r="I139" i="31"/>
  <c r="J160" i="31" s="1"/>
  <c r="I140" i="31"/>
  <c r="J164" i="31" s="1"/>
  <c r="I141" i="31"/>
  <c r="I142" i="31"/>
  <c r="J165" i="31" s="1"/>
  <c r="I143" i="31"/>
  <c r="H166" i="31" s="1"/>
  <c r="J166" i="31" s="1"/>
  <c r="I144" i="31"/>
  <c r="H167" i="31" s="1"/>
  <c r="J167" i="31" s="1"/>
  <c r="I145" i="31"/>
  <c r="J168" i="31" s="1"/>
  <c r="I146" i="31"/>
  <c r="H169" i="31" s="1"/>
  <c r="J169" i="31" s="1"/>
  <c r="I147" i="31"/>
  <c r="I138" i="31"/>
  <c r="H159" i="31" s="1"/>
  <c r="J159" i="31" s="1"/>
  <c r="J74" i="31"/>
  <c r="J73" i="31"/>
  <c r="J75" i="31"/>
  <c r="J57" i="31"/>
  <c r="J58" i="31"/>
  <c r="J59" i="31"/>
  <c r="J60" i="31"/>
  <c r="J61" i="31"/>
  <c r="J62" i="31"/>
  <c r="J63" i="31"/>
  <c r="J64" i="31"/>
  <c r="J65" i="31"/>
  <c r="J56" i="31"/>
  <c r="B70" i="31"/>
  <c r="A70" i="31"/>
  <c r="B53" i="31"/>
  <c r="A53" i="31"/>
  <c r="C567" i="32" l="1"/>
  <c r="F91" i="3" s="1"/>
  <c r="F90" i="3"/>
  <c r="F77" i="3"/>
  <c r="C190" i="32"/>
  <c r="F71" i="3" s="1"/>
  <c r="J251" i="32"/>
  <c r="J240" i="32"/>
  <c r="J239" i="32"/>
  <c r="J331" i="32"/>
  <c r="J237" i="32"/>
  <c r="J246" i="32"/>
  <c r="J247" i="32"/>
  <c r="J234" i="32"/>
  <c r="J338" i="32"/>
  <c r="J337" i="32"/>
  <c r="J334" i="32"/>
  <c r="J333" i="32"/>
  <c r="J283" i="32"/>
  <c r="J282" i="32"/>
  <c r="J242" i="32"/>
  <c r="J241" i="32"/>
  <c r="C155" i="32"/>
  <c r="F69" i="3" s="1"/>
  <c r="C42" i="32"/>
  <c r="F63" i="3" s="1"/>
  <c r="C567" i="31"/>
  <c r="G578" i="31" s="1"/>
  <c r="C523" i="31"/>
  <c r="H464" i="31"/>
  <c r="H462" i="31"/>
  <c r="J462" i="31" s="1"/>
  <c r="H446" i="31"/>
  <c r="J446" i="31" s="1"/>
  <c r="H443" i="31"/>
  <c r="H392" i="31"/>
  <c r="J392" i="31" s="1"/>
  <c r="H439" i="31"/>
  <c r="J439" i="31" s="1"/>
  <c r="H448" i="31"/>
  <c r="H391" i="31"/>
  <c r="J391" i="31" s="1"/>
  <c r="H425" i="31"/>
  <c r="J425" i="31" s="1"/>
  <c r="H436" i="31"/>
  <c r="H430" i="31"/>
  <c r="J430" i="31" s="1"/>
  <c r="H421" i="31"/>
  <c r="J421" i="31" s="1"/>
  <c r="H434" i="31"/>
  <c r="J434" i="31" s="1"/>
  <c r="H417" i="31"/>
  <c r="H427" i="31"/>
  <c r="H415" i="31"/>
  <c r="J415" i="31" s="1"/>
  <c r="H413" i="31"/>
  <c r="J413" i="31" s="1"/>
  <c r="J401" i="31"/>
  <c r="H410" i="31"/>
  <c r="H399" i="31"/>
  <c r="J399" i="31" s="1"/>
  <c r="H396" i="31"/>
  <c r="J396" i="31" s="1"/>
  <c r="H389" i="31"/>
  <c r="J389" i="31" s="1"/>
  <c r="H398" i="31"/>
  <c r="J398" i="31" s="1"/>
  <c r="J337" i="31"/>
  <c r="H364" i="31"/>
  <c r="J364" i="31" s="1"/>
  <c r="H386" i="31"/>
  <c r="H355" i="31"/>
  <c r="J355" i="31" s="1"/>
  <c r="H377" i="31"/>
  <c r="J377" i="31" s="1"/>
  <c r="H361" i="31"/>
  <c r="J361" i="31" s="1"/>
  <c r="H383" i="31"/>
  <c r="H362" i="31"/>
  <c r="J362" i="31" s="1"/>
  <c r="H379" i="31"/>
  <c r="H350" i="31"/>
  <c r="H358" i="31"/>
  <c r="J358" i="31" s="1"/>
  <c r="H366" i="31"/>
  <c r="H375" i="31"/>
  <c r="J375" i="31" s="1"/>
  <c r="H343" i="31"/>
  <c r="J343" i="31" s="1"/>
  <c r="H345" i="31"/>
  <c r="H348" i="31"/>
  <c r="J348" i="31" s="1"/>
  <c r="H342" i="31"/>
  <c r="J342" i="31" s="1"/>
  <c r="H339" i="31"/>
  <c r="J338" i="31"/>
  <c r="C490" i="31"/>
  <c r="G490" i="31" s="1"/>
  <c r="F55" i="3" s="1"/>
  <c r="C477" i="31"/>
  <c r="G477" i="31" s="1"/>
  <c r="F54" i="3" s="1"/>
  <c r="C284" i="31"/>
  <c r="I284" i="31" s="1"/>
  <c r="C266" i="31"/>
  <c r="C332" i="31"/>
  <c r="C294" i="31"/>
  <c r="I294" i="31" s="1"/>
  <c r="C289" i="31"/>
  <c r="I289" i="31" s="1"/>
  <c r="C283" i="31"/>
  <c r="I283" i="31" s="1"/>
  <c r="C279" i="31"/>
  <c r="I279" i="31" s="1"/>
  <c r="C172" i="31"/>
  <c r="G172" i="31" s="1"/>
  <c r="F42" i="3" s="1"/>
  <c r="C192" i="31"/>
  <c r="G192" i="31" s="1"/>
  <c r="F43" i="3" s="1"/>
  <c r="C201" i="31"/>
  <c r="G201" i="31" s="1"/>
  <c r="F44" i="3" s="1"/>
  <c r="C225" i="31"/>
  <c r="G225" i="31" s="1"/>
  <c r="F45" i="3" s="1"/>
  <c r="C78" i="31"/>
  <c r="G78" i="31" s="1"/>
  <c r="F34" i="3" s="1"/>
  <c r="C68" i="31"/>
  <c r="G68" i="31" s="1"/>
  <c r="F33" i="3" s="1"/>
  <c r="K139" i="31"/>
  <c r="K140" i="31"/>
  <c r="K141" i="31"/>
  <c r="K142" i="31"/>
  <c r="K143" i="31"/>
  <c r="K144" i="31"/>
  <c r="K145" i="31"/>
  <c r="K146" i="31"/>
  <c r="K147" i="31"/>
  <c r="K138" i="31"/>
  <c r="E130" i="31"/>
  <c r="C130" i="31"/>
  <c r="E131" i="31"/>
  <c r="C131" i="31"/>
  <c r="E129" i="31"/>
  <c r="C129" i="31"/>
  <c r="C128" i="31"/>
  <c r="E128" i="31"/>
  <c r="E127" i="31"/>
  <c r="C127" i="31"/>
  <c r="E126" i="31"/>
  <c r="C126" i="31"/>
  <c r="E125" i="31"/>
  <c r="C125" i="31"/>
  <c r="E124" i="31"/>
  <c r="C124" i="31"/>
  <c r="E123" i="31"/>
  <c r="C123" i="31"/>
  <c r="E122" i="31"/>
  <c r="C122" i="31"/>
  <c r="K18" i="31"/>
  <c r="K19" i="31"/>
  <c r="K20" i="31"/>
  <c r="K21" i="31"/>
  <c r="K22" i="31"/>
  <c r="K23" i="31"/>
  <c r="K17" i="31"/>
  <c r="I31" i="31"/>
  <c r="I32" i="31"/>
  <c r="I33" i="31"/>
  <c r="I34" i="31"/>
  <c r="I35" i="31"/>
  <c r="I36" i="31"/>
  <c r="I30" i="31"/>
  <c r="K84" i="31"/>
  <c r="K83" i="31"/>
  <c r="B227" i="31"/>
  <c r="A227" i="31"/>
  <c r="E114" i="31"/>
  <c r="C114" i="31"/>
  <c r="E112" i="31"/>
  <c r="C112" i="31"/>
  <c r="C111" i="31"/>
  <c r="E110" i="31"/>
  <c r="C110" i="31"/>
  <c r="E108" i="31"/>
  <c r="E109" i="31"/>
  <c r="C108" i="31"/>
  <c r="E105" i="31"/>
  <c r="E106" i="31"/>
  <c r="C106" i="31"/>
  <c r="C104" i="31"/>
  <c r="E104" i="31"/>
  <c r="C103" i="31"/>
  <c r="E102" i="31"/>
  <c r="C102" i="31"/>
  <c r="E113" i="31"/>
  <c r="C113" i="31"/>
  <c r="E111" i="31"/>
  <c r="C109" i="31"/>
  <c r="E107" i="31"/>
  <c r="C107" i="31"/>
  <c r="C105" i="31"/>
  <c r="E103" i="31"/>
  <c r="E101" i="31"/>
  <c r="C101" i="31"/>
  <c r="K89" i="31"/>
  <c r="K88" i="31"/>
  <c r="K87" i="31"/>
  <c r="K86" i="31"/>
  <c r="K85" i="31"/>
  <c r="E49" i="31"/>
  <c r="E48" i="31"/>
  <c r="E47" i="31"/>
  <c r="E46" i="31"/>
  <c r="E45" i="31"/>
  <c r="E44" i="31"/>
  <c r="E43" i="31"/>
  <c r="C49" i="31"/>
  <c r="C48" i="31"/>
  <c r="C47" i="31"/>
  <c r="C46" i="31"/>
  <c r="C45" i="31"/>
  <c r="C44" i="31"/>
  <c r="C43" i="31"/>
  <c r="B98" i="31"/>
  <c r="A98" i="31"/>
  <c r="B14" i="31"/>
  <c r="A14" i="31"/>
  <c r="G314" i="9"/>
  <c r="C316" i="9" s="1"/>
  <c r="C55" i="15"/>
  <c r="F99" i="3" s="1"/>
  <c r="G38" i="15"/>
  <c r="G39" i="15"/>
  <c r="G40" i="15"/>
  <c r="G41" i="15"/>
  <c r="A161" i="11"/>
  <c r="D106" i="3"/>
  <c r="B161" i="11" s="1"/>
  <c r="B106" i="3"/>
  <c r="K40" i="16"/>
  <c r="M40" i="16" s="1"/>
  <c r="M44" i="16" s="1"/>
  <c r="F56" i="3" l="1"/>
  <c r="C528" i="31"/>
  <c r="F57" i="3" s="1"/>
  <c r="C43" i="15"/>
  <c r="C48" i="15" s="1"/>
  <c r="C344" i="32"/>
  <c r="C319" i="32"/>
  <c r="G319" i="32" s="1"/>
  <c r="F73" i="3" s="1"/>
  <c r="F50" i="3"/>
  <c r="C533" i="31"/>
  <c r="F58" i="3" s="1"/>
  <c r="F48" i="3"/>
  <c r="E570" i="31"/>
  <c r="H465" i="31"/>
  <c r="J465" i="31" s="1"/>
  <c r="J464" i="31"/>
  <c r="H440" i="31"/>
  <c r="H441" i="31" s="1"/>
  <c r="J441" i="31" s="1"/>
  <c r="J443" i="31"/>
  <c r="H444" i="31"/>
  <c r="J444" i="31" s="1"/>
  <c r="H449" i="31"/>
  <c r="J448" i="31"/>
  <c r="H431" i="31"/>
  <c r="J431" i="31" s="1"/>
  <c r="H437" i="31"/>
  <c r="J437" i="31" s="1"/>
  <c r="J436" i="31"/>
  <c r="H422" i="31"/>
  <c r="J422" i="31" s="1"/>
  <c r="J427" i="31"/>
  <c r="H428" i="31"/>
  <c r="J428" i="31" s="1"/>
  <c r="J417" i="31"/>
  <c r="H418" i="31"/>
  <c r="J410" i="31"/>
  <c r="H411" i="31"/>
  <c r="J411" i="31" s="1"/>
  <c r="H393" i="31"/>
  <c r="J393" i="31" s="1"/>
  <c r="J386" i="31"/>
  <c r="H387" i="31"/>
  <c r="J387" i="31" s="1"/>
  <c r="J366" i="31"/>
  <c r="H367" i="31"/>
  <c r="J367" i="31" s="1"/>
  <c r="H384" i="31"/>
  <c r="J384" i="31" s="1"/>
  <c r="J383" i="31"/>
  <c r="H351" i="31"/>
  <c r="J350" i="31"/>
  <c r="H380" i="31"/>
  <c r="J379" i="31"/>
  <c r="H346" i="31"/>
  <c r="J346" i="31" s="1"/>
  <c r="J345" i="31"/>
  <c r="J339" i="31"/>
  <c r="H340" i="31"/>
  <c r="J340" i="31" s="1"/>
  <c r="C299" i="31"/>
  <c r="C149" i="31"/>
  <c r="C154" i="31" s="1"/>
  <c r="F41" i="3" s="1"/>
  <c r="K123" i="31"/>
  <c r="K125" i="31"/>
  <c r="K127" i="31"/>
  <c r="K129" i="31"/>
  <c r="K130" i="31"/>
  <c r="K106" i="31"/>
  <c r="K122" i="31"/>
  <c r="K124" i="31"/>
  <c r="K128" i="31"/>
  <c r="K131" i="31"/>
  <c r="K47" i="31"/>
  <c r="K112" i="31"/>
  <c r="K109" i="31"/>
  <c r="K108" i="31"/>
  <c r="K114" i="31"/>
  <c r="K44" i="31"/>
  <c r="K48" i="31"/>
  <c r="K104" i="31"/>
  <c r="K105" i="31"/>
  <c r="K43" i="31"/>
  <c r="K101" i="31"/>
  <c r="K107" i="31"/>
  <c r="K113" i="31"/>
  <c r="K103" i="31"/>
  <c r="K45" i="31"/>
  <c r="K49" i="31"/>
  <c r="K102" i="31"/>
  <c r="K111" i="31"/>
  <c r="K46" i="31"/>
  <c r="K110" i="31"/>
  <c r="K126" i="31"/>
  <c r="C91" i="31"/>
  <c r="C38" i="31"/>
  <c r="C25" i="31"/>
  <c r="C578" i="31" l="1"/>
  <c r="C96" i="31"/>
  <c r="F36" i="3" s="1"/>
  <c r="F35" i="3"/>
  <c r="F40" i="3"/>
  <c r="E578" i="31"/>
  <c r="F30" i="3"/>
  <c r="C570" i="31"/>
  <c r="G570" i="31" s="1"/>
  <c r="B581" i="31" s="1"/>
  <c r="F31" i="3"/>
  <c r="C574" i="31"/>
  <c r="F49" i="3"/>
  <c r="E574" i="31"/>
  <c r="C469" i="31"/>
  <c r="G469" i="31" s="1"/>
  <c r="F53" i="3" s="1"/>
  <c r="J440" i="31"/>
  <c r="H450" i="31"/>
  <c r="J449" i="31"/>
  <c r="H432" i="31"/>
  <c r="J432" i="31" s="1"/>
  <c r="H423" i="31"/>
  <c r="J423" i="31" s="1"/>
  <c r="H419" i="31"/>
  <c r="J419" i="31" s="1"/>
  <c r="J418" i="31"/>
  <c r="H394" i="31"/>
  <c r="J394" i="31" s="1"/>
  <c r="J380" i="31"/>
  <c r="H381" i="31"/>
  <c r="J381" i="31" s="1"/>
  <c r="J351" i="31"/>
  <c r="H352" i="31"/>
  <c r="C133" i="31"/>
  <c r="C116" i="31"/>
  <c r="F37" i="3" s="1"/>
  <c r="C51" i="31"/>
  <c r="F32" i="3" s="1"/>
  <c r="F98" i="3"/>
  <c r="F97" i="3"/>
  <c r="G344" i="32" l="1"/>
  <c r="F74" i="3" s="1"/>
  <c r="G574" i="31"/>
  <c r="D581" i="31" s="1"/>
  <c r="I578" i="31"/>
  <c r="F581" i="31" s="1"/>
  <c r="H581" i="31" s="1"/>
  <c r="F59" i="3" s="1"/>
  <c r="J450" i="31"/>
  <c r="H451" i="31"/>
  <c r="H353" i="31"/>
  <c r="J353" i="31" s="1"/>
  <c r="J352" i="31"/>
  <c r="F39" i="3"/>
  <c r="C230" i="31"/>
  <c r="F46" i="3" s="1"/>
  <c r="A35" i="16"/>
  <c r="B239" i="37"/>
  <c r="C239" i="37"/>
  <c r="G239" i="37" s="1"/>
  <c r="B240" i="37"/>
  <c r="C240" i="37"/>
  <c r="G240" i="37" s="1"/>
  <c r="B241" i="37"/>
  <c r="C241" i="37"/>
  <c r="G241" i="37" s="1"/>
  <c r="B242" i="37"/>
  <c r="C242" i="37"/>
  <c r="G242" i="37" s="1"/>
  <c r="B243" i="37"/>
  <c r="C243" i="37"/>
  <c r="G243" i="37" s="1"/>
  <c r="B244" i="37"/>
  <c r="C244" i="37"/>
  <c r="G244" i="37" s="1"/>
  <c r="C238" i="37"/>
  <c r="G238" i="37" s="1"/>
  <c r="B238" i="37"/>
  <c r="C233" i="37"/>
  <c r="F424" i="3" s="1"/>
  <c r="C206" i="37"/>
  <c r="F421" i="3" s="1"/>
  <c r="C134" i="37"/>
  <c r="F412" i="3" s="1"/>
  <c r="G103" i="37"/>
  <c r="G101" i="37"/>
  <c r="G99" i="37"/>
  <c r="G97" i="37"/>
  <c r="G95" i="37"/>
  <c r="G104" i="37"/>
  <c r="G102" i="37"/>
  <c r="G100" i="37"/>
  <c r="G98" i="37"/>
  <c r="G96" i="37"/>
  <c r="G94" i="37"/>
  <c r="B77" i="37"/>
  <c r="A77" i="37"/>
  <c r="F409" i="3"/>
  <c r="C220" i="37"/>
  <c r="F423" i="3" s="1"/>
  <c r="C213" i="37"/>
  <c r="F422" i="3" s="1"/>
  <c r="C199" i="37"/>
  <c r="F420" i="3" s="1"/>
  <c r="C184" i="37"/>
  <c r="F418" i="3" s="1"/>
  <c r="C177" i="37"/>
  <c r="F417" i="3" s="1"/>
  <c r="C170" i="37"/>
  <c r="F416" i="3" s="1"/>
  <c r="C146" i="37"/>
  <c r="F411" i="3"/>
  <c r="C70" i="37"/>
  <c r="F407" i="3" s="1"/>
  <c r="C51" i="37"/>
  <c r="F404" i="3"/>
  <c r="A235" i="37"/>
  <c r="A222" i="37"/>
  <c r="B215" i="37"/>
  <c r="A215" i="37"/>
  <c r="A208" i="37"/>
  <c r="A201" i="37"/>
  <c r="A194" i="37"/>
  <c r="B179" i="37"/>
  <c r="A179" i="37"/>
  <c r="B136" i="37"/>
  <c r="A136" i="37"/>
  <c r="B141" i="37"/>
  <c r="A141" i="37"/>
  <c r="B148" i="37"/>
  <c r="A148" i="37"/>
  <c r="B108" i="37"/>
  <c r="A108" i="37"/>
  <c r="B26" i="37"/>
  <c r="A26" i="37"/>
  <c r="D425" i="3"/>
  <c r="B235" i="37" s="1"/>
  <c r="B425" i="3"/>
  <c r="A560" i="16"/>
  <c r="C563" i="16"/>
  <c r="A563" i="16"/>
  <c r="E26" i="38"/>
  <c r="L563" i="16" s="1"/>
  <c r="M563" i="16" s="1"/>
  <c r="M566" i="16" s="1"/>
  <c r="D424" i="3"/>
  <c r="B222" i="37" s="1"/>
  <c r="B424" i="3"/>
  <c r="A537" i="16"/>
  <c r="C541" i="16"/>
  <c r="A541" i="16"/>
  <c r="I9" i="38"/>
  <c r="B9" i="38"/>
  <c r="I8" i="38"/>
  <c r="B7" i="38"/>
  <c r="B6" i="38"/>
  <c r="I5" i="38"/>
  <c r="B5" i="38"/>
  <c r="E19" i="38"/>
  <c r="L541" i="16" s="1"/>
  <c r="M541" i="16" s="1"/>
  <c r="M545" i="16" s="1"/>
  <c r="C246" i="37" l="1"/>
  <c r="F414" i="3"/>
  <c r="C151" i="37"/>
  <c r="F415" i="3" s="1"/>
  <c r="C75" i="37"/>
  <c r="F408" i="3" s="1"/>
  <c r="J451" i="31"/>
  <c r="H452" i="31"/>
  <c r="J452" i="31" s="1"/>
  <c r="C404" i="31"/>
  <c r="G404" i="31" s="1"/>
  <c r="F51" i="3" s="1"/>
  <c r="G425" i="3"/>
  <c r="F425" i="3"/>
  <c r="F413" i="3"/>
  <c r="F405" i="3"/>
  <c r="F406" i="3"/>
  <c r="C106" i="37"/>
  <c r="F410" i="3" s="1"/>
  <c r="D422" i="3"/>
  <c r="B208" i="37" s="1"/>
  <c r="B422" i="3"/>
  <c r="A504" i="16"/>
  <c r="K512" i="16"/>
  <c r="M512" i="16" s="1"/>
  <c r="K514" i="16"/>
  <c r="M514" i="16" s="1"/>
  <c r="K495" i="16"/>
  <c r="M495" i="16" s="1"/>
  <c r="K494" i="16"/>
  <c r="M494" i="16" s="1"/>
  <c r="K513" i="16"/>
  <c r="M513" i="16" s="1"/>
  <c r="K511" i="16"/>
  <c r="M511" i="16" s="1"/>
  <c r="D421" i="3"/>
  <c r="B201" i="37" s="1"/>
  <c r="B421" i="3"/>
  <c r="A477" i="16"/>
  <c r="K481" i="16"/>
  <c r="M481" i="16" s="1"/>
  <c r="H470" i="16"/>
  <c r="A461" i="16"/>
  <c r="F465" i="16"/>
  <c r="C455" i="31" l="1"/>
  <c r="G455" i="31" s="1"/>
  <c r="F52" i="3" s="1"/>
  <c r="K516" i="16"/>
  <c r="M516" i="16" s="1"/>
  <c r="G106" i="3"/>
  <c r="G453" i="3"/>
  <c r="K515" i="16"/>
  <c r="M515" i="16" s="1"/>
  <c r="M520" i="16" s="1"/>
  <c r="K482" i="16"/>
  <c r="M482" i="16" s="1"/>
  <c r="H471" i="16"/>
  <c r="H473" i="16"/>
  <c r="F466" i="16"/>
  <c r="K480" i="16" s="1"/>
  <c r="M480" i="16" s="1"/>
  <c r="H472" i="16"/>
  <c r="G422" i="3" l="1"/>
  <c r="H474" i="16"/>
  <c r="K483" i="16" s="1"/>
  <c r="M483" i="16" s="1"/>
  <c r="K484" i="16" l="1"/>
  <c r="M484" i="16" s="1"/>
  <c r="K492" i="16"/>
  <c r="M492" i="16" s="1"/>
  <c r="K452" i="16"/>
  <c r="M452" i="16" s="1"/>
  <c r="K493" i="16"/>
  <c r="M493" i="16" s="1"/>
  <c r="D420" i="3"/>
  <c r="B194" i="37" s="1"/>
  <c r="B420" i="3"/>
  <c r="A441" i="16"/>
  <c r="K450" i="16"/>
  <c r="M450" i="16" s="1"/>
  <c r="K451" i="16"/>
  <c r="M451" i="16" s="1"/>
  <c r="K453" i="16"/>
  <c r="M453" i="16" s="1"/>
  <c r="K497" i="16" l="1"/>
  <c r="M497" i="16" s="1"/>
  <c r="K455" i="16"/>
  <c r="M455" i="16" s="1"/>
  <c r="K485" i="16"/>
  <c r="M485" i="16" s="1"/>
  <c r="K496" i="16"/>
  <c r="M496" i="16" s="1"/>
  <c r="K454" i="16"/>
  <c r="M454" i="16" s="1"/>
  <c r="M501" i="16" l="1"/>
  <c r="M459" i="16"/>
  <c r="G420" i="3" s="1"/>
  <c r="G421" i="3"/>
  <c r="K90" i="16"/>
  <c r="M90" i="16" s="1"/>
  <c r="D417" i="3"/>
  <c r="B417" i="3"/>
  <c r="A430" i="16"/>
  <c r="G35" i="13"/>
  <c r="G34" i="13"/>
  <c r="B30" i="13"/>
  <c r="A30" i="13"/>
  <c r="G33" i="13"/>
  <c r="C26" i="13"/>
  <c r="G26" i="13" s="1"/>
  <c r="C25" i="13"/>
  <c r="G25" i="13" s="1"/>
  <c r="C28" i="13" s="1"/>
  <c r="B21" i="13"/>
  <c r="A21" i="13"/>
  <c r="B20" i="13"/>
  <c r="A20" i="13"/>
  <c r="G6" i="9"/>
  <c r="F160" i="3"/>
  <c r="G360" i="9"/>
  <c r="G359" i="9"/>
  <c r="G358" i="9"/>
  <c r="G357" i="9"/>
  <c r="B344" i="9"/>
  <c r="A344" i="9"/>
  <c r="B343" i="9"/>
  <c r="A343" i="9"/>
  <c r="C324" i="9"/>
  <c r="F156" i="3" s="1"/>
  <c r="G330" i="9"/>
  <c r="G331" i="9"/>
  <c r="G329" i="9"/>
  <c r="C341" i="9"/>
  <c r="F158" i="3" s="1"/>
  <c r="B335" i="9"/>
  <c r="A335" i="9"/>
  <c r="B326" i="9"/>
  <c r="A326" i="9"/>
  <c r="B318" i="9"/>
  <c r="A318" i="9"/>
  <c r="B311" i="9"/>
  <c r="A311" i="9"/>
  <c r="B310" i="9"/>
  <c r="A310" i="9"/>
  <c r="G306" i="9"/>
  <c r="G305" i="9"/>
  <c r="G304" i="9"/>
  <c r="I297" i="9"/>
  <c r="I296" i="9"/>
  <c r="I295" i="9"/>
  <c r="I288" i="9"/>
  <c r="I287" i="9"/>
  <c r="I286" i="9"/>
  <c r="B244" i="9"/>
  <c r="C244" i="9"/>
  <c r="D244" i="9"/>
  <c r="E244" i="9"/>
  <c r="C245" i="9"/>
  <c r="D245" i="9"/>
  <c r="E245" i="9"/>
  <c r="C246" i="9"/>
  <c r="D246" i="9"/>
  <c r="E246" i="9"/>
  <c r="C247" i="9"/>
  <c r="D247" i="9"/>
  <c r="E247" i="9"/>
  <c r="C248" i="9"/>
  <c r="D248" i="9"/>
  <c r="E248" i="9"/>
  <c r="B253" i="9"/>
  <c r="C253" i="9"/>
  <c r="D253" i="9"/>
  <c r="E253" i="9"/>
  <c r="E243" i="9"/>
  <c r="B236" i="9"/>
  <c r="C236" i="9"/>
  <c r="D236" i="9"/>
  <c r="E236" i="9"/>
  <c r="C237" i="9"/>
  <c r="D237" i="9"/>
  <c r="E237" i="9"/>
  <c r="E235" i="9"/>
  <c r="E259" i="9" s="1"/>
  <c r="B235" i="9"/>
  <c r="B259" i="9" s="1"/>
  <c r="G196" i="9"/>
  <c r="B233" i="9"/>
  <c r="A233" i="9"/>
  <c r="B193" i="9"/>
  <c r="A193" i="9"/>
  <c r="G203" i="9"/>
  <c r="G202" i="9"/>
  <c r="G201" i="9"/>
  <c r="G200" i="9"/>
  <c r="G199" i="9"/>
  <c r="G198" i="9"/>
  <c r="G197" i="9"/>
  <c r="C52" i="9"/>
  <c r="C48" i="9"/>
  <c r="C49" i="9"/>
  <c r="C50" i="9"/>
  <c r="C51" i="9"/>
  <c r="C64" i="15" s="1"/>
  <c r="C53" i="9"/>
  <c r="C54" i="9"/>
  <c r="C55" i="9"/>
  <c r="C56" i="9"/>
  <c r="C57" i="9"/>
  <c r="C58" i="9"/>
  <c r="C59" i="9"/>
  <c r="C60" i="9"/>
  <c r="C61" i="9"/>
  <c r="C62" i="9"/>
  <c r="C63" i="9"/>
  <c r="C64" i="9"/>
  <c r="C65" i="9"/>
  <c r="C66" i="9"/>
  <c r="C67" i="9"/>
  <c r="C68" i="9"/>
  <c r="C69" i="9"/>
  <c r="C70" i="9"/>
  <c r="C71" i="9"/>
  <c r="C47" i="9"/>
  <c r="G19" i="9"/>
  <c r="G20" i="9"/>
  <c r="G23" i="9"/>
  <c r="G24" i="9"/>
  <c r="G27" i="9"/>
  <c r="G28" i="9"/>
  <c r="G31" i="9"/>
  <c r="G32" i="9"/>
  <c r="G35" i="9"/>
  <c r="G36" i="9"/>
  <c r="G39" i="9"/>
  <c r="G40" i="9"/>
  <c r="B13" i="9"/>
  <c r="A13" i="9"/>
  <c r="G17" i="9"/>
  <c r="G18" i="9"/>
  <c r="G21" i="9"/>
  <c r="G22" i="9"/>
  <c r="G25" i="9"/>
  <c r="G26" i="9"/>
  <c r="G29" i="9"/>
  <c r="G30" i="9"/>
  <c r="G33" i="9"/>
  <c r="G34" i="9"/>
  <c r="G37" i="9"/>
  <c r="G38" i="9"/>
  <c r="G16" i="9"/>
  <c r="C180" i="9"/>
  <c r="C181" i="9"/>
  <c r="C182" i="9"/>
  <c r="C184" i="9"/>
  <c r="C185" i="9"/>
  <c r="C179" i="9"/>
  <c r="C190" i="9"/>
  <c r="B166" i="9"/>
  <c r="B169" i="9"/>
  <c r="B122" i="9"/>
  <c r="B126" i="9"/>
  <c r="B132" i="9"/>
  <c r="B136" i="9"/>
  <c r="B140" i="9"/>
  <c r="B144" i="9"/>
  <c r="B148" i="9"/>
  <c r="B152" i="9"/>
  <c r="B156" i="9"/>
  <c r="B160" i="9"/>
  <c r="B162" i="9"/>
  <c r="B118" i="9"/>
  <c r="B111" i="9"/>
  <c r="B109" i="9"/>
  <c r="B110" i="9"/>
  <c r="B101" i="9"/>
  <c r="B102" i="9"/>
  <c r="B103" i="9"/>
  <c r="B104" i="9"/>
  <c r="B105" i="9"/>
  <c r="B106" i="9"/>
  <c r="B107" i="9"/>
  <c r="B108" i="9"/>
  <c r="B87" i="9"/>
  <c r="B88" i="9"/>
  <c r="B89" i="9"/>
  <c r="B90" i="9"/>
  <c r="B91" i="9"/>
  <c r="B92" i="9"/>
  <c r="B93" i="9"/>
  <c r="B94" i="9"/>
  <c r="B95" i="9"/>
  <c r="B96" i="9"/>
  <c r="B98" i="9"/>
  <c r="B99" i="9"/>
  <c r="B86" i="9"/>
  <c r="E105" i="36"/>
  <c r="E52" i="36"/>
  <c r="C159" i="11"/>
  <c r="F105" i="3" s="1"/>
  <c r="B116" i="11"/>
  <c r="A116" i="11"/>
  <c r="C20" i="30"/>
  <c r="C37" i="13" l="1"/>
  <c r="F170" i="3" s="1"/>
  <c r="G236" i="9"/>
  <c r="F26" i="3"/>
  <c r="C362" i="9"/>
  <c r="I253" i="9"/>
  <c r="I248" i="9"/>
  <c r="I244" i="9"/>
  <c r="I245" i="9"/>
  <c r="I246" i="9"/>
  <c r="I247" i="9"/>
  <c r="C86" i="9"/>
  <c r="C60" i="15"/>
  <c r="C104" i="9"/>
  <c r="C65" i="15"/>
  <c r="C290" i="9"/>
  <c r="C110" i="9"/>
  <c r="C81" i="15"/>
  <c r="C95" i="9"/>
  <c r="C77" i="15"/>
  <c r="C93" i="9"/>
  <c r="C73" i="15"/>
  <c r="C90" i="9"/>
  <c r="C69" i="15"/>
  <c r="C99" i="9"/>
  <c r="C84" i="15"/>
  <c r="C109" i="9"/>
  <c r="C80" i="15"/>
  <c r="C94" i="9"/>
  <c r="C76" i="15"/>
  <c r="C92" i="9"/>
  <c r="C72" i="15"/>
  <c r="C89" i="9"/>
  <c r="C68" i="15"/>
  <c r="C102" i="9"/>
  <c r="C63" i="15"/>
  <c r="C111" i="9"/>
  <c r="C83" i="15"/>
  <c r="C97" i="9"/>
  <c r="C79" i="15"/>
  <c r="C108" i="9"/>
  <c r="C75" i="15"/>
  <c r="C106" i="9"/>
  <c r="C71" i="15"/>
  <c r="C88" i="9"/>
  <c r="C67" i="15"/>
  <c r="C101" i="9"/>
  <c r="C62" i="15"/>
  <c r="C98" i="9"/>
  <c r="C82" i="15"/>
  <c r="C96" i="9"/>
  <c r="C78" i="15"/>
  <c r="C107" i="9"/>
  <c r="C74" i="15"/>
  <c r="C91" i="9"/>
  <c r="C70" i="15"/>
  <c r="C105" i="9"/>
  <c r="C66" i="15"/>
  <c r="C87" i="9"/>
  <c r="C61" i="15"/>
  <c r="G424" i="3"/>
  <c r="F106" i="3"/>
  <c r="G417" i="3"/>
  <c r="F169" i="3"/>
  <c r="F161" i="3"/>
  <c r="C299" i="9"/>
  <c r="F155" i="3"/>
  <c r="C333" i="9"/>
  <c r="F157" i="3" s="1"/>
  <c r="C308" i="9"/>
  <c r="C205" i="9"/>
  <c r="G237" i="9"/>
  <c r="C73" i="9"/>
  <c r="C15" i="19" s="1"/>
  <c r="C103" i="9"/>
  <c r="C42" i="9"/>
  <c r="F136" i="3" s="1"/>
  <c r="B165" i="10"/>
  <c r="B164" i="10"/>
  <c r="G163" i="10"/>
  <c r="E183" i="9" s="1"/>
  <c r="C163" i="10"/>
  <c r="B163" i="10"/>
  <c r="G162" i="10"/>
  <c r="E182" i="9" s="1"/>
  <c r="B162" i="10"/>
  <c r="G161" i="10"/>
  <c r="E181" i="9" s="1"/>
  <c r="B161" i="10"/>
  <c r="G160" i="10"/>
  <c r="E180" i="9" s="1"/>
  <c r="B160" i="10"/>
  <c r="G159" i="10"/>
  <c r="B159" i="10"/>
  <c r="I162" i="10"/>
  <c r="C152" i="10"/>
  <c r="C412" i="32" s="1"/>
  <c r="I412" i="32" s="1"/>
  <c r="C414" i="32" s="1"/>
  <c r="F80" i="3" s="1"/>
  <c r="C151" i="10"/>
  <c r="C150" i="10"/>
  <c r="G433" i="32"/>
  <c r="G146" i="10"/>
  <c r="G420" i="32" s="1"/>
  <c r="G145" i="10"/>
  <c r="G419" i="32" s="1"/>
  <c r="C149" i="10"/>
  <c r="C433" i="32" s="1"/>
  <c r="C148" i="10"/>
  <c r="C432" i="32" s="1"/>
  <c r="I432" i="32" s="1"/>
  <c r="C147" i="10"/>
  <c r="C146" i="10"/>
  <c r="C420" i="32" s="1"/>
  <c r="C145" i="10"/>
  <c r="G147" i="10"/>
  <c r="G431" i="32" s="1"/>
  <c r="G109" i="10"/>
  <c r="G108" i="10"/>
  <c r="G106" i="10"/>
  <c r="G105" i="10"/>
  <c r="G104" i="10"/>
  <c r="G103" i="10"/>
  <c r="G102" i="10"/>
  <c r="G100" i="10"/>
  <c r="G99" i="10"/>
  <c r="G115" i="10"/>
  <c r="G113" i="10"/>
  <c r="G112" i="10"/>
  <c r="G110" i="10"/>
  <c r="B133" i="10"/>
  <c r="A133" i="10"/>
  <c r="G137" i="10"/>
  <c r="C139" i="10" s="1"/>
  <c r="F129" i="3" s="1"/>
  <c r="I160" i="10" l="1"/>
  <c r="I433" i="32"/>
  <c r="C255" i="9"/>
  <c r="F146" i="3" s="1"/>
  <c r="C113" i="9"/>
  <c r="I147" i="10"/>
  <c r="C431" i="32"/>
  <c r="I431" i="32" s="1"/>
  <c r="I152" i="10"/>
  <c r="C422" i="32"/>
  <c r="I422" i="32" s="1"/>
  <c r="I159" i="10"/>
  <c r="G451" i="32"/>
  <c r="I451" i="32" s="1"/>
  <c r="E179" i="9"/>
  <c r="G179" i="9" s="1"/>
  <c r="C444" i="32"/>
  <c r="C183" i="9"/>
  <c r="B443" i="32"/>
  <c r="B182" i="9"/>
  <c r="I145" i="10"/>
  <c r="C419" i="32"/>
  <c r="I150" i="10"/>
  <c r="C434" i="32"/>
  <c r="I434" i="32" s="1"/>
  <c r="G452" i="32"/>
  <c r="I452" i="32" s="1"/>
  <c r="G180" i="9"/>
  <c r="G443" i="32"/>
  <c r="I443" i="32" s="1"/>
  <c r="G182" i="9"/>
  <c r="B453" i="32"/>
  <c r="B184" i="9"/>
  <c r="G442" i="32"/>
  <c r="I442" i="32" s="1"/>
  <c r="G181" i="9"/>
  <c r="B452" i="32"/>
  <c r="B180" i="9"/>
  <c r="G444" i="32"/>
  <c r="I420" i="32"/>
  <c r="I151" i="10"/>
  <c r="C421" i="32"/>
  <c r="I421" i="32" s="1"/>
  <c r="B451" i="32"/>
  <c r="B179" i="9"/>
  <c r="B442" i="32"/>
  <c r="B181" i="9"/>
  <c r="B444" i="32"/>
  <c r="B183" i="9"/>
  <c r="B454" i="32"/>
  <c r="B185" i="9"/>
  <c r="C86" i="15"/>
  <c r="F100" i="3" s="1"/>
  <c r="F142" i="3"/>
  <c r="C16" i="19"/>
  <c r="C18" i="19" s="1"/>
  <c r="F602" i="3" s="1"/>
  <c r="C239" i="9"/>
  <c r="F145" i="3" s="1"/>
  <c r="I146" i="10"/>
  <c r="I149" i="10"/>
  <c r="I163" i="10"/>
  <c r="I148" i="10"/>
  <c r="G95" i="10"/>
  <c r="G94" i="10"/>
  <c r="G93" i="10"/>
  <c r="G92" i="10"/>
  <c r="G91" i="10"/>
  <c r="G90" i="10"/>
  <c r="G129" i="10"/>
  <c r="G127" i="10"/>
  <c r="G89" i="10"/>
  <c r="G96" i="10"/>
  <c r="G98" i="10"/>
  <c r="G88" i="10"/>
  <c r="F121" i="3"/>
  <c r="F119" i="3"/>
  <c r="F118" i="3"/>
  <c r="C81" i="10"/>
  <c r="A74" i="10"/>
  <c r="C63" i="10"/>
  <c r="F123" i="3" s="1"/>
  <c r="C39" i="10"/>
  <c r="F120" i="3" s="1"/>
  <c r="I51" i="10"/>
  <c r="I52" i="10"/>
  <c r="I53" i="10"/>
  <c r="I54" i="10"/>
  <c r="I55" i="10"/>
  <c r="I56" i="10"/>
  <c r="I50" i="10"/>
  <c r="A73" i="16"/>
  <c r="D120" i="3"/>
  <c r="B120" i="3"/>
  <c r="B60" i="10"/>
  <c r="A60" i="10"/>
  <c r="B46" i="10"/>
  <c r="A46" i="10"/>
  <c r="C72" i="10"/>
  <c r="A113" i="16"/>
  <c r="D125" i="3"/>
  <c r="B74" i="10" s="1"/>
  <c r="B125" i="3"/>
  <c r="K117" i="16"/>
  <c r="M117" i="16" s="1"/>
  <c r="M123" i="16" s="1"/>
  <c r="K64" i="16"/>
  <c r="M64" i="16" s="1"/>
  <c r="M70" i="16" s="1"/>
  <c r="K108" i="16"/>
  <c r="M108" i="16" s="1"/>
  <c r="K106" i="16"/>
  <c r="M106" i="16" s="1"/>
  <c r="K105" i="16"/>
  <c r="M105" i="16" s="1"/>
  <c r="C131" i="10" l="1"/>
  <c r="C121" i="10"/>
  <c r="M110" i="16"/>
  <c r="C436" i="32"/>
  <c r="F82" i="3" s="1"/>
  <c r="I444" i="32"/>
  <c r="C446" i="32" s="1"/>
  <c r="F83" i="3" s="1"/>
  <c r="G183" i="9"/>
  <c r="F124" i="3"/>
  <c r="G164" i="10"/>
  <c r="E184" i="9" s="1"/>
  <c r="F125" i="3"/>
  <c r="G165" i="10"/>
  <c r="E185" i="9" s="1"/>
  <c r="C154" i="10"/>
  <c r="F131" i="3" s="1"/>
  <c r="F128" i="3"/>
  <c r="C58" i="10"/>
  <c r="F122" i="3" s="1"/>
  <c r="G125" i="3"/>
  <c r="K92" i="16"/>
  <c r="M92" i="16" s="1"/>
  <c r="I164" i="10" l="1"/>
  <c r="G453" i="32"/>
  <c r="I453" i="32" s="1"/>
  <c r="G184" i="9"/>
  <c r="I165" i="10"/>
  <c r="G454" i="32"/>
  <c r="I454" i="32" s="1"/>
  <c r="G185" i="9"/>
  <c r="F127" i="3"/>
  <c r="K94" i="16"/>
  <c r="M94" i="16" s="1"/>
  <c r="M97" i="16" s="1"/>
  <c r="K93" i="16"/>
  <c r="M93" i="16" s="1"/>
  <c r="K78" i="16"/>
  <c r="M78" i="16" s="1"/>
  <c r="K79" i="16"/>
  <c r="M79" i="16" s="1"/>
  <c r="M81" i="16" l="1"/>
  <c r="G120" i="3" s="1"/>
  <c r="C456" i="32"/>
  <c r="F84" i="3" s="1"/>
  <c r="C187" i="9"/>
  <c r="E190" i="9" s="1"/>
  <c r="K4" i="16"/>
  <c r="K2" i="16"/>
  <c r="C6" i="16"/>
  <c r="C4" i="16"/>
  <c r="C2" i="16"/>
  <c r="C3" i="16"/>
  <c r="G78" i="36"/>
  <c r="G77" i="36"/>
  <c r="G76" i="36"/>
  <c r="C36" i="36"/>
  <c r="G36" i="36" l="1"/>
  <c r="G35" i="36"/>
  <c r="G34" i="36"/>
  <c r="G33" i="36"/>
  <c r="G38" i="36"/>
  <c r="G37" i="36"/>
  <c r="G39" i="36"/>
  <c r="G41" i="36"/>
  <c r="E99" i="36"/>
  <c r="E100" i="36"/>
  <c r="E101" i="36"/>
  <c r="E102" i="36"/>
  <c r="E103" i="36"/>
  <c r="E104" i="36"/>
  <c r="E91" i="36"/>
  <c r="E92" i="36"/>
  <c r="E93" i="36"/>
  <c r="E94" i="36"/>
  <c r="E95" i="36"/>
  <c r="E96" i="36"/>
  <c r="G99" i="36"/>
  <c r="G100" i="36"/>
  <c r="G101" i="36"/>
  <c r="G102" i="36"/>
  <c r="G103" i="36"/>
  <c r="G104" i="36"/>
  <c r="G105" i="36"/>
  <c r="G91" i="36"/>
  <c r="G92" i="36"/>
  <c r="G93" i="36"/>
  <c r="G94" i="36"/>
  <c r="G95" i="36"/>
  <c r="G96" i="36"/>
  <c r="B99" i="36"/>
  <c r="C99" i="36"/>
  <c r="B100" i="36"/>
  <c r="C100" i="36"/>
  <c r="B101" i="36"/>
  <c r="C101" i="36"/>
  <c r="B102" i="36"/>
  <c r="C102" i="36"/>
  <c r="B103" i="36"/>
  <c r="C103" i="36"/>
  <c r="C104" i="36"/>
  <c r="B105" i="36"/>
  <c r="C105" i="36"/>
  <c r="C91" i="36"/>
  <c r="C92" i="36"/>
  <c r="C93" i="36"/>
  <c r="C94" i="36"/>
  <c r="C95" i="36"/>
  <c r="C96" i="36"/>
  <c r="B91" i="36"/>
  <c r="B92" i="36"/>
  <c r="B93" i="36"/>
  <c r="B94" i="36"/>
  <c r="B95" i="36"/>
  <c r="B96" i="36"/>
  <c r="C32" i="36"/>
  <c r="G32" i="36" s="1"/>
  <c r="G42" i="36"/>
  <c r="G43" i="36"/>
  <c r="G44" i="36"/>
  <c r="G45" i="36"/>
  <c r="G46" i="36"/>
  <c r="G40" i="36"/>
  <c r="G47" i="36"/>
  <c r="G48" i="36"/>
  <c r="G49" i="36"/>
  <c r="G50" i="36"/>
  <c r="G51" i="36"/>
  <c r="G52" i="36"/>
  <c r="G53" i="36"/>
  <c r="G55" i="36"/>
  <c r="G56" i="36"/>
  <c r="G57" i="36"/>
  <c r="G58" i="36"/>
  <c r="G59" i="36"/>
  <c r="G60" i="36"/>
  <c r="G61" i="36"/>
  <c r="G62" i="36"/>
  <c r="G63" i="36"/>
  <c r="G64" i="36"/>
  <c r="G65" i="36"/>
  <c r="G66" i="36"/>
  <c r="G67" i="36"/>
  <c r="G68" i="36"/>
  <c r="G69" i="36"/>
  <c r="G70" i="36"/>
  <c r="G71" i="36"/>
  <c r="G72" i="36"/>
  <c r="G73" i="36"/>
  <c r="G74" i="36"/>
  <c r="G75" i="36"/>
  <c r="B32" i="36"/>
  <c r="B40" i="36"/>
  <c r="I102" i="11"/>
  <c r="C87" i="36" l="1"/>
  <c r="C110" i="36" s="1"/>
  <c r="I91" i="36"/>
  <c r="I102" i="36"/>
  <c r="I99" i="36"/>
  <c r="I103" i="36"/>
  <c r="I101" i="36"/>
  <c r="I100" i="36"/>
  <c r="I96" i="36"/>
  <c r="I105" i="36"/>
  <c r="I95" i="36"/>
  <c r="I104" i="36"/>
  <c r="I94" i="36"/>
  <c r="I93" i="36"/>
  <c r="I92" i="36"/>
  <c r="I108" i="11"/>
  <c r="I105" i="11"/>
  <c r="I104" i="11"/>
  <c r="I103" i="11"/>
  <c r="I101" i="11"/>
  <c r="I100" i="11"/>
  <c r="I99" i="11"/>
  <c r="I98" i="11"/>
  <c r="I97" i="11"/>
  <c r="I96" i="11"/>
  <c r="I95" i="11"/>
  <c r="I94" i="11"/>
  <c r="I93" i="11"/>
  <c r="I92" i="11"/>
  <c r="I91" i="11"/>
  <c r="I90" i="11"/>
  <c r="I109" i="11"/>
  <c r="I79" i="11"/>
  <c r="I78" i="11"/>
  <c r="I77" i="11"/>
  <c r="I76" i="11"/>
  <c r="I75" i="11"/>
  <c r="I74" i="11"/>
  <c r="I73" i="11"/>
  <c r="I83" i="11"/>
  <c r="I82" i="11"/>
  <c r="I81" i="11"/>
  <c r="I80" i="11"/>
  <c r="I85" i="11"/>
  <c r="I84" i="11"/>
  <c r="I86" i="11"/>
  <c r="I87" i="11"/>
  <c r="G59" i="11"/>
  <c r="G66" i="11"/>
  <c r="G65" i="11"/>
  <c r="G64" i="11"/>
  <c r="G63" i="11"/>
  <c r="G62" i="11"/>
  <c r="G60" i="11"/>
  <c r="G58" i="11"/>
  <c r="G57" i="11"/>
  <c r="G21" i="11"/>
  <c r="G54" i="11"/>
  <c r="G53" i="11"/>
  <c r="G51" i="11"/>
  <c r="G47" i="11"/>
  <c r="G45" i="11"/>
  <c r="G43" i="11"/>
  <c r="G42" i="11"/>
  <c r="G38" i="11"/>
  <c r="G41" i="11"/>
  <c r="G34" i="11"/>
  <c r="G33" i="11"/>
  <c r="G32" i="11"/>
  <c r="G31" i="11"/>
  <c r="G27" i="11"/>
  <c r="G26" i="11"/>
  <c r="G25" i="11"/>
  <c r="G24" i="11"/>
  <c r="G28" i="11"/>
  <c r="G23" i="11"/>
  <c r="G22" i="11"/>
  <c r="G20" i="11"/>
  <c r="G19" i="11"/>
  <c r="G18" i="11"/>
  <c r="A11" i="5"/>
  <c r="A11" i="34"/>
  <c r="C17" i="5"/>
  <c r="C29" i="5"/>
  <c r="B51" i="5" s="1"/>
  <c r="F51" i="5" s="1"/>
  <c r="C53" i="5" s="1"/>
  <c r="C46" i="5"/>
  <c r="F59" i="5"/>
  <c r="B55" i="5"/>
  <c r="A55" i="5"/>
  <c r="F58" i="5"/>
  <c r="K13" i="16"/>
  <c r="M13" i="16" s="1"/>
  <c r="C61" i="5" l="1"/>
  <c r="F23" i="3" s="1"/>
  <c r="C107" i="36"/>
  <c r="E110" i="36" s="1"/>
  <c r="G110" i="36" s="1"/>
  <c r="G6" i="11"/>
  <c r="C112" i="36" l="1"/>
  <c r="C25" i="36" s="1"/>
  <c r="G8" i="30"/>
  <c r="C7" i="30"/>
  <c r="C5" i="30"/>
  <c r="C4" i="30"/>
  <c r="H3" i="30"/>
  <c r="C3" i="30"/>
  <c r="E21" i="36" l="1"/>
  <c r="M450" i="3"/>
  <c r="C78" i="9"/>
  <c r="A292" i="9" l="1"/>
  <c r="B292" i="9"/>
  <c r="A301" i="9"/>
  <c r="B301" i="9"/>
  <c r="B283" i="9"/>
  <c r="A283" i="9"/>
  <c r="B44" i="9"/>
  <c r="A44" i="9"/>
  <c r="F151" i="3" l="1"/>
  <c r="F139" i="3"/>
  <c r="F138" i="3"/>
  <c r="F137" i="3"/>
  <c r="B12" i="9"/>
  <c r="A12" i="9"/>
  <c r="F152" i="3" l="1"/>
  <c r="F153" i="3"/>
  <c r="B18" i="36"/>
  <c r="A18" i="36"/>
  <c r="I180" i="11" l="1"/>
  <c r="C182" i="11" s="1"/>
  <c r="F108" i="3" s="1"/>
  <c r="I72" i="11"/>
  <c r="C111" i="11" s="1"/>
  <c r="G55" i="11"/>
  <c r="G52" i="11"/>
  <c r="G50" i="11"/>
  <c r="G49" i="11"/>
  <c r="G48" i="11"/>
  <c r="G46" i="11"/>
  <c r="G44" i="11"/>
  <c r="G40" i="11"/>
  <c r="G37" i="11"/>
  <c r="G39" i="11"/>
  <c r="G36" i="11"/>
  <c r="G35" i="11"/>
  <c r="G30" i="11"/>
  <c r="G29" i="11"/>
  <c r="B176" i="11"/>
  <c r="A176" i="11"/>
  <c r="B40" i="37"/>
  <c r="B53" i="37"/>
  <c r="B72" i="37"/>
  <c r="B91" i="37"/>
  <c r="B119" i="37"/>
  <c r="B153" i="37"/>
  <c r="B172" i="37"/>
  <c r="A40" i="37"/>
  <c r="A53" i="37"/>
  <c r="A72" i="37"/>
  <c r="A91" i="37"/>
  <c r="A119" i="37"/>
  <c r="A153" i="37"/>
  <c r="A172" i="37"/>
  <c r="B13" i="37"/>
  <c r="A13" i="37"/>
  <c r="B11" i="37"/>
  <c r="A11" i="37"/>
  <c r="A10" i="37"/>
  <c r="G7" i="37"/>
  <c r="C7" i="37"/>
  <c r="G6" i="37"/>
  <c r="C5" i="37"/>
  <c r="C4" i="37"/>
  <c r="H3" i="37"/>
  <c r="C3" i="37"/>
  <c r="A10" i="36"/>
  <c r="B27" i="36"/>
  <c r="A27" i="36"/>
  <c r="B23" i="36"/>
  <c r="A23" i="36"/>
  <c r="B13" i="36"/>
  <c r="A13" i="36"/>
  <c r="B12" i="36"/>
  <c r="A12" i="36"/>
  <c r="G7" i="36"/>
  <c r="C7" i="36"/>
  <c r="G6" i="36"/>
  <c r="C5" i="36"/>
  <c r="C4" i="36"/>
  <c r="I3" i="36"/>
  <c r="C3" i="36"/>
  <c r="C68" i="11" l="1"/>
  <c r="E114" i="11"/>
  <c r="G190" i="9"/>
  <c r="F140" i="3" s="1"/>
  <c r="C114" i="11" l="1"/>
  <c r="B48" i="5"/>
  <c r="A48" i="5"/>
  <c r="G27" i="5"/>
  <c r="F114" i="3" l="1"/>
  <c r="G114" i="11"/>
  <c r="C16" i="36" s="1"/>
  <c r="F113" i="3" l="1"/>
  <c r="F104" i="3"/>
  <c r="G16" i="36"/>
  <c r="C21" i="36" s="1"/>
  <c r="G21" i="36" s="1"/>
  <c r="C18" i="13" s="1"/>
  <c r="F165" i="3" s="1"/>
  <c r="C485" i="26"/>
  <c r="B485" i="26"/>
  <c r="C502" i="26"/>
  <c r="B502" i="26"/>
  <c r="C498" i="26"/>
  <c r="B498" i="26"/>
  <c r="C494" i="26"/>
  <c r="B494" i="26"/>
  <c r="C489" i="26"/>
  <c r="B489" i="26"/>
  <c r="C481" i="26"/>
  <c r="B481" i="26"/>
  <c r="C477" i="26"/>
  <c r="B477" i="26"/>
  <c r="C473" i="26"/>
  <c r="B473" i="26"/>
  <c r="C472" i="26"/>
  <c r="B472" i="26"/>
  <c r="C343" i="26"/>
  <c r="B343" i="26"/>
  <c r="C339" i="26"/>
  <c r="B339" i="26"/>
  <c r="C334" i="26"/>
  <c r="B334" i="26"/>
  <c r="C326" i="26"/>
  <c r="B326" i="26"/>
  <c r="B322" i="26"/>
  <c r="C318" i="26"/>
  <c r="B318" i="26"/>
  <c r="C317" i="26"/>
  <c r="B317" i="26"/>
  <c r="D253" i="3"/>
  <c r="C322" i="26" s="1"/>
  <c r="B253" i="3"/>
  <c r="A283" i="16"/>
  <c r="G253" i="3" l="1"/>
  <c r="F111" i="3"/>
  <c r="F112" i="3"/>
  <c r="F166" i="3"/>
  <c r="F167" i="3"/>
  <c r="D311" i="3" l="1"/>
  <c r="B60" i="27" s="1"/>
  <c r="B311" i="3"/>
  <c r="B17" i="27" l="1"/>
  <c r="A17" i="27"/>
  <c r="G311" i="3" l="1"/>
  <c r="A12" i="27"/>
  <c r="B12" i="27"/>
  <c r="A282" i="9" l="1"/>
  <c r="B282" i="9"/>
  <c r="B589" i="3"/>
  <c r="A784" i="16"/>
  <c r="D589" i="3"/>
  <c r="B33" i="43" s="1"/>
  <c r="G589" i="3" l="1"/>
  <c r="A75" i="9"/>
  <c r="B75" i="9"/>
  <c r="A177" i="11" l="1"/>
  <c r="B177" i="11"/>
  <c r="A41" i="10"/>
  <c r="D124" i="3"/>
  <c r="B124" i="3"/>
  <c r="A100" i="16"/>
  <c r="D121" i="3"/>
  <c r="B41" i="10" s="1"/>
  <c r="B121" i="3"/>
  <c r="D119" i="3"/>
  <c r="B119" i="3"/>
  <c r="A60" i="16"/>
  <c r="A47" i="16"/>
  <c r="D118" i="3"/>
  <c r="B118" i="3"/>
  <c r="G118" i="3" l="1"/>
  <c r="G121" i="3"/>
  <c r="G119" i="3"/>
  <c r="G124" i="3"/>
  <c r="F597" i="3"/>
  <c r="A65" i="10"/>
  <c r="B65" i="10"/>
  <c r="C439" i="32" l="1"/>
  <c r="F22" i="3" l="1"/>
  <c r="B439" i="32"/>
  <c r="A141" i="10"/>
  <c r="B141" i="10"/>
  <c r="A142" i="10"/>
  <c r="B142" i="10"/>
  <c r="C428" i="32"/>
  <c r="B428" i="32"/>
  <c r="C416" i="32"/>
  <c r="B416" i="32"/>
  <c r="C408" i="32"/>
  <c r="B408" i="32"/>
  <c r="B19" i="10"/>
  <c r="A19" i="10"/>
  <c r="B209" i="27" l="1"/>
  <c r="A209" i="27"/>
  <c r="C271" i="26"/>
  <c r="B271" i="26"/>
  <c r="B80" i="9"/>
  <c r="A80" i="9"/>
  <c r="B66" i="27"/>
  <c r="A66" i="27"/>
  <c r="B210" i="27" l="1"/>
  <c r="A210" i="27"/>
  <c r="D345" i="3"/>
  <c r="B192" i="27" s="1"/>
  <c r="A382" i="16"/>
  <c r="G345" i="3" l="1"/>
  <c r="C321" i="32" l="1"/>
  <c r="B321" i="32"/>
  <c r="C192" i="32"/>
  <c r="B192" i="32"/>
  <c r="C403" i="32"/>
  <c r="B403" i="32"/>
  <c r="C370" i="32"/>
  <c r="B370" i="32"/>
  <c r="I419" i="32" s="1"/>
  <c r="C426" i="32" s="1"/>
  <c r="F81" i="3" s="1"/>
  <c r="C159" i="32"/>
  <c r="B159" i="32"/>
  <c r="H3" i="9" l="1"/>
  <c r="G7" i="9"/>
  <c r="F596" i="3" l="1"/>
  <c r="F598" i="3"/>
  <c r="B25" i="35"/>
  <c r="A25" i="35"/>
  <c r="B16" i="35" l="1"/>
  <c r="A16" i="35"/>
  <c r="B12" i="35" l="1"/>
  <c r="A12" i="35"/>
  <c r="B11" i="35"/>
  <c r="A11" i="35"/>
  <c r="A10" i="35"/>
  <c r="G7" i="35"/>
  <c r="C7" i="35"/>
  <c r="G6" i="35"/>
  <c r="C5" i="35"/>
  <c r="C4" i="35"/>
  <c r="H3" i="35"/>
  <c r="C3" i="35"/>
  <c r="B300" i="26" l="1"/>
  <c r="C300" i="26"/>
  <c r="C296" i="26"/>
  <c r="B296" i="26"/>
  <c r="C288" i="26"/>
  <c r="B288" i="26"/>
  <c r="C280" i="26" l="1"/>
  <c r="B280" i="26"/>
  <c r="C284" i="26" l="1"/>
  <c r="B284" i="26"/>
  <c r="C61" i="26" l="1"/>
  <c r="B61" i="26"/>
  <c r="C57" i="26"/>
  <c r="B57" i="26"/>
  <c r="C53" i="26"/>
  <c r="B53" i="26"/>
  <c r="C49" i="26"/>
  <c r="B49" i="26"/>
  <c r="C65" i="26"/>
  <c r="B65" i="26"/>
  <c r="C45" i="26"/>
  <c r="B45" i="26"/>
  <c r="C41" i="26"/>
  <c r="B41" i="26"/>
  <c r="C23" i="26" l="1"/>
  <c r="B23" i="26"/>
  <c r="B45" i="15" l="1"/>
  <c r="A45" i="15"/>
  <c r="B50" i="15"/>
  <c r="A50" i="15"/>
  <c r="B35" i="15"/>
  <c r="J3" i="15" l="1"/>
  <c r="J3" i="10"/>
  <c r="I3" i="11"/>
  <c r="I3" i="32"/>
  <c r="J3" i="31"/>
  <c r="J3" i="34"/>
  <c r="B23" i="5"/>
  <c r="A23" i="5"/>
  <c r="F18" i="3"/>
  <c r="A156" i="10" l="1"/>
  <c r="B227" i="27" l="1"/>
  <c r="A227" i="27"/>
  <c r="B223" i="27"/>
  <c r="A223" i="27"/>
  <c r="B219" i="27"/>
  <c r="A219" i="27"/>
  <c r="B135" i="27"/>
  <c r="A135" i="27"/>
  <c r="B65" i="27"/>
  <c r="A65" i="27"/>
  <c r="C276" i="26"/>
  <c r="B276" i="26"/>
  <c r="C272" i="26"/>
  <c r="B272" i="26"/>
  <c r="B16" i="13"/>
  <c r="A16" i="13"/>
  <c r="B241" i="9"/>
  <c r="A241" i="9"/>
  <c r="B192" i="9"/>
  <c r="A192" i="9"/>
  <c r="A14" i="34" l="1"/>
  <c r="B13" i="34"/>
  <c r="A13" i="34"/>
  <c r="G7" i="34"/>
  <c r="C7" i="34"/>
  <c r="G6" i="34"/>
  <c r="C5" i="34"/>
  <c r="C4" i="34"/>
  <c r="C3" i="34"/>
  <c r="D13" i="3"/>
  <c r="B14" i="34" s="1"/>
  <c r="B13" i="3"/>
  <c r="A10" i="16"/>
  <c r="C158" i="32"/>
  <c r="B158" i="32"/>
  <c r="B13" i="15"/>
  <c r="A13" i="15"/>
  <c r="K14" i="16" l="1"/>
  <c r="M14" i="16" s="1"/>
  <c r="M15" i="16" s="1"/>
  <c r="C19" i="26"/>
  <c r="B19" i="26"/>
  <c r="G13" i="3" l="1"/>
  <c r="C152" i="32"/>
  <c r="B152" i="32"/>
  <c r="C138" i="32"/>
  <c r="B138" i="32"/>
  <c r="C71" i="32"/>
  <c r="B71" i="32"/>
  <c r="C44" i="32"/>
  <c r="B44" i="32"/>
  <c r="C14" i="32"/>
  <c r="B14" i="32"/>
  <c r="B156" i="31"/>
  <c r="A156" i="31"/>
  <c r="B135" i="31"/>
  <c r="A135" i="31"/>
  <c r="B119" i="31"/>
  <c r="A119" i="31"/>
  <c r="B118" i="31"/>
  <c r="A118" i="31"/>
  <c r="B80" i="31"/>
  <c r="A80" i="31"/>
  <c r="B203" i="31"/>
  <c r="A203" i="31"/>
  <c r="B40" i="31"/>
  <c r="A40" i="31"/>
  <c r="B27" i="31"/>
  <c r="A27" i="31"/>
  <c r="B123" i="10" l="1"/>
  <c r="I161" i="10" s="1"/>
  <c r="C167" i="10" s="1"/>
  <c r="F132" i="3" s="1"/>
  <c r="A123" i="10"/>
  <c r="B24" i="10"/>
  <c r="A24" i="10"/>
  <c r="C13" i="32"/>
  <c r="B13" i="32"/>
  <c r="C12" i="32"/>
  <c r="B12" i="32"/>
  <c r="A10" i="32"/>
  <c r="G7" i="32"/>
  <c r="C7" i="32"/>
  <c r="G6" i="32"/>
  <c r="C5" i="32"/>
  <c r="C4" i="32"/>
  <c r="C3" i="32"/>
  <c r="A10" i="10"/>
  <c r="B14" i="11" l="1"/>
  <c r="A14" i="11"/>
  <c r="B13" i="11"/>
  <c r="A13" i="11"/>
  <c r="B12" i="11"/>
  <c r="A12" i="11"/>
  <c r="A10" i="11"/>
  <c r="F21" i="3"/>
  <c r="F20" i="3"/>
  <c r="B13" i="31" l="1"/>
  <c r="A13" i="31"/>
  <c r="B12" i="31"/>
  <c r="A12" i="31"/>
  <c r="A10" i="31"/>
  <c r="B43" i="5" l="1"/>
  <c r="A43" i="5"/>
  <c r="B35" i="5"/>
  <c r="A35" i="5"/>
  <c r="K178" i="3" l="1"/>
  <c r="G7" i="19" l="1"/>
  <c r="C7" i="19"/>
  <c r="G6" i="19"/>
  <c r="C5" i="19"/>
  <c r="C4" i="19"/>
  <c r="H3" i="19"/>
  <c r="C3" i="19"/>
  <c r="G7" i="27"/>
  <c r="C7" i="27"/>
  <c r="G6" i="27"/>
  <c r="C5" i="27"/>
  <c r="C4" i="27"/>
  <c r="H3" i="27"/>
  <c r="C3" i="27"/>
  <c r="G7" i="26"/>
  <c r="C7" i="26"/>
  <c r="G6" i="26"/>
  <c r="C5" i="26"/>
  <c r="C4" i="26"/>
  <c r="H3" i="26"/>
  <c r="C3" i="26"/>
  <c r="G7" i="13"/>
  <c r="C7" i="13"/>
  <c r="G6" i="13"/>
  <c r="C5" i="13"/>
  <c r="C4" i="13"/>
  <c r="H3" i="13"/>
  <c r="C3" i="13"/>
  <c r="C7" i="9"/>
  <c r="C5" i="9"/>
  <c r="C4" i="9"/>
  <c r="C3" i="9"/>
  <c r="G7" i="11"/>
  <c r="C7" i="11"/>
  <c r="C5" i="11"/>
  <c r="C4" i="11"/>
  <c r="C3" i="11"/>
  <c r="G7" i="15"/>
  <c r="C7" i="15"/>
  <c r="G6" i="15"/>
  <c r="C5" i="15"/>
  <c r="C4" i="15"/>
  <c r="C3" i="15"/>
  <c r="G7" i="10"/>
  <c r="C7" i="10"/>
  <c r="G6" i="10"/>
  <c r="C5" i="10"/>
  <c r="C4" i="10"/>
  <c r="C3" i="10"/>
  <c r="G7" i="31"/>
  <c r="C7" i="31"/>
  <c r="G6" i="31"/>
  <c r="C5" i="31"/>
  <c r="C4" i="31"/>
  <c r="C3" i="31"/>
  <c r="C7" i="5"/>
  <c r="G8" i="5"/>
  <c r="C5" i="5"/>
  <c r="C4" i="5"/>
  <c r="H3" i="5"/>
  <c r="C3" i="5"/>
  <c r="E2" i="22"/>
  <c r="B2" i="22"/>
  <c r="C209" i="26" l="1"/>
  <c r="B209" i="26"/>
  <c r="C13" i="26" l="1"/>
  <c r="B13" i="26"/>
  <c r="C28" i="26"/>
  <c r="B28" i="26"/>
  <c r="C204" i="26"/>
  <c r="B204" i="26"/>
  <c r="B21" i="27" l="1"/>
  <c r="A21" i="27" l="1"/>
  <c r="C205" i="26"/>
  <c r="B205" i="26"/>
  <c r="C29" i="26"/>
  <c r="B29" i="26"/>
  <c r="B13" i="27"/>
  <c r="A13" i="27"/>
  <c r="B11" i="27"/>
  <c r="A11" i="27"/>
  <c r="A10" i="27"/>
  <c r="C14" i="26"/>
  <c r="B14" i="26"/>
  <c r="A10" i="26"/>
  <c r="B15" i="13"/>
  <c r="A15" i="13"/>
  <c r="B13" i="13"/>
  <c r="A13" i="13"/>
  <c r="B14" i="13"/>
  <c r="A14" i="13"/>
  <c r="B12" i="13"/>
  <c r="A12" i="13"/>
  <c r="A10" i="13"/>
  <c r="B115" i="9"/>
  <c r="A115" i="9"/>
  <c r="B11" i="9"/>
  <c r="A11" i="9"/>
  <c r="A10" i="9"/>
  <c r="A10" i="15"/>
  <c r="A12" i="30"/>
  <c r="A35" i="15" l="1"/>
  <c r="B12" i="15"/>
  <c r="A12" i="15"/>
  <c r="A14" i="5"/>
  <c r="B14" i="5"/>
  <c r="B13" i="5"/>
  <c r="A13" i="5"/>
  <c r="B15" i="30" l="1"/>
  <c r="A15" i="30"/>
  <c r="B14" i="30"/>
  <c r="A14" i="30"/>
  <c r="B156" i="10"/>
  <c r="B84" i="10" l="1"/>
  <c r="A84" i="10"/>
  <c r="B83" i="10"/>
  <c r="A83" i="10"/>
  <c r="A14" i="10" l="1"/>
  <c r="B14" i="10"/>
  <c r="E6" i="22" l="1"/>
  <c r="B6" i="22"/>
  <c r="B4" i="22"/>
  <c r="B3" i="22"/>
  <c r="C6" i="21"/>
  <c r="G6" i="21"/>
  <c r="G2" i="21"/>
  <c r="C3" i="21"/>
  <c r="C2" i="21"/>
  <c r="K6" i="16" l="1"/>
  <c r="C12" i="26" l="1"/>
  <c r="B12" i="26"/>
  <c r="C4" i="21" l="1"/>
  <c r="F45" i="22" l="1"/>
  <c r="E45" i="22"/>
  <c r="D45" i="22"/>
  <c r="C45" i="22"/>
  <c r="F41" i="22"/>
  <c r="E41" i="22"/>
  <c r="D41" i="22"/>
  <c r="C41" i="22"/>
  <c r="F34" i="22"/>
  <c r="E34" i="22"/>
  <c r="D34" i="22"/>
  <c r="C34" i="22"/>
  <c r="F22" i="22"/>
  <c r="E22" i="22"/>
  <c r="B12" i="19"/>
  <c r="B13" i="10"/>
  <c r="E46" i="22" l="1"/>
  <c r="F46" i="22"/>
  <c r="C46" i="22"/>
  <c r="D46" i="22"/>
  <c r="B15" i="4" l="1"/>
  <c r="C6" i="42" l="1"/>
  <c r="B8" i="38"/>
  <c r="C5" i="16"/>
  <c r="C6" i="43"/>
  <c r="C6" i="39"/>
  <c r="C6" i="40"/>
  <c r="C6" i="41"/>
  <c r="K10" i="3"/>
  <c r="B5" i="22"/>
  <c r="C5" i="21"/>
  <c r="C6" i="30"/>
  <c r="B12" i="10"/>
  <c r="A12" i="10"/>
  <c r="H26" i="3" l="1"/>
  <c r="H17" i="3"/>
  <c r="H16" i="3"/>
  <c r="H13" i="3"/>
  <c r="H238" i="3"/>
  <c r="I238" i="3" s="1"/>
  <c r="I17" i="3"/>
  <c r="H228" i="3"/>
  <c r="H230" i="3"/>
  <c r="I230" i="3" s="1"/>
  <c r="H231" i="3"/>
  <c r="I231" i="3" s="1"/>
  <c r="H227" i="3"/>
  <c r="I227" i="3" s="1"/>
  <c r="H232" i="3"/>
  <c r="I232" i="3" s="1"/>
  <c r="I228" i="3"/>
  <c r="H229" i="3"/>
  <c r="I229" i="3" s="1"/>
  <c r="H233" i="3"/>
  <c r="I233" i="3" s="1"/>
  <c r="H234" i="3"/>
  <c r="I234" i="3" s="1"/>
  <c r="H235" i="3"/>
  <c r="I235" i="3" s="1"/>
  <c r="H219" i="3"/>
  <c r="I219" i="3" s="1"/>
  <c r="H218" i="3"/>
  <c r="I218" i="3" s="1"/>
  <c r="H220" i="3"/>
  <c r="I220" i="3" s="1"/>
  <c r="H221" i="3"/>
  <c r="I221" i="3" s="1"/>
  <c r="H217" i="3"/>
  <c r="I217" i="3" s="1"/>
  <c r="H212" i="3"/>
  <c r="I212" i="3" s="1"/>
  <c r="H208" i="3"/>
  <c r="I208" i="3" s="1"/>
  <c r="H211" i="3"/>
  <c r="I211" i="3" s="1"/>
  <c r="H213" i="3"/>
  <c r="I213" i="3" s="1"/>
  <c r="H209" i="3"/>
  <c r="I209" i="3" s="1"/>
  <c r="H214" i="3"/>
  <c r="I214" i="3" s="1"/>
  <c r="H210" i="3"/>
  <c r="I210" i="3" s="1"/>
  <c r="H207" i="3"/>
  <c r="I207" i="3" s="1"/>
  <c r="H216" i="3"/>
  <c r="I216" i="3" s="1"/>
  <c r="H215" i="3"/>
  <c r="I215" i="3" s="1"/>
  <c r="H197" i="3"/>
  <c r="I197" i="3" s="1"/>
  <c r="H194" i="3"/>
  <c r="I194" i="3" s="1"/>
  <c r="H190" i="3"/>
  <c r="I190" i="3" s="1"/>
  <c r="H196" i="3"/>
  <c r="I196" i="3" s="1"/>
  <c r="H192" i="3"/>
  <c r="I192" i="3" s="1"/>
  <c r="H193" i="3"/>
  <c r="I193" i="3" s="1"/>
  <c r="H195" i="3"/>
  <c r="I195" i="3" s="1"/>
  <c r="H191" i="3"/>
  <c r="I191" i="3" s="1"/>
  <c r="H203" i="3"/>
  <c r="I203" i="3" s="1"/>
  <c r="H199" i="3"/>
  <c r="I199" i="3" s="1"/>
  <c r="I204" i="3"/>
  <c r="H200" i="3"/>
  <c r="I200" i="3" s="1"/>
  <c r="H201" i="3"/>
  <c r="I201" i="3" s="1"/>
  <c r="H202" i="3"/>
  <c r="I202" i="3" s="1"/>
  <c r="H189" i="3"/>
  <c r="I189" i="3" s="1"/>
  <c r="I205" i="3"/>
  <c r="H206" i="3"/>
  <c r="I206" i="3" s="1"/>
  <c r="H226" i="3"/>
  <c r="I226" i="3" s="1"/>
  <c r="H236" i="3"/>
  <c r="I236" i="3" s="1"/>
  <c r="H225" i="3"/>
  <c r="I225" i="3" s="1"/>
  <c r="H237" i="3"/>
  <c r="I237" i="3" s="1"/>
  <c r="H180" i="3"/>
  <c r="I180" i="3" s="1"/>
  <c r="H179" i="3"/>
  <c r="I179" i="3" s="1"/>
  <c r="H598" i="3"/>
  <c r="I598" i="3" s="1"/>
  <c r="H592" i="3"/>
  <c r="I592" i="3" s="1"/>
  <c r="H587" i="3"/>
  <c r="I587" i="3" s="1"/>
  <c r="H578" i="3"/>
  <c r="I578" i="3" s="1"/>
  <c r="H574" i="3"/>
  <c r="I574" i="3" s="1"/>
  <c r="H570" i="3"/>
  <c r="I570" i="3" s="1"/>
  <c r="H566" i="3"/>
  <c r="I566" i="3" s="1"/>
  <c r="H560" i="3"/>
  <c r="I560" i="3" s="1"/>
  <c r="H555" i="3"/>
  <c r="I555" i="3" s="1"/>
  <c r="H551" i="3"/>
  <c r="I551" i="3" s="1"/>
  <c r="H546" i="3"/>
  <c r="I546" i="3" s="1"/>
  <c r="H541" i="3"/>
  <c r="I541" i="3" s="1"/>
  <c r="H536" i="3"/>
  <c r="I536" i="3" s="1"/>
  <c r="H532" i="3"/>
  <c r="I532" i="3" s="1"/>
  <c r="H525" i="3"/>
  <c r="I525" i="3" s="1"/>
  <c r="H520" i="3"/>
  <c r="I520" i="3" s="1"/>
  <c r="H516" i="3"/>
  <c r="I516" i="3" s="1"/>
  <c r="H509" i="3"/>
  <c r="I509" i="3" s="1"/>
  <c r="H505" i="3"/>
  <c r="I505" i="3" s="1"/>
  <c r="H500" i="3"/>
  <c r="I500" i="3" s="1"/>
  <c r="H495" i="3"/>
  <c r="I495" i="3" s="1"/>
  <c r="H491" i="3"/>
  <c r="I491" i="3" s="1"/>
  <c r="H487" i="3"/>
  <c r="I487" i="3" s="1"/>
  <c r="H475" i="3"/>
  <c r="I475" i="3" s="1"/>
  <c r="H474" i="3"/>
  <c r="I474" i="3" s="1"/>
  <c r="H464" i="3"/>
  <c r="I464" i="3" s="1"/>
  <c r="H458" i="3"/>
  <c r="I458" i="3" s="1"/>
  <c r="H453" i="3"/>
  <c r="I453" i="3" s="1"/>
  <c r="H445" i="3"/>
  <c r="I445" i="3" s="1"/>
  <c r="H440" i="3"/>
  <c r="I440" i="3" s="1"/>
  <c r="H406" i="3"/>
  <c r="I406" i="3" s="1"/>
  <c r="H408" i="3"/>
  <c r="I408" i="3" s="1"/>
  <c r="H410" i="3"/>
  <c r="I410" i="3" s="1"/>
  <c r="H412" i="3"/>
  <c r="I412" i="3" s="1"/>
  <c r="H414" i="3"/>
  <c r="I414" i="3" s="1"/>
  <c r="H416" i="3"/>
  <c r="I416" i="3" s="1"/>
  <c r="H418" i="3"/>
  <c r="I418" i="3" s="1"/>
  <c r="H420" i="3"/>
  <c r="I420" i="3" s="1"/>
  <c r="H422" i="3"/>
  <c r="I422" i="3" s="1"/>
  <c r="H424" i="3"/>
  <c r="I424" i="3" s="1"/>
  <c r="H426" i="3"/>
  <c r="I426" i="3" s="1"/>
  <c r="H404" i="3"/>
  <c r="I404" i="3" s="1"/>
  <c r="H399" i="3"/>
  <c r="I399" i="3" s="1"/>
  <c r="H395" i="3"/>
  <c r="I395" i="3" s="1"/>
  <c r="H391" i="3"/>
  <c r="I391" i="3" s="1"/>
  <c r="H387" i="3"/>
  <c r="I387" i="3" s="1"/>
  <c r="H383" i="3"/>
  <c r="I383" i="3" s="1"/>
  <c r="H378" i="3"/>
  <c r="I378" i="3" s="1"/>
  <c r="H373" i="3"/>
  <c r="I373" i="3" s="1"/>
  <c r="H368" i="3"/>
  <c r="I368" i="3" s="1"/>
  <c r="H363" i="3"/>
  <c r="I363" i="3" s="1"/>
  <c r="H359" i="3"/>
  <c r="I359" i="3" s="1"/>
  <c r="H353" i="3"/>
  <c r="I353" i="3" s="1"/>
  <c r="H348" i="3"/>
  <c r="I348" i="3" s="1"/>
  <c r="H344" i="3"/>
  <c r="I344" i="3" s="1"/>
  <c r="H340" i="3"/>
  <c r="I340" i="3" s="1"/>
  <c r="H336" i="3"/>
  <c r="I336" i="3" s="1"/>
  <c r="H332" i="3"/>
  <c r="I332" i="3" s="1"/>
  <c r="H327" i="3"/>
  <c r="I327" i="3" s="1"/>
  <c r="H323" i="3"/>
  <c r="I323" i="3" s="1"/>
  <c r="H319" i="3"/>
  <c r="I319" i="3" s="1"/>
  <c r="H315" i="3"/>
  <c r="I315" i="3" s="1"/>
  <c r="H310" i="3"/>
  <c r="I310" i="3" s="1"/>
  <c r="H306" i="3"/>
  <c r="I306" i="3" s="1"/>
  <c r="H242" i="3"/>
  <c r="I242" i="3" s="1"/>
  <c r="H247" i="3"/>
  <c r="I247" i="3" s="1"/>
  <c r="H223" i="3"/>
  <c r="I223" i="3" s="1"/>
  <c r="H175" i="3"/>
  <c r="I175" i="3" s="1"/>
  <c r="H174" i="3"/>
  <c r="I174" i="3" s="1"/>
  <c r="H169" i="3"/>
  <c r="I169" i="3" s="1"/>
  <c r="H596" i="3"/>
  <c r="I596" i="3" s="1"/>
  <c r="H588" i="3"/>
  <c r="I588" i="3" s="1"/>
  <c r="H577" i="3"/>
  <c r="I577" i="3" s="1"/>
  <c r="H572" i="3"/>
  <c r="I572" i="3" s="1"/>
  <c r="H567" i="3"/>
  <c r="I567" i="3" s="1"/>
  <c r="H558" i="3"/>
  <c r="I558" i="3" s="1"/>
  <c r="H553" i="3"/>
  <c r="I553" i="3" s="1"/>
  <c r="H547" i="3"/>
  <c r="I547" i="3" s="1"/>
  <c r="H540" i="3"/>
  <c r="I540" i="3" s="1"/>
  <c r="H534" i="3"/>
  <c r="I534" i="3" s="1"/>
  <c r="H526" i="3"/>
  <c r="I526" i="3" s="1"/>
  <c r="H519" i="3"/>
  <c r="I519" i="3" s="1"/>
  <c r="H512" i="3"/>
  <c r="I512" i="3" s="1"/>
  <c r="H506" i="3"/>
  <c r="I506" i="3" s="1"/>
  <c r="H499" i="3"/>
  <c r="I499" i="3" s="1"/>
  <c r="H493" i="3"/>
  <c r="I493" i="3" s="1"/>
  <c r="H488" i="3"/>
  <c r="I488" i="3" s="1"/>
  <c r="H476" i="3"/>
  <c r="I476" i="3" s="1"/>
  <c r="H471" i="3"/>
  <c r="I471" i="3" s="1"/>
  <c r="H456" i="3"/>
  <c r="I456" i="3" s="1"/>
  <c r="H451" i="3"/>
  <c r="I451" i="3" s="1"/>
  <c r="H446" i="3"/>
  <c r="I446" i="3" s="1"/>
  <c r="H432" i="3"/>
  <c r="I432" i="3" s="1"/>
  <c r="H411" i="3"/>
  <c r="I411" i="3" s="1"/>
  <c r="H419" i="3"/>
  <c r="I419" i="3" s="1"/>
  <c r="H427" i="3"/>
  <c r="I427" i="3" s="1"/>
  <c r="H394" i="3"/>
  <c r="I394" i="3" s="1"/>
  <c r="H389" i="3"/>
  <c r="I389" i="3" s="1"/>
  <c r="H384" i="3"/>
  <c r="I384" i="3" s="1"/>
  <c r="H377" i="3"/>
  <c r="I377" i="3" s="1"/>
  <c r="H371" i="3"/>
  <c r="I371" i="3" s="1"/>
  <c r="H365" i="3"/>
  <c r="I365" i="3" s="1"/>
  <c r="H358" i="3"/>
  <c r="I358" i="3" s="1"/>
  <c r="H351" i="3"/>
  <c r="I351" i="3" s="1"/>
  <c r="H345" i="3"/>
  <c r="I345" i="3" s="1"/>
  <c r="H339" i="3"/>
  <c r="I339" i="3" s="1"/>
  <c r="H334" i="3"/>
  <c r="I334" i="3" s="1"/>
  <c r="H328" i="3"/>
  <c r="I328" i="3" s="1"/>
  <c r="H322" i="3"/>
  <c r="I322" i="3" s="1"/>
  <c r="H317" i="3"/>
  <c r="I317" i="3" s="1"/>
  <c r="H311" i="3"/>
  <c r="I311" i="3" s="1"/>
  <c r="H305" i="3"/>
  <c r="I305" i="3" s="1"/>
  <c r="H243" i="3"/>
  <c r="I243" i="3" s="1"/>
  <c r="H240" i="3"/>
  <c r="I240" i="3" s="1"/>
  <c r="H184" i="3"/>
  <c r="I184" i="3" s="1"/>
  <c r="H187" i="3"/>
  <c r="I187" i="3" s="1"/>
  <c r="H176" i="3"/>
  <c r="I176" i="3" s="1"/>
  <c r="H165" i="3"/>
  <c r="I165" i="3" s="1"/>
  <c r="H156" i="3"/>
  <c r="I156" i="3" s="1"/>
  <c r="H158" i="3"/>
  <c r="I158" i="3" s="1"/>
  <c r="H153" i="3"/>
  <c r="I153" i="3" s="1"/>
  <c r="H145" i="3"/>
  <c r="I145" i="3" s="1"/>
  <c r="H148" i="3"/>
  <c r="I148" i="3" s="1"/>
  <c r="H137" i="3"/>
  <c r="I137" i="3" s="1"/>
  <c r="H139" i="3"/>
  <c r="I139" i="3" s="1"/>
  <c r="H136" i="3"/>
  <c r="I136" i="3" s="1"/>
  <c r="H131" i="3"/>
  <c r="I131" i="3" s="1"/>
  <c r="H127" i="3"/>
  <c r="I127" i="3" s="1"/>
  <c r="H122" i="3"/>
  <c r="I122" i="3" s="1"/>
  <c r="H105" i="3"/>
  <c r="I105" i="3" s="1"/>
  <c r="H96" i="3"/>
  <c r="I96" i="3" s="1"/>
  <c r="H100" i="3"/>
  <c r="I100" i="3" s="1"/>
  <c r="H91" i="3"/>
  <c r="I91" i="3" s="1"/>
  <c r="H83" i="3"/>
  <c r="I83" i="3" s="1"/>
  <c r="H599" i="3"/>
  <c r="I599" i="3" s="1"/>
  <c r="H589" i="3"/>
  <c r="I589" i="3" s="1"/>
  <c r="H576" i="3"/>
  <c r="I576" i="3" s="1"/>
  <c r="H569" i="3"/>
  <c r="I569" i="3" s="1"/>
  <c r="H562" i="3"/>
  <c r="I562" i="3" s="1"/>
  <c r="H552" i="3"/>
  <c r="I552" i="3" s="1"/>
  <c r="H543" i="3"/>
  <c r="I543" i="3" s="1"/>
  <c r="H535" i="3"/>
  <c r="I535" i="3" s="1"/>
  <c r="H524" i="3"/>
  <c r="I524" i="3" s="1"/>
  <c r="H517" i="3"/>
  <c r="I517" i="3" s="1"/>
  <c r="H507" i="3"/>
  <c r="I507" i="3" s="1"/>
  <c r="H498" i="3"/>
  <c r="I498" i="3" s="1"/>
  <c r="H490" i="3"/>
  <c r="I490" i="3" s="1"/>
  <c r="H480" i="3"/>
  <c r="I480" i="3" s="1"/>
  <c r="H472" i="3"/>
  <c r="I472" i="3" s="1"/>
  <c r="H459" i="3"/>
  <c r="I459" i="3" s="1"/>
  <c r="H452" i="3"/>
  <c r="I452" i="3" s="1"/>
  <c r="H444" i="3"/>
  <c r="I444" i="3" s="1"/>
  <c r="H405" i="3"/>
  <c r="I405" i="3" s="1"/>
  <c r="H409" i="3"/>
  <c r="I409" i="3" s="1"/>
  <c r="H423" i="3"/>
  <c r="I423" i="3" s="1"/>
  <c r="H398" i="3"/>
  <c r="I398" i="3" s="1"/>
  <c r="H392" i="3"/>
  <c r="I392" i="3" s="1"/>
  <c r="H385" i="3"/>
  <c r="I385" i="3" s="1"/>
  <c r="H376" i="3"/>
  <c r="I376" i="3" s="1"/>
  <c r="H367" i="3"/>
  <c r="I367" i="3" s="1"/>
  <c r="H360" i="3"/>
  <c r="I360" i="3" s="1"/>
  <c r="H350" i="3"/>
  <c r="I350" i="3" s="1"/>
  <c r="H342" i="3"/>
  <c r="I342" i="3" s="1"/>
  <c r="H335" i="3"/>
  <c r="I335" i="3" s="1"/>
  <c r="H326" i="3"/>
  <c r="I326" i="3" s="1"/>
  <c r="H320" i="3"/>
  <c r="I320" i="3" s="1"/>
  <c r="H313" i="3"/>
  <c r="I313" i="3" s="1"/>
  <c r="H304" i="3"/>
  <c r="I304" i="3" s="1"/>
  <c r="H245" i="3"/>
  <c r="I245" i="3" s="1"/>
  <c r="H250" i="3"/>
  <c r="I250" i="3" s="1"/>
  <c r="H182" i="3"/>
  <c r="I182" i="3" s="1"/>
  <c r="H166" i="3"/>
  <c r="I166" i="3" s="1"/>
  <c r="H155" i="3"/>
  <c r="I155" i="3" s="1"/>
  <c r="H151" i="3"/>
  <c r="I151" i="3" s="1"/>
  <c r="H142" i="3"/>
  <c r="I142" i="3" s="1"/>
  <c r="H129" i="3"/>
  <c r="I129" i="3" s="1"/>
  <c r="H118" i="3"/>
  <c r="I118" i="3" s="1"/>
  <c r="H95" i="3"/>
  <c r="I95" i="3" s="1"/>
  <c r="H94" i="3"/>
  <c r="I94" i="3" s="1"/>
  <c r="H90" i="3"/>
  <c r="I90" i="3" s="1"/>
  <c r="H82" i="3"/>
  <c r="I82" i="3" s="1"/>
  <c r="H73" i="3"/>
  <c r="I73" i="3" s="1"/>
  <c r="H64" i="3"/>
  <c r="I64" i="3" s="1"/>
  <c r="H67" i="3"/>
  <c r="I67" i="3" s="1"/>
  <c r="H63" i="3"/>
  <c r="I63" i="3" s="1"/>
  <c r="H51" i="3"/>
  <c r="I51" i="3" s="1"/>
  <c r="H54" i="3"/>
  <c r="I54" i="3" s="1"/>
  <c r="H58" i="3"/>
  <c r="I58" i="3" s="1"/>
  <c r="H40" i="3"/>
  <c r="I40" i="3" s="1"/>
  <c r="H44" i="3"/>
  <c r="I44" i="3" s="1"/>
  <c r="H39" i="3"/>
  <c r="I39" i="3" s="1"/>
  <c r="H34" i="3"/>
  <c r="I34" i="3" s="1"/>
  <c r="H30" i="3"/>
  <c r="I30" i="3" s="1"/>
  <c r="H20" i="3"/>
  <c r="I20" i="3" s="1"/>
  <c r="H597" i="3"/>
  <c r="I597" i="3" s="1"/>
  <c r="H581" i="3"/>
  <c r="I581" i="3" s="1"/>
  <c r="H575" i="3"/>
  <c r="I575" i="3" s="1"/>
  <c r="H568" i="3"/>
  <c r="I568" i="3" s="1"/>
  <c r="H557" i="3"/>
  <c r="I557" i="3" s="1"/>
  <c r="H549" i="3"/>
  <c r="I549" i="3" s="1"/>
  <c r="H542" i="3"/>
  <c r="I542" i="3" s="1"/>
  <c r="H533" i="3"/>
  <c r="I533" i="3" s="1"/>
  <c r="H523" i="3"/>
  <c r="I523" i="3" s="1"/>
  <c r="H515" i="3"/>
  <c r="I515" i="3" s="1"/>
  <c r="H504" i="3"/>
  <c r="I504" i="3" s="1"/>
  <c r="H496" i="3"/>
  <c r="I496" i="3" s="1"/>
  <c r="H489" i="3"/>
  <c r="I489" i="3" s="1"/>
  <c r="H477" i="3"/>
  <c r="I477" i="3" s="1"/>
  <c r="H469" i="3"/>
  <c r="I469" i="3" s="1"/>
  <c r="H449" i="3"/>
  <c r="I449" i="3" s="1"/>
  <c r="H442" i="3"/>
  <c r="I442" i="3" s="1"/>
  <c r="H435" i="3"/>
  <c r="I435" i="3" s="1"/>
  <c r="H413" i="3"/>
  <c r="I413" i="3" s="1"/>
  <c r="H417" i="3"/>
  <c r="I417" i="3" s="1"/>
  <c r="H397" i="3"/>
  <c r="I397" i="3" s="1"/>
  <c r="H390" i="3"/>
  <c r="I390" i="3" s="1"/>
  <c r="H382" i="3"/>
  <c r="I382" i="3" s="1"/>
  <c r="H375" i="3"/>
  <c r="I375" i="3" s="1"/>
  <c r="H366" i="3"/>
  <c r="I366" i="3" s="1"/>
  <c r="H357" i="3"/>
  <c r="I357" i="3" s="1"/>
  <c r="H347" i="3"/>
  <c r="I347" i="3" s="1"/>
  <c r="H341" i="3"/>
  <c r="I341" i="3" s="1"/>
  <c r="H333" i="3"/>
  <c r="I333" i="3" s="1"/>
  <c r="H325" i="3"/>
  <c r="I325" i="3" s="1"/>
  <c r="H318" i="3"/>
  <c r="I318" i="3" s="1"/>
  <c r="H309" i="3"/>
  <c r="I309" i="3" s="1"/>
  <c r="H241" i="3"/>
  <c r="I241" i="3" s="1"/>
  <c r="H246" i="3"/>
  <c r="I246" i="3" s="1"/>
  <c r="H224" i="3"/>
  <c r="I224" i="3" s="1"/>
  <c r="H183" i="3"/>
  <c r="I183" i="3" s="1"/>
  <c r="H186" i="3"/>
  <c r="I186" i="3" s="1"/>
  <c r="H167" i="3"/>
  <c r="I167" i="3" s="1"/>
  <c r="H143" i="3"/>
  <c r="I143" i="3" s="1"/>
  <c r="H147" i="3"/>
  <c r="I147" i="3" s="1"/>
  <c r="H140" i="3"/>
  <c r="I140" i="3" s="1"/>
  <c r="H119" i="3"/>
  <c r="I119" i="3" s="1"/>
  <c r="H123" i="3"/>
  <c r="I123" i="3" s="1"/>
  <c r="H108" i="3"/>
  <c r="I108" i="3" s="1"/>
  <c r="H97" i="3"/>
  <c r="I97" i="3" s="1"/>
  <c r="H87" i="3"/>
  <c r="I87" i="3" s="1"/>
  <c r="H84" i="3"/>
  <c r="I84" i="3" s="1"/>
  <c r="H76" i="3"/>
  <c r="I76" i="3" s="1"/>
  <c r="H78" i="3"/>
  <c r="I78" i="3" s="1"/>
  <c r="H65" i="3"/>
  <c r="I65" i="3" s="1"/>
  <c r="H49" i="3"/>
  <c r="I49" i="3" s="1"/>
  <c r="H52" i="3"/>
  <c r="I52" i="3" s="1"/>
  <c r="H55" i="3"/>
  <c r="I55" i="3" s="1"/>
  <c r="H59" i="3"/>
  <c r="I59" i="3" s="1"/>
  <c r="H41" i="3"/>
  <c r="I41" i="3" s="1"/>
  <c r="H45" i="3"/>
  <c r="I45" i="3" s="1"/>
  <c r="H31" i="3"/>
  <c r="I31" i="3" s="1"/>
  <c r="H35" i="3"/>
  <c r="I35" i="3" s="1"/>
  <c r="I26" i="3"/>
  <c r="I27" i="3" s="1"/>
  <c r="H21" i="3"/>
  <c r="I21" i="3" s="1"/>
  <c r="H593" i="3"/>
  <c r="I593" i="3" s="1"/>
  <c r="H580" i="3"/>
  <c r="I580" i="3" s="1"/>
  <c r="H573" i="3"/>
  <c r="I573" i="3" s="1"/>
  <c r="H564" i="3"/>
  <c r="I564" i="3" s="1"/>
  <c r="H556" i="3"/>
  <c r="I556" i="3" s="1"/>
  <c r="H548" i="3"/>
  <c r="I548" i="3" s="1"/>
  <c r="H538" i="3"/>
  <c r="I538" i="3" s="1"/>
  <c r="H529" i="3"/>
  <c r="I529" i="3" s="1"/>
  <c r="H522" i="3"/>
  <c r="I522" i="3" s="1"/>
  <c r="H511" i="3"/>
  <c r="I511" i="3" s="1"/>
  <c r="H502" i="3"/>
  <c r="I502" i="3" s="1"/>
  <c r="H494" i="3"/>
  <c r="I494" i="3" s="1"/>
  <c r="H486" i="3"/>
  <c r="I486" i="3" s="1"/>
  <c r="H571" i="3"/>
  <c r="I571" i="3" s="1"/>
  <c r="H537" i="3"/>
  <c r="I537" i="3" s="1"/>
  <c r="H501" i="3"/>
  <c r="I501" i="3" s="1"/>
  <c r="H470" i="3"/>
  <c r="I470" i="3" s="1"/>
  <c r="H454" i="3"/>
  <c r="I454" i="3" s="1"/>
  <c r="H436" i="3"/>
  <c r="I436" i="3" s="1"/>
  <c r="H415" i="3"/>
  <c r="I415" i="3" s="1"/>
  <c r="H401" i="3"/>
  <c r="I401" i="3" s="1"/>
  <c r="H386" i="3"/>
  <c r="I386" i="3" s="1"/>
  <c r="H369" i="3"/>
  <c r="I369" i="3" s="1"/>
  <c r="H352" i="3"/>
  <c r="I352" i="3" s="1"/>
  <c r="H337" i="3"/>
  <c r="I337" i="3" s="1"/>
  <c r="H321" i="3"/>
  <c r="I321" i="3" s="1"/>
  <c r="H307" i="3"/>
  <c r="I307" i="3" s="1"/>
  <c r="H249" i="3"/>
  <c r="I249" i="3" s="1"/>
  <c r="H185" i="3"/>
  <c r="I185" i="3" s="1"/>
  <c r="H157" i="3"/>
  <c r="I157" i="3" s="1"/>
  <c r="H146" i="3"/>
  <c r="I146" i="3" s="1"/>
  <c r="H125" i="3"/>
  <c r="I125" i="3" s="1"/>
  <c r="H99" i="3"/>
  <c r="I99" i="3" s="1"/>
  <c r="H81" i="3"/>
  <c r="I81" i="3" s="1"/>
  <c r="H75" i="3"/>
  <c r="I75" i="3" s="1"/>
  <c r="H71" i="3"/>
  <c r="I71" i="3" s="1"/>
  <c r="H69" i="3"/>
  <c r="I69" i="3" s="1"/>
  <c r="H48" i="3"/>
  <c r="I48" i="3" s="1"/>
  <c r="H37" i="3"/>
  <c r="I37" i="3" s="1"/>
  <c r="H23" i="3"/>
  <c r="I23" i="3" s="1"/>
  <c r="H602" i="3"/>
  <c r="I602" i="3" s="1"/>
  <c r="I603" i="3" s="1"/>
  <c r="H563" i="3"/>
  <c r="I563" i="3" s="1"/>
  <c r="H527" i="3"/>
  <c r="I527" i="3" s="1"/>
  <c r="H492" i="3"/>
  <c r="I492" i="3" s="1"/>
  <c r="H466" i="3"/>
  <c r="I466" i="3" s="1"/>
  <c r="H448" i="3"/>
  <c r="I448" i="3" s="1"/>
  <c r="H433" i="3"/>
  <c r="I433" i="3" s="1"/>
  <c r="H425" i="3"/>
  <c r="I425" i="3" s="1"/>
  <c r="H396" i="3"/>
  <c r="I396" i="3" s="1"/>
  <c r="H380" i="3"/>
  <c r="I380" i="3" s="1"/>
  <c r="H362" i="3"/>
  <c r="I362" i="3" s="1"/>
  <c r="H346" i="3"/>
  <c r="I346" i="3" s="1"/>
  <c r="H331" i="3"/>
  <c r="I331" i="3" s="1"/>
  <c r="H316" i="3"/>
  <c r="I316" i="3" s="1"/>
  <c r="H120" i="3"/>
  <c r="I120" i="3" s="1"/>
  <c r="H106" i="3"/>
  <c r="I106" i="3" s="1"/>
  <c r="H88" i="3"/>
  <c r="I88" i="3" s="1"/>
  <c r="H80" i="3"/>
  <c r="I80" i="3" s="1"/>
  <c r="H56" i="3"/>
  <c r="I56" i="3" s="1"/>
  <c r="H42" i="3"/>
  <c r="I42" i="3" s="1"/>
  <c r="H32" i="3"/>
  <c r="I32" i="3" s="1"/>
  <c r="H19" i="3"/>
  <c r="I19" i="3" s="1"/>
  <c r="H591" i="3"/>
  <c r="I591" i="3" s="1"/>
  <c r="H554" i="3"/>
  <c r="I554" i="3" s="1"/>
  <c r="H518" i="3"/>
  <c r="I518" i="3" s="1"/>
  <c r="H485" i="3"/>
  <c r="I485" i="3" s="1"/>
  <c r="H460" i="3"/>
  <c r="I460" i="3" s="1"/>
  <c r="H447" i="3"/>
  <c r="I447" i="3" s="1"/>
  <c r="H431" i="3"/>
  <c r="I431" i="3" s="1"/>
  <c r="I437" i="3" s="1"/>
  <c r="H393" i="3"/>
  <c r="I393" i="3" s="1"/>
  <c r="H379" i="3"/>
  <c r="I379" i="3" s="1"/>
  <c r="H361" i="3"/>
  <c r="I361" i="3" s="1"/>
  <c r="H343" i="3"/>
  <c r="I343" i="3" s="1"/>
  <c r="H329" i="3"/>
  <c r="I329" i="3" s="1"/>
  <c r="H314" i="3"/>
  <c r="I314" i="3" s="1"/>
  <c r="H244" i="3"/>
  <c r="I244" i="3" s="1"/>
  <c r="H181" i="3"/>
  <c r="I181" i="3" s="1"/>
  <c r="H178" i="3"/>
  <c r="I178" i="3" s="1"/>
  <c r="H160" i="3"/>
  <c r="I160" i="3" s="1"/>
  <c r="H152" i="3"/>
  <c r="I152" i="3" s="1"/>
  <c r="H149" i="3"/>
  <c r="I149" i="3" s="1"/>
  <c r="H132" i="3"/>
  <c r="I132" i="3" s="1"/>
  <c r="H121" i="3"/>
  <c r="I121" i="3" s="1"/>
  <c r="H104" i="3"/>
  <c r="I104" i="3" s="1"/>
  <c r="H89" i="3"/>
  <c r="I89" i="3" s="1"/>
  <c r="H72" i="3"/>
  <c r="I72" i="3" s="1"/>
  <c r="H77" i="3"/>
  <c r="I77" i="3" s="1"/>
  <c r="H66" i="3"/>
  <c r="I66" i="3" s="1"/>
  <c r="H50" i="3"/>
  <c r="I50" i="3" s="1"/>
  <c r="H57" i="3"/>
  <c r="I57" i="3" s="1"/>
  <c r="H43" i="3"/>
  <c r="I43" i="3" s="1"/>
  <c r="H33" i="3"/>
  <c r="I33" i="3" s="1"/>
  <c r="H18" i="3"/>
  <c r="I18" i="3" s="1"/>
  <c r="H579" i="3"/>
  <c r="I579" i="3" s="1"/>
  <c r="H545" i="3"/>
  <c r="I545" i="3" s="1"/>
  <c r="H508" i="3"/>
  <c r="I508" i="3" s="1"/>
  <c r="H478" i="3"/>
  <c r="I478" i="3" s="1"/>
  <c r="H455" i="3"/>
  <c r="I455" i="3" s="1"/>
  <c r="H441" i="3"/>
  <c r="I441" i="3" s="1"/>
  <c r="H407" i="3"/>
  <c r="I407" i="3" s="1"/>
  <c r="H421" i="3"/>
  <c r="I421" i="3" s="1"/>
  <c r="H400" i="3"/>
  <c r="I400" i="3" s="1"/>
  <c r="H388" i="3"/>
  <c r="I388" i="3" s="1"/>
  <c r="H372" i="3"/>
  <c r="I372" i="3" s="1"/>
  <c r="H356" i="3"/>
  <c r="I356" i="3" s="1"/>
  <c r="H338" i="3"/>
  <c r="I338" i="3" s="1"/>
  <c r="H324" i="3"/>
  <c r="I324" i="3" s="1"/>
  <c r="H308" i="3"/>
  <c r="I308" i="3" s="1"/>
  <c r="H248" i="3"/>
  <c r="I248" i="3" s="1"/>
  <c r="H170" i="3"/>
  <c r="I170" i="3" s="1"/>
  <c r="H144" i="3"/>
  <c r="I144" i="3" s="1"/>
  <c r="H138" i="3"/>
  <c r="I138" i="3" s="1"/>
  <c r="H128" i="3"/>
  <c r="I128" i="3" s="1"/>
  <c r="H124" i="3"/>
  <c r="I124" i="3" s="1"/>
  <c r="H98" i="3"/>
  <c r="I98" i="3" s="1"/>
  <c r="H86" i="3"/>
  <c r="I86" i="3" s="1"/>
  <c r="H74" i="3"/>
  <c r="I74" i="3" s="1"/>
  <c r="H68" i="3"/>
  <c r="I68" i="3" s="1"/>
  <c r="H53" i="3"/>
  <c r="I53" i="3" s="1"/>
  <c r="H46" i="3"/>
  <c r="I46" i="3" s="1"/>
  <c r="H36" i="3"/>
  <c r="I36" i="3" s="1"/>
  <c r="H22" i="3"/>
  <c r="I22" i="3" s="1"/>
  <c r="H198" i="3"/>
  <c r="I198" i="3" s="1"/>
  <c r="H278" i="3"/>
  <c r="I278" i="3" s="1"/>
  <c r="H285" i="3"/>
  <c r="I285" i="3" s="1"/>
  <c r="H283" i="3"/>
  <c r="I283" i="3" s="1"/>
  <c r="H281" i="3"/>
  <c r="I281" i="3" s="1"/>
  <c r="H279" i="3"/>
  <c r="I279" i="3" s="1"/>
  <c r="H282" i="3"/>
  <c r="I282" i="3" s="1"/>
  <c r="H284" i="3"/>
  <c r="I284" i="3" s="1"/>
  <c r="H280" i="3"/>
  <c r="I280" i="3" s="1"/>
  <c r="H288" i="3"/>
  <c r="I288" i="3" s="1"/>
  <c r="H286" i="3"/>
  <c r="I286" i="3" s="1"/>
  <c r="H289" i="3"/>
  <c r="I289" i="3" s="1"/>
  <c r="H287" i="3"/>
  <c r="I287" i="3" s="1"/>
  <c r="H276" i="3"/>
  <c r="I276" i="3" s="1"/>
  <c r="H277" i="3"/>
  <c r="I277" i="3" s="1"/>
  <c r="H275" i="3"/>
  <c r="I275" i="3" s="1"/>
  <c r="H273" i="3"/>
  <c r="I273" i="3" s="1"/>
  <c r="H272" i="3"/>
  <c r="I272" i="3" s="1"/>
  <c r="H274" i="3"/>
  <c r="I274" i="3" s="1"/>
  <c r="H271" i="3"/>
  <c r="I271" i="3" s="1"/>
  <c r="H269" i="3"/>
  <c r="I269" i="3" s="1"/>
  <c r="H270" i="3"/>
  <c r="I270" i="3" s="1"/>
  <c r="H268" i="3"/>
  <c r="I268" i="3" s="1"/>
  <c r="H265" i="3"/>
  <c r="I265" i="3" s="1"/>
  <c r="H266" i="3"/>
  <c r="I266" i="3" s="1"/>
  <c r="H267" i="3"/>
  <c r="I267" i="3" s="1"/>
  <c r="H263" i="3"/>
  <c r="I263" i="3" s="1"/>
  <c r="H264" i="3"/>
  <c r="I264" i="3" s="1"/>
  <c r="H261" i="3"/>
  <c r="I261" i="3" s="1"/>
  <c r="H262" i="3"/>
  <c r="I262" i="3" s="1"/>
  <c r="H259" i="3"/>
  <c r="I259" i="3" s="1"/>
  <c r="H260" i="3"/>
  <c r="I260" i="3" s="1"/>
  <c r="H255" i="3"/>
  <c r="I255" i="3" s="1"/>
  <c r="H300" i="3"/>
  <c r="I300" i="3" s="1"/>
  <c r="H299" i="3"/>
  <c r="I299" i="3" s="1"/>
  <c r="H297" i="3"/>
  <c r="I297" i="3" s="1"/>
  <c r="H254" i="3"/>
  <c r="I254" i="3" s="1"/>
  <c r="H161" i="3"/>
  <c r="I161" i="3" s="1"/>
  <c r="H292" i="3"/>
  <c r="I292" i="3" s="1"/>
  <c r="H294" i="3"/>
  <c r="I294" i="3" s="1"/>
  <c r="H257" i="3"/>
  <c r="I257" i="3" s="1"/>
  <c r="H256" i="3"/>
  <c r="I256" i="3" s="1"/>
  <c r="H583" i="3"/>
  <c r="I583" i="3" s="1"/>
  <c r="H298" i="3"/>
  <c r="I298" i="3" s="1"/>
  <c r="H293" i="3"/>
  <c r="I293" i="3" s="1"/>
  <c r="H112" i="3"/>
  <c r="I112" i="3" s="1"/>
  <c r="H258" i="3"/>
  <c r="I258" i="3" s="1"/>
  <c r="H113" i="3"/>
  <c r="I113" i="3" s="1"/>
  <c r="H295" i="3"/>
  <c r="I295" i="3" s="1"/>
  <c r="H296" i="3"/>
  <c r="I296" i="3" s="1"/>
  <c r="H252" i="3"/>
  <c r="I252" i="3" s="1"/>
  <c r="H114" i="3"/>
  <c r="I114" i="3" s="1"/>
  <c r="H111" i="3"/>
  <c r="I111" i="3" s="1"/>
  <c r="H291" i="3"/>
  <c r="I291" i="3" s="1"/>
  <c r="H253" i="3"/>
  <c r="I253" i="3" s="1"/>
  <c r="I13" i="3"/>
  <c r="I14" i="3" s="1"/>
  <c r="C6" i="36"/>
  <c r="C6" i="37"/>
  <c r="C6" i="34"/>
  <c r="C6" i="35"/>
  <c r="C6" i="31"/>
  <c r="C6" i="10"/>
  <c r="C6" i="11"/>
  <c r="C6" i="15"/>
  <c r="C6" i="5"/>
  <c r="C6" i="27"/>
  <c r="C6" i="32"/>
  <c r="C6" i="26"/>
  <c r="C6" i="9"/>
  <c r="C6" i="19"/>
  <c r="C6" i="13"/>
  <c r="A13" i="10"/>
  <c r="I584" i="3" l="1"/>
  <c r="I109" i="3"/>
  <c r="O39" i="4" s="1"/>
  <c r="I115" i="3"/>
  <c r="I171" i="3"/>
  <c r="I461" i="3"/>
  <c r="O66" i="4" s="1"/>
  <c r="I301" i="3"/>
  <c r="I101" i="3"/>
  <c r="I162" i="3"/>
  <c r="I594" i="3"/>
  <c r="I428" i="3"/>
  <c r="O60" i="4" s="1"/>
  <c r="I481" i="3"/>
  <c r="I60" i="3"/>
  <c r="I133" i="3"/>
  <c r="I402" i="3"/>
  <c r="I600" i="3"/>
  <c r="I92" i="3"/>
  <c r="O81" i="4"/>
  <c r="M83" i="4" s="1"/>
  <c r="O21" i="4"/>
  <c r="O27" i="4"/>
  <c r="C29" i="4" s="1"/>
  <c r="L12" i="34"/>
  <c r="O42" i="4" l="1"/>
  <c r="M44" i="4" s="1"/>
  <c r="O63" i="4"/>
  <c r="O36" i="4"/>
  <c r="I38" i="4" s="1"/>
  <c r="O57" i="4"/>
  <c r="O72" i="4"/>
  <c r="O51" i="4"/>
  <c r="O30" i="4"/>
  <c r="O48" i="4"/>
  <c r="M50" i="4" s="1"/>
  <c r="M62" i="4"/>
  <c r="P62" i="4" s="1"/>
  <c r="O78" i="4"/>
  <c r="M80" i="4" s="1"/>
  <c r="P80" i="4" s="1"/>
  <c r="O75" i="4"/>
  <c r="O69" i="4"/>
  <c r="M71" i="4" s="1"/>
  <c r="O54" i="4"/>
  <c r="I56" i="4" s="1"/>
  <c r="O45" i="4"/>
  <c r="O33" i="4"/>
  <c r="E35" i="4" s="1"/>
  <c r="K68" i="4"/>
  <c r="I68" i="4"/>
  <c r="M23" i="4"/>
  <c r="C23" i="4"/>
  <c r="K23" i="4"/>
  <c r="I23" i="4"/>
  <c r="G23" i="4"/>
  <c r="E23" i="4"/>
  <c r="A12" i="19"/>
  <c r="B11" i="19"/>
  <c r="A11" i="19"/>
  <c r="A10" i="19"/>
  <c r="P68" i="4" l="1"/>
  <c r="R67" i="4"/>
  <c r="M77" i="4"/>
  <c r="K77" i="4"/>
  <c r="I59" i="4"/>
  <c r="G59" i="4"/>
  <c r="K65" i="4"/>
  <c r="M65" i="4"/>
  <c r="R70" i="4"/>
  <c r="P71" i="4"/>
  <c r="M53" i="4"/>
  <c r="K53" i="4"/>
  <c r="I74" i="4"/>
  <c r="K74" i="4"/>
  <c r="M74" i="4"/>
  <c r="P23" i="4"/>
  <c r="G41" i="4"/>
  <c r="G50" i="4"/>
  <c r="G38" i="4"/>
  <c r="P65" i="4" l="1"/>
  <c r="P77" i="4"/>
  <c r="M86" i="4"/>
  <c r="P74" i="4"/>
  <c r="F16" i="3"/>
  <c r="I16" i="3" s="1"/>
  <c r="I24" i="3" l="1"/>
  <c r="I604" i="3" s="1"/>
  <c r="K41" i="4"/>
  <c r="I41" i="4"/>
  <c r="L17" i="3" l="1"/>
  <c r="J12" i="3"/>
  <c r="O24" i="4"/>
  <c r="O84" i="4" s="1"/>
  <c r="L238" i="3"/>
  <c r="L232" i="3"/>
  <c r="L228" i="3"/>
  <c r="L227" i="3"/>
  <c r="L230" i="3"/>
  <c r="L229" i="3"/>
  <c r="L231" i="3"/>
  <c r="L235" i="3"/>
  <c r="L234" i="3"/>
  <c r="L233" i="3"/>
  <c r="L219" i="3"/>
  <c r="L218" i="3"/>
  <c r="L220" i="3"/>
  <c r="L221" i="3"/>
  <c r="L217" i="3"/>
  <c r="L207" i="3"/>
  <c r="L214" i="3"/>
  <c r="L213" i="3"/>
  <c r="L208" i="3"/>
  <c r="L210" i="3"/>
  <c r="L209" i="3"/>
  <c r="L211" i="3"/>
  <c r="L212" i="3"/>
  <c r="L215" i="3"/>
  <c r="L216" i="3"/>
  <c r="L193" i="3"/>
  <c r="L190" i="3"/>
  <c r="L195" i="3"/>
  <c r="L196" i="3"/>
  <c r="L191" i="3"/>
  <c r="L192" i="3"/>
  <c r="L197" i="3"/>
  <c r="L194" i="3"/>
  <c r="L200" i="3"/>
  <c r="L201" i="3"/>
  <c r="L204" i="3"/>
  <c r="L203" i="3"/>
  <c r="L202" i="3"/>
  <c r="L199" i="3"/>
  <c r="L206" i="3"/>
  <c r="L205" i="3"/>
  <c r="L189" i="3"/>
  <c r="L236" i="3"/>
  <c r="L226" i="3"/>
  <c r="L237" i="3"/>
  <c r="L225" i="3"/>
  <c r="L179" i="3"/>
  <c r="J15" i="3"/>
  <c r="L180" i="3"/>
  <c r="J163" i="3"/>
  <c r="J429" i="3"/>
  <c r="J110" i="3"/>
  <c r="J462" i="3"/>
  <c r="J93" i="3"/>
  <c r="J438" i="3"/>
  <c r="J601" i="3"/>
  <c r="J25" i="3"/>
  <c r="J302" i="3"/>
  <c r="J61" i="3"/>
  <c r="J134" i="3"/>
  <c r="J595" i="3"/>
  <c r="I608" i="3"/>
  <c r="J102" i="3"/>
  <c r="J172" i="3"/>
  <c r="J403" i="3"/>
  <c r="J28" i="3"/>
  <c r="J116" i="3"/>
  <c r="J482" i="3"/>
  <c r="J585" i="3"/>
  <c r="I35" i="4"/>
  <c r="G35" i="4"/>
  <c r="P41" i="4"/>
  <c r="J604" i="3" l="1"/>
  <c r="C26" i="4"/>
  <c r="C86" i="4" s="1"/>
  <c r="E26" i="4"/>
  <c r="E29" i="4"/>
  <c r="P35" i="4"/>
  <c r="K44" i="4" l="1"/>
  <c r="I50" i="4"/>
  <c r="K50" i="4"/>
  <c r="P26" i="4"/>
  <c r="P29" i="4"/>
  <c r="R29" i="4"/>
  <c r="P44" i="4" l="1"/>
  <c r="P50" i="4"/>
  <c r="C88" i="4"/>
  <c r="R43" i="4"/>
  <c r="R49" i="4"/>
  <c r="E32" i="4" l="1"/>
  <c r="E86" i="4" s="1"/>
  <c r="G32" i="4"/>
  <c r="G86" i="4" s="1"/>
  <c r="P32" i="4" l="1"/>
  <c r="R31" i="4"/>
  <c r="E88" i="4"/>
  <c r="R37" i="4" l="1"/>
  <c r="P38" i="4"/>
  <c r="P53" i="4" l="1"/>
  <c r="L245" i="3" l="1"/>
  <c r="L188" i="3"/>
  <c r="L198" i="3"/>
  <c r="L250" i="3"/>
  <c r="L248" i="3"/>
  <c r="L249" i="3"/>
  <c r="L149" i="3"/>
  <c r="L427" i="3"/>
  <c r="L148" i="3"/>
  <c r="L577" i="3"/>
  <c r="L574" i="3"/>
  <c r="L570" i="3"/>
  <c r="L569" i="3"/>
  <c r="L572" i="3"/>
  <c r="L571" i="3"/>
  <c r="L573" i="3"/>
  <c r="P56" i="4" l="1"/>
  <c r="P59" i="4" l="1"/>
  <c r="C87" i="4"/>
  <c r="E87" i="4"/>
  <c r="C89" i="4"/>
  <c r="E89" i="4"/>
  <c r="M87" i="4" l="1"/>
  <c r="I47" i="4" l="1"/>
  <c r="I86" i="4" l="1"/>
  <c r="L557" i="3"/>
  <c r="L80" i="3"/>
  <c r="L558" i="3"/>
  <c r="L556" i="3"/>
  <c r="L545" i="3"/>
  <c r="L549" i="3"/>
  <c r="L548" i="3"/>
  <c r="L546" i="3"/>
  <c r="L547" i="3"/>
  <c r="L552" i="3"/>
  <c r="L551" i="3"/>
  <c r="L553" i="3"/>
  <c r="L555" i="3"/>
  <c r="L554" i="3"/>
  <c r="L560" i="3"/>
  <c r="L540" i="3"/>
  <c r="L541" i="3"/>
  <c r="L543" i="3"/>
  <c r="L542" i="3"/>
  <c r="L535" i="3"/>
  <c r="L536" i="3"/>
  <c r="L534" i="3"/>
  <c r="L538" i="3"/>
  <c r="L537" i="3"/>
  <c r="L419" i="3"/>
  <c r="L562" i="3"/>
  <c r="L564" i="3"/>
  <c r="L563" i="3"/>
  <c r="L524" i="3"/>
  <c r="L523" i="3"/>
  <c r="L433" i="3"/>
  <c r="L525" i="3"/>
  <c r="L505" i="3"/>
  <c r="L504" i="3"/>
  <c r="L509" i="3"/>
  <c r="L507" i="3"/>
  <c r="L508" i="3"/>
  <c r="L506" i="3"/>
  <c r="L529" i="3"/>
  <c r="L147" i="3"/>
  <c r="L527" i="3"/>
  <c r="L526" i="3"/>
  <c r="L496" i="3"/>
  <c r="L486" i="3"/>
  <c r="L490" i="3"/>
  <c r="L492" i="3"/>
  <c r="L493" i="3"/>
  <c r="L491" i="3"/>
  <c r="L314" i="3"/>
  <c r="L316" i="3"/>
  <c r="L323" i="3"/>
  <c r="L321" i="3"/>
  <c r="L319" i="3"/>
  <c r="L317" i="3"/>
  <c r="L318" i="3"/>
  <c r="L320" i="3"/>
  <c r="L315" i="3"/>
  <c r="L322" i="3"/>
  <c r="L324" i="3"/>
  <c r="L328" i="3"/>
  <c r="L329" i="3"/>
  <c r="L326" i="3"/>
  <c r="L327" i="3"/>
  <c r="L325" i="3"/>
  <c r="L512" i="3"/>
  <c r="L511" i="3"/>
  <c r="L499" i="3"/>
  <c r="L502" i="3"/>
  <c r="L498" i="3"/>
  <c r="L501" i="3"/>
  <c r="L500" i="3"/>
  <c r="L583" i="3"/>
  <c r="L533" i="3"/>
  <c r="L532" i="3"/>
  <c r="L515" i="3"/>
  <c r="L519" i="3"/>
  <c r="L516" i="3"/>
  <c r="L517" i="3"/>
  <c r="L518" i="3"/>
  <c r="L522" i="3"/>
  <c r="L520" i="3"/>
  <c r="L426" i="3"/>
  <c r="L566" i="3"/>
  <c r="L568" i="3"/>
  <c r="L576" i="3"/>
  <c r="L575" i="3"/>
  <c r="L487" i="3"/>
  <c r="L567" i="3"/>
  <c r="L488" i="3"/>
  <c r="L489" i="3"/>
  <c r="L494" i="3"/>
  <c r="L578" i="3"/>
  <c r="L471" i="3"/>
  <c r="L472" i="3"/>
  <c r="L377" i="3"/>
  <c r="L401" i="3"/>
  <c r="L399" i="3"/>
  <c r="L393" i="3"/>
  <c r="L392" i="3"/>
  <c r="L390" i="3"/>
  <c r="L395" i="3"/>
  <c r="L397" i="3"/>
  <c r="L396" i="3"/>
  <c r="L394" i="3"/>
  <c r="L398" i="3"/>
  <c r="L391" i="3"/>
  <c r="L361" i="3"/>
  <c r="L389" i="3"/>
  <c r="L360" i="3"/>
  <c r="L359" i="3"/>
  <c r="L358" i="3"/>
  <c r="L385" i="3"/>
  <c r="L382" i="3"/>
  <c r="L388" i="3"/>
  <c r="L386" i="3"/>
  <c r="L387" i="3"/>
  <c r="L384" i="3"/>
  <c r="L348" i="3"/>
  <c r="L357" i="3"/>
  <c r="L368" i="3"/>
  <c r="L369" i="3"/>
  <c r="L366" i="3"/>
  <c r="L371" i="3"/>
  <c r="L365" i="3"/>
  <c r="L363" i="3"/>
  <c r="L362" i="3"/>
  <c r="L367" i="3"/>
  <c r="L372" i="3"/>
  <c r="L378" i="3"/>
  <c r="L376" i="3"/>
  <c r="L375" i="3"/>
  <c r="L373" i="3"/>
  <c r="L383" i="3"/>
  <c r="L380" i="3"/>
  <c r="L379" i="3"/>
  <c r="L356" i="3"/>
  <c r="L593" i="3"/>
  <c r="L331" i="3"/>
  <c r="L592" i="3"/>
  <c r="L131" i="3"/>
  <c r="L118" i="3"/>
  <c r="L83" i="3"/>
  <c r="L39" i="3"/>
  <c r="L154" i="3"/>
  <c r="L129" i="3"/>
  <c r="L431" i="3"/>
  <c r="L411" i="3"/>
  <c r="L239" i="3"/>
  <c r="L166" i="3"/>
  <c r="L597" i="3"/>
  <c r="L241" i="3"/>
  <c r="L146" i="3"/>
  <c r="L88" i="3"/>
  <c r="L441" i="3"/>
  <c r="L48" i="3"/>
  <c r="L170" i="3"/>
  <c r="L142" i="3"/>
  <c r="L139" i="3"/>
  <c r="L30" i="3"/>
  <c r="L105" i="3"/>
  <c r="L223" i="3"/>
  <c r="L32" i="3"/>
  <c r="L72" i="3"/>
  <c r="L132" i="3"/>
  <c r="L406" i="3"/>
  <c r="L31" i="3"/>
  <c r="L306" i="3"/>
  <c r="L580" i="3"/>
  <c r="L97" i="3"/>
  <c r="L436" i="3"/>
  <c r="L69" i="3"/>
  <c r="L26" i="3"/>
  <c r="L94" i="3"/>
  <c r="L181" i="3"/>
  <c r="L114" i="3"/>
  <c r="L448" i="3"/>
  <c r="L113" i="3"/>
  <c r="L418" i="3"/>
  <c r="L478" i="3"/>
  <c r="L167" i="3"/>
  <c r="L454" i="3"/>
  <c r="L79" i="3"/>
  <c r="L458" i="3"/>
  <c r="L65" i="3"/>
  <c r="L247" i="3"/>
  <c r="L599" i="3"/>
  <c r="L332" i="3"/>
  <c r="L242" i="3"/>
  <c r="L185" i="3"/>
  <c r="L405" i="3"/>
  <c r="L40" i="3"/>
  <c r="L18" i="3"/>
  <c r="L304" i="3"/>
  <c r="L452" i="3"/>
  <c r="L84" i="3"/>
  <c r="L42" i="3"/>
  <c r="L414" i="3"/>
  <c r="L442" i="3"/>
  <c r="L416" i="3"/>
  <c r="L64" i="3"/>
  <c r="L108" i="3"/>
  <c r="L408" i="3"/>
  <c r="L178" i="3"/>
  <c r="L244" i="3"/>
  <c r="L412" i="3"/>
  <c r="L422" i="3"/>
  <c r="L453" i="3"/>
  <c r="L183" i="3"/>
  <c r="L417" i="3"/>
  <c r="L82" i="3"/>
  <c r="L21" i="3"/>
  <c r="L345" i="3"/>
  <c r="L87" i="3"/>
  <c r="L68" i="3"/>
  <c r="L240" i="3"/>
  <c r="L469" i="3"/>
  <c r="L151" i="3"/>
  <c r="L182" i="3"/>
  <c r="L112" i="3"/>
  <c r="L591" i="3"/>
  <c r="L347" i="3"/>
  <c r="L35" i="3"/>
  <c r="L95" i="3"/>
  <c r="L351" i="3"/>
  <c r="L78" i="3"/>
  <c r="L246" i="3"/>
  <c r="L581" i="3"/>
  <c r="L480" i="3"/>
  <c r="L475" i="3"/>
  <c r="L589" i="3"/>
  <c r="L598" i="3"/>
  <c r="L352" i="3"/>
  <c r="L128" i="3"/>
  <c r="L187" i="3"/>
  <c r="L464" i="3"/>
  <c r="L440" i="3"/>
  <c r="L313" i="3"/>
  <c r="L91" i="3"/>
  <c r="L43" i="3"/>
  <c r="L16" i="3"/>
  <c r="L415" i="3"/>
  <c r="L99" i="3"/>
  <c r="L485" i="3"/>
  <c r="L432" i="3"/>
  <c r="L602" i="3"/>
  <c r="L421" i="3"/>
  <c r="L353" i="3"/>
  <c r="L243" i="3"/>
  <c r="L81" i="3"/>
  <c r="L222" i="3"/>
  <c r="L165" i="3"/>
  <c r="L186" i="3"/>
  <c r="L456" i="3"/>
  <c r="L447" i="3"/>
  <c r="L106" i="3"/>
  <c r="L175" i="3"/>
  <c r="L127" i="3"/>
  <c r="L174" i="3"/>
  <c r="L70" i="3"/>
  <c r="L176" i="3"/>
  <c r="L33" i="3"/>
  <c r="L45" i="3"/>
  <c r="L63" i="3"/>
  <c r="L474" i="3"/>
  <c r="L44" i="3"/>
  <c r="L150" i="3"/>
  <c r="L470" i="3"/>
  <c r="L111" i="3"/>
  <c r="L145" i="3"/>
  <c r="L169" i="3"/>
  <c r="L140" i="3"/>
  <c r="L159" i="3"/>
  <c r="L409" i="3"/>
  <c r="L13" i="3"/>
  <c r="L350" i="3"/>
  <c r="L34" i="3"/>
  <c r="L98" i="3"/>
  <c r="L423" i="3"/>
  <c r="L466" i="3"/>
  <c r="L477" i="3"/>
  <c r="L86" i="3"/>
  <c r="L435" i="3"/>
  <c r="L121" i="3"/>
  <c r="L50" i="3"/>
  <c r="L420" i="3"/>
  <c r="L74" i="3"/>
  <c r="L449" i="3"/>
  <c r="L604" i="3"/>
  <c r="L224" i="3"/>
  <c r="L90" i="3"/>
  <c r="L407" i="3"/>
  <c r="L59" i="3"/>
  <c r="L424" i="3"/>
  <c r="L124" i="3"/>
  <c r="L120" i="3"/>
  <c r="L184" i="3"/>
  <c r="L334" i="3"/>
  <c r="L138" i="3"/>
  <c r="L451" i="3"/>
  <c r="L425" i="3"/>
  <c r="L455" i="3"/>
  <c r="L404" i="3"/>
  <c r="L444" i="3"/>
  <c r="L20" i="3"/>
  <c r="L333" i="3"/>
  <c r="L596" i="3"/>
  <c r="L141" i="3"/>
  <c r="L89" i="3"/>
  <c r="L177" i="3"/>
  <c r="L122" i="3"/>
  <c r="L446" i="3"/>
  <c r="L123" i="3"/>
  <c r="L476" i="3"/>
  <c r="L85" i="3"/>
  <c r="L445" i="3"/>
  <c r="L119" i="3"/>
  <c r="L104" i="3"/>
  <c r="L579" i="3"/>
  <c r="L410" i="3"/>
  <c r="L125" i="3"/>
  <c r="L77" i="3"/>
  <c r="L49" i="3"/>
  <c r="L71" i="3"/>
  <c r="L346" i="3"/>
  <c r="L96" i="3"/>
  <c r="K47" i="4"/>
  <c r="K86" i="4" l="1"/>
  <c r="I87" i="4"/>
  <c r="R46" i="4"/>
  <c r="P47" i="4"/>
  <c r="L13" i="34"/>
  <c r="M88" i="4" l="1"/>
  <c r="K87" i="4"/>
  <c r="G87" i="4"/>
  <c r="I88" i="4"/>
  <c r="I89" i="4" s="1"/>
  <c r="G88" i="4"/>
  <c r="G89" i="4" s="1"/>
  <c r="K88" i="4"/>
  <c r="K89" i="4" s="1"/>
  <c r="M89" i="4"/>
</calcChain>
</file>

<file path=xl/comments1.xml><?xml version="1.0" encoding="utf-8"?>
<comments xmlns="http://schemas.openxmlformats.org/spreadsheetml/2006/main">
  <authors>
    <author>Iago Santana</author>
  </authors>
  <commentList>
    <comment ref="G285" authorId="0" shapeId="0">
      <text>
        <r>
          <rPr>
            <b/>
            <sz val="9"/>
            <color indexed="81"/>
            <rFont val="Segoe UI"/>
            <family val="2"/>
          </rPr>
          <t>Iago Santana:</t>
        </r>
        <r>
          <rPr>
            <sz val="9"/>
            <color indexed="81"/>
            <rFont val="Segoe UI"/>
            <family val="2"/>
          </rPr>
          <t xml:space="preserve">
verificar altura da rampa e patamar</t>
        </r>
      </text>
    </comment>
    <comment ref="G294" authorId="0" shapeId="0">
      <text>
        <r>
          <rPr>
            <b/>
            <sz val="9"/>
            <color indexed="81"/>
            <rFont val="Segoe UI"/>
            <family val="2"/>
          </rPr>
          <t>Iago Santana:</t>
        </r>
        <r>
          <rPr>
            <sz val="9"/>
            <color indexed="81"/>
            <rFont val="Segoe UI"/>
            <family val="2"/>
          </rPr>
          <t xml:space="preserve">
verificar altura da rampa e patamar</t>
        </r>
      </text>
    </comment>
  </commentList>
</comments>
</file>

<file path=xl/sharedStrings.xml><?xml version="1.0" encoding="utf-8"?>
<sst xmlns="http://schemas.openxmlformats.org/spreadsheetml/2006/main" count="12762" uniqueCount="2617">
  <si>
    <t>1.1</t>
  </si>
  <si>
    <t>2.1</t>
  </si>
  <si>
    <t>2.2</t>
  </si>
  <si>
    <t>2.3</t>
  </si>
  <si>
    <t>m²</t>
  </si>
  <si>
    <t>5.1</t>
  </si>
  <si>
    <t>5.1.1</t>
  </si>
  <si>
    <t>6.1</t>
  </si>
  <si>
    <t>6.2</t>
  </si>
  <si>
    <t>6.3</t>
  </si>
  <si>
    <t>7.1</t>
  </si>
  <si>
    <t>7.2</t>
  </si>
  <si>
    <t>m</t>
  </si>
  <si>
    <t>10.1</t>
  </si>
  <si>
    <t>10.2</t>
  </si>
  <si>
    <t>Item</t>
  </si>
  <si>
    <t>Descrição dos Serviços</t>
  </si>
  <si>
    <t>Unid.</t>
  </si>
  <si>
    <t>Quant.</t>
  </si>
  <si>
    <t>Valor Unit.(R$)</t>
  </si>
  <si>
    <t>Valor Total(R$)</t>
  </si>
  <si>
    <t xml:space="preserve">Serviços Preliminares </t>
  </si>
  <si>
    <t>Esquadrias</t>
  </si>
  <si>
    <t>Revestimento de Paredes</t>
  </si>
  <si>
    <t>Pintura</t>
  </si>
  <si>
    <t>Serviços Finais</t>
  </si>
  <si>
    <t>Total Geral</t>
  </si>
  <si>
    <t>ITEM</t>
  </si>
  <si>
    <t>DESCRIÇÃO</t>
  </si>
  <si>
    <t>1º MÊS</t>
  </si>
  <si>
    <t>2º MÊS</t>
  </si>
  <si>
    <t>3º MÊS</t>
  </si>
  <si>
    <t>4º MÊS</t>
  </si>
  <si>
    <t>5º MÊS</t>
  </si>
  <si>
    <t>6º MÊS</t>
  </si>
  <si>
    <t>TOTAL</t>
  </si>
  <si>
    <t>15 dias</t>
  </si>
  <si>
    <t>TOTAL DO MÊS (R$)</t>
  </si>
  <si>
    <t>TOTAL (%)</t>
  </si>
  <si>
    <t>ACUMULADO NO MÊS (R$)</t>
  </si>
  <si>
    <t>ACUMULADO (%)</t>
  </si>
  <si>
    <t>TOTAL DO GERAL (R$)</t>
  </si>
  <si>
    <t>%</t>
  </si>
  <si>
    <t>Valor BDI(R$)</t>
  </si>
  <si>
    <t xml:space="preserve">L= </t>
  </si>
  <si>
    <t>x</t>
  </si>
  <si>
    <t>=</t>
  </si>
  <si>
    <t>Total</t>
  </si>
  <si>
    <t>Código</t>
  </si>
  <si>
    <t>Descrição</t>
  </si>
  <si>
    <t>UNID</t>
  </si>
  <si>
    <t>Valor</t>
  </si>
  <si>
    <t>und</t>
  </si>
  <si>
    <t>Total do ítem</t>
  </si>
  <si>
    <t>COMPOSIÇÃO 1</t>
  </si>
  <si>
    <t>Data Base:</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</si>
  <si>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</si>
  <si>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</si>
  <si>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</si>
  <si>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</si>
  <si>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</si>
  <si>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</si>
  <si>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</si>
  <si>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</si>
  <si>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</si>
  <si>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</si>
  <si>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COFINS</t>
  </si>
  <si>
    <t>6.4</t>
  </si>
  <si>
    <t>CPRB</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</si>
  <si>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</si>
  <si>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</si>
  <si>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</si>
  <si>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</si>
  <si>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</si>
  <si>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</si>
  <si>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</si>
  <si>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5) Antes da aplicação do BDI (Teto Empresa de Lucros Real ) os insumos constantes do art.3º da Lei nº10.637/02 deverão sofrer redução de 1,65%, após 31/12/2008, reduzir também do insumoo percentual de 7,6% da COFINS conforme art. 3º da Lei nº10.833/03 combinado com o inciso XX do art.10 da mesma Lei.</t>
  </si>
  <si>
    <t>_________________________________________________</t>
  </si>
  <si>
    <t>COMPOSIÇÃO ANALÍTICA DA TAXA DE BENEFÍCIO E DESPESAS INDIRETAS (BDI)</t>
  </si>
  <si>
    <t>Proponente:</t>
  </si>
  <si>
    <t>Objeto:</t>
  </si>
  <si>
    <t>BDI</t>
  </si>
  <si>
    <t xml:space="preserve">Responsável Técnico:    </t>
  </si>
  <si>
    <t xml:space="preserve">Registro Profissional:  </t>
  </si>
  <si>
    <t>Descrição do item</t>
  </si>
  <si>
    <t>Município/UF:</t>
  </si>
  <si>
    <t>ENCARGOS SOCIAIS SOBRE A MÃO DE OBRA</t>
  </si>
  <si>
    <t>CÓDIGO</t>
  </si>
  <si>
    <t>COM DESONERAÇÃO</t>
  </si>
  <si>
    <t>SEM DESONERAÇÃO</t>
  </si>
  <si>
    <t>HORISTA (%)</t>
  </si>
  <si>
    <t>MENSALISTA (%)</t>
  </si>
  <si>
    <t>GRUPO A</t>
  </si>
  <si>
    <t>A1</t>
  </si>
  <si>
    <t>INSS</t>
  </si>
  <si>
    <t>A2</t>
  </si>
  <si>
    <t xml:space="preserve">SESI </t>
  </si>
  <si>
    <t>A3</t>
  </si>
  <si>
    <t>SENAI</t>
  </si>
  <si>
    <t>A4</t>
  </si>
  <si>
    <t xml:space="preserve">INCRA </t>
  </si>
  <si>
    <t>A5</t>
  </si>
  <si>
    <t xml:space="preserve">SEBRAE </t>
  </si>
  <si>
    <t>A6</t>
  </si>
  <si>
    <t xml:space="preserve">Salário Educação </t>
  </si>
  <si>
    <t>A7</t>
  </si>
  <si>
    <t>Seguro Contra Acidentes de Trabalho</t>
  </si>
  <si>
    <t>A8</t>
  </si>
  <si>
    <t xml:space="preserve">FGTS </t>
  </si>
  <si>
    <t>A9</t>
  </si>
  <si>
    <t xml:space="preserve">SECONCI </t>
  </si>
  <si>
    <t>A</t>
  </si>
  <si>
    <t>GRUPO B</t>
  </si>
  <si>
    <t>B1</t>
  </si>
  <si>
    <t xml:space="preserve">Repouso Semanal Remunerado </t>
  </si>
  <si>
    <t>Não incide</t>
  </si>
  <si>
    <t>B2</t>
  </si>
  <si>
    <t>Feriados</t>
  </si>
  <si>
    <t>B3</t>
  </si>
  <si>
    <t xml:space="preserve">Auxílio - Enfermidade </t>
  </si>
  <si>
    <t>B4</t>
  </si>
  <si>
    <t xml:space="preserve">13º Salário </t>
  </si>
  <si>
    <t>B5</t>
  </si>
  <si>
    <t>Licença Paternidade</t>
  </si>
  <si>
    <t>B6</t>
  </si>
  <si>
    <t>Faltas Justificadas</t>
  </si>
  <si>
    <t>B7</t>
  </si>
  <si>
    <t xml:space="preserve">Dias de Chuvas </t>
  </si>
  <si>
    <t>B8</t>
  </si>
  <si>
    <t>Auxílio Acidente de Trabalho</t>
  </si>
  <si>
    <t>B9</t>
  </si>
  <si>
    <t xml:space="preserve">Férias Gozadas </t>
  </si>
  <si>
    <t>B10</t>
  </si>
  <si>
    <t>Salário Maternidade</t>
  </si>
  <si>
    <t>B</t>
  </si>
  <si>
    <t>GRUPO C</t>
  </si>
  <si>
    <t>C1</t>
  </si>
  <si>
    <t>Aviso Prévio Indenizado</t>
  </si>
  <si>
    <t>C2</t>
  </si>
  <si>
    <t>Aviso Prévio Trabalhado</t>
  </si>
  <si>
    <t>C3</t>
  </si>
  <si>
    <t>Férias Indenizadas</t>
  </si>
  <si>
    <t>C4</t>
  </si>
  <si>
    <t>Depósito Rescisão Sem Justa Causa</t>
  </si>
  <si>
    <t>C5</t>
  </si>
  <si>
    <t xml:space="preserve">Indenização Adicional </t>
  </si>
  <si>
    <t>C</t>
  </si>
  <si>
    <t>GRUPO D</t>
  </si>
  <si>
    <t>D1</t>
  </si>
  <si>
    <t xml:space="preserve">Reincidência de Grupo A sobre Grupo B </t>
  </si>
  <si>
    <t>D2</t>
  </si>
  <si>
    <t>Reincidência de Grupo A sobre Aviso Prévio Trabalhado e Reincidência do FGTS sobre Aviso Prévio Indenizado</t>
  </si>
  <si>
    <t>D</t>
  </si>
  <si>
    <t>TOTAL (A+B+C+D)</t>
  </si>
  <si>
    <t>APLICAÇÃO E LIXAMENTO DE MASSA LÁTEX EM PAREDES, DUAS DEMÃOS. AF_06/2014</t>
  </si>
  <si>
    <t>APLICAÇÃO MANUAL DE PINTURA COM TINTA LÁTEX ACRÍLICA EM PAREDES, DUAS DEMÃOS. AF_06/2014</t>
  </si>
  <si>
    <t>COMPOSIÇÕES</t>
  </si>
  <si>
    <t>COMPOSIÇÃO 5</t>
  </si>
  <si>
    <t>H</t>
  </si>
  <si>
    <t>PEITORIL LINEAR EM GRANITO OU MÁRMORE, L = 15CM, COMPRIMENTO DE ATÉ 2M, ASSENTADO COM ARGAMASSA 1:6 COM ADITIVO. AF_11/2020</t>
  </si>
  <si>
    <t>SOLEIRA EM GRANITO, LARGURA 15 CM, ESPESSURA 2,0 CM. AF_09/2020</t>
  </si>
  <si>
    <t>Local:</t>
  </si>
  <si>
    <t>UND</t>
  </si>
  <si>
    <t xml:space="preserve">Total </t>
  </si>
  <si>
    <t>Janelas</t>
  </si>
  <si>
    <t>Responsável Técnico</t>
  </si>
  <si>
    <t>Data base:</t>
  </si>
  <si>
    <t>Registro:</t>
  </si>
  <si>
    <t>Município:</t>
  </si>
  <si>
    <t xml:space="preserve">Data Base:  </t>
  </si>
  <si>
    <t>Registro Profissional</t>
  </si>
  <si>
    <t>4.1</t>
  </si>
  <si>
    <t>3.1</t>
  </si>
  <si>
    <t>4.1.1</t>
  </si>
  <si>
    <t>8.1</t>
  </si>
  <si>
    <t>8.2</t>
  </si>
  <si>
    <t>CONTRAVERGA MOLDADA IN LOCO EM CONCRETO PARA VÃOS DE MAIS DE 1,5 M DE COMPRIMENTO. AF_03/2016</t>
  </si>
  <si>
    <t>TOMADA BAIXA DE EMBUTIR (1 MÓDULO), 2P+T 10 A, INCLUINDO SUPORTE E PLACA - FORNECIMENTO E INSTALAÇÃO. AF_12/2015</t>
  </si>
  <si>
    <t>11.1</t>
  </si>
  <si>
    <t>Instalações Hidrosanitárias</t>
  </si>
  <si>
    <t>12.1</t>
  </si>
  <si>
    <t>9.1</t>
  </si>
  <si>
    <t>SEDOP</t>
  </si>
  <si>
    <t>SINAPI</t>
  </si>
  <si>
    <t>Fonte</t>
  </si>
  <si>
    <t>ASSENTO SANITÁRIO CONVENCIONAL - FORNECIMENTO E INSTALACAO. AF_01/2020</t>
  </si>
  <si>
    <t>Instalações Elétricas</t>
  </si>
  <si>
    <t>10.1.1</t>
  </si>
  <si>
    <t>10.1.2</t>
  </si>
  <si>
    <t>10.2.1</t>
  </si>
  <si>
    <t>Iluminação</t>
  </si>
  <si>
    <t xml:space="preserve">TOTAL = </t>
  </si>
  <si>
    <t>Acessórios, Louças e Metais</t>
  </si>
  <si>
    <t>Maruza Noronha Baptista Amoras</t>
  </si>
  <si>
    <t xml:space="preserve">Arquiteta e Urbanista
CAU nº 28510-2
CAU nº 28510-2
</t>
  </si>
  <si>
    <t>CAU: 28510-2 A</t>
  </si>
  <si>
    <t xml:space="preserve"> M²</t>
  </si>
  <si>
    <t>Movimento de Terra</t>
  </si>
  <si>
    <t>REATERRO MANUAL DE VALAS COM COMPACTAÇÃO MECANIZADA. AF_04/2016</t>
  </si>
  <si>
    <t>ATERRO MANUAL DE VALAS COM SOLO ARGILO-ARENOSO E COMPACTAÇÃO MECANIZADA. AF_05/2016</t>
  </si>
  <si>
    <t>M³</t>
  </si>
  <si>
    <t>M²</t>
  </si>
  <si>
    <t>Superestrutura</t>
  </si>
  <si>
    <t>LASTRO DE CONCRETO MAGRO, APLICADO EM PISOS, LAJES SOBRE SOLO OU RADIERS, ESPESSURA DE 3 CM. AF_07/2016</t>
  </si>
  <si>
    <t>FABRICAÇÃO, MONTAGEM E DESMONTAGEM DE FÔRMA PARA VIGA BALDRAME, EM MADEIRA SERRADA, E=25 MM, 4 UTILIZAÇÕES. AF_06/2017</t>
  </si>
  <si>
    <t>KG</t>
  </si>
  <si>
    <t>Largura (m)</t>
  </si>
  <si>
    <t>7.1.1</t>
  </si>
  <si>
    <t>7.2.1</t>
  </si>
  <si>
    <t>11.1.1</t>
  </si>
  <si>
    <t>11.1.2</t>
  </si>
  <si>
    <t>Copa</t>
  </si>
  <si>
    <t>Arranques</t>
  </si>
  <si>
    <t>Total (m²)</t>
  </si>
  <si>
    <t>L=</t>
  </si>
  <si>
    <t>-</t>
  </si>
  <si>
    <t>Comprimento</t>
  </si>
  <si>
    <t>Esgoto</t>
  </si>
  <si>
    <t>M</t>
  </si>
  <si>
    <t>UN</t>
  </si>
  <si>
    <t>Cobertura</t>
  </si>
  <si>
    <t>11.1.3</t>
  </si>
  <si>
    <t>12.1.1</t>
  </si>
  <si>
    <t>12.2</t>
  </si>
  <si>
    <t>12.2.1</t>
  </si>
  <si>
    <t>12.1.2</t>
  </si>
  <si>
    <t>12.2.2</t>
  </si>
  <si>
    <t>12.2.3</t>
  </si>
  <si>
    <t>12.2.4</t>
  </si>
  <si>
    <t>12.2.5</t>
  </si>
  <si>
    <t>12.3</t>
  </si>
  <si>
    <t>12.3.1</t>
  </si>
  <si>
    <t>12.3.2</t>
  </si>
  <si>
    <t>13.1</t>
  </si>
  <si>
    <t>ENGENHEIRO CIVIL DE OBRA JUNIOR COM ENCARGOS COMPLEMENTARES</t>
  </si>
  <si>
    <t>ENCARREGADO GERAL COM ENCARGOS COMPLEMENTARES</t>
  </si>
  <si>
    <t>ADMINISTRAÇÃO LOCAL DA OBRA</t>
  </si>
  <si>
    <t xml:space="preserve">duração da obra </t>
  </si>
  <si>
    <t>Total de</t>
  </si>
  <si>
    <t>h/dia</t>
  </si>
  <si>
    <t>dias/mês</t>
  </si>
  <si>
    <t>h/mês</t>
  </si>
  <si>
    <t>(meses)</t>
  </si>
  <si>
    <t>horas previstas</t>
  </si>
  <si>
    <t>ENCARREGADO GERAL DA OBRA COM ENCARGOS COMPLEMENTARES</t>
  </si>
  <si>
    <t>Piso interno</t>
  </si>
  <si>
    <t xml:space="preserve">LASTRO DE CONCRETO MAGRO, APLICADO EM BLOCOS DE COROAMENTO OU SAPATAS, ESPESSURA DE 3 CM. AF_08/2017 </t>
  </si>
  <si>
    <t xml:space="preserve">REVESTIMENTO CERÂMICO PARA PAREDES INTERNAS COM PLACAS TIPO ESMALTADA PADRÃO POPULAR DE DIMENSÕES 20X20 CM, ARGAMASSA TIPO AC I, APLICADAS EM AMBIENTES DE ÁREA MAIOR QUE 5 M2 NA ALTURA INTEIRA DAS PAREDES. AF_06/2014 </t>
  </si>
  <si>
    <t>9.2</t>
  </si>
  <si>
    <t xml:space="preserve">EXECUÇÃO DE PASSEIO (CALÇADA) OU PISO DE CONCRETO COM CONCRETO MOLDADO IN LOCO, USINADO, ACABAMENTO CONVENCIONAL, NÃO ARMADO. AF_07/2016 </t>
  </si>
  <si>
    <t>10.1.3</t>
  </si>
  <si>
    <t xml:space="preserve">APLICAÇÃO DE FUNDO SELADOR ACRÍLICO EM PAREDES, UMA DEMÃO. AF_06/2014 </t>
  </si>
  <si>
    <t>4.1.2</t>
  </si>
  <si>
    <t>4.1.3</t>
  </si>
  <si>
    <t>4.2</t>
  </si>
  <si>
    <t>4.2.1</t>
  </si>
  <si>
    <t>4.2.2</t>
  </si>
  <si>
    <t>4.2.3</t>
  </si>
  <si>
    <t>4.2.4</t>
  </si>
  <si>
    <t>8.3</t>
  </si>
  <si>
    <t>12.1.3</t>
  </si>
  <si>
    <t>13.1.1</t>
  </si>
  <si>
    <t>13.1.2</t>
  </si>
  <si>
    <t>13.2</t>
  </si>
  <si>
    <t>13.2.1</t>
  </si>
  <si>
    <t>13.2.2</t>
  </si>
  <si>
    <t>13.2.3</t>
  </si>
  <si>
    <t>13.2.4</t>
  </si>
  <si>
    <t>13.3</t>
  </si>
  <si>
    <t>13.3.1</t>
  </si>
  <si>
    <t>13.3.2</t>
  </si>
  <si>
    <t>13.4</t>
  </si>
  <si>
    <t>13.4.1</t>
  </si>
  <si>
    <t>13.4.2</t>
  </si>
  <si>
    <t>13.4.3</t>
  </si>
  <si>
    <t>13.4.4</t>
  </si>
  <si>
    <t>2.4</t>
  </si>
  <si>
    <t>12.2.6</t>
  </si>
  <si>
    <t>12.2.7</t>
  </si>
  <si>
    <t>12.2.8</t>
  </si>
  <si>
    <t>Recepção</t>
  </si>
  <si>
    <t>15.1</t>
  </si>
  <si>
    <t>Prevenção e Combate a Incêndio</t>
  </si>
  <si>
    <t>COMPOSIÇÃO 2</t>
  </si>
  <si>
    <t>COMPOSIÇÃO 3</t>
  </si>
  <si>
    <t>COMPOSIÇÃO 4</t>
  </si>
  <si>
    <t>LUMINÁRIA DE EMERGÊNCIA, COM 30 LÂMPADAS LED DE 2 W, SEM REATOR - FORNECIMENTO E INSTALAÇÃO. AF_02/2020</t>
  </si>
  <si>
    <t>TUBO PVC, SERIE NORMAL, ESGOTO PREDIAL, DN 50 MM, FORNECIDO E INSTALADO EM PRUMADA DE ESGOTO SANITÁRIO OU VENTILAÇÃO. AF_12/2014</t>
  </si>
  <si>
    <t>89800</t>
  </si>
  <si>
    <t>TUBO PVC, SERIE NORMAL, ESGOTO PREDIAL, DN 100 MM,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</si>
  <si>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</si>
  <si>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</si>
  <si>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TE DE REDUCAO, PVC PBA, BBB, JE, DN 100 X 50 / DE 110 X 60 MM, PARA REDE AGUA (NBR 10351)</t>
  </si>
  <si>
    <t>ADESIVO PLASTICO PARA PVC, FRASCO COM 75 GR</t>
  </si>
  <si>
    <t>LIXA D'AGUA EM FOLHA, GRAO 100</t>
  </si>
  <si>
    <t>AUXILIAR DE ENCANADOR OU BOMBEIRO HIDRÁULICO COM ENCARGOS COMPLEMENTARES</t>
  </si>
  <si>
    <t>ENCANADOR OU BOMBEIRO HIDRÁULICO COM ENCARGOS COMPLEMENTARES</t>
  </si>
  <si>
    <t xml:space="preserve">SOLUCAO LIMPADORA PARA PVC, FRASCO COM 1000 CM3 </t>
  </si>
  <si>
    <t>COMPOSIÇÃO 6</t>
  </si>
  <si>
    <t>TUBO PVC, SERIE NORMAL, ESGOTO PREDIAL, DN 75 MM, FORNECIDO E INSTALADO EM PRUMADA DE ESGOTO SANITÁRIO OU VENTILAÇÃO. AF_12/2014</t>
  </si>
  <si>
    <t>13.3.3</t>
  </si>
  <si>
    <t>13.3.4</t>
  </si>
  <si>
    <t>TÊ DE REDUÇÃO, PVC, SOLDÁVEL, DN 100 MM X 50 MM, FORNECIMENTO E INSTALAÇÃO</t>
  </si>
  <si>
    <t>12.4</t>
  </si>
  <si>
    <t>12.4.1</t>
  </si>
  <si>
    <t>12.4.2</t>
  </si>
  <si>
    <t>Caixas e Acessórios</t>
  </si>
  <si>
    <t>LAVATÓRIO LOUÇA BRANCA SUSPENSO, 29,5 X 39CM OU EQUIVALENTE, PADRÃO POPULAR, INCLUSO SIFÃO TIPO GARRAFA EM PVC, VÁLVULA E ENGATE FLEXÍVEL 30CM EM PLÁSTICO E TORNEIRA CROMADA DE MESA, PADRÃO POPULAR - FORNECIMENTO E INSTALAÇÃO. AF_01/2020</t>
  </si>
  <si>
    <t>Vergas e Contravergas</t>
  </si>
  <si>
    <t>VERGA MOLDADA IN LOCO EM CONCRETO PARA PORTAS COM ATÉ 1,5 M DE VÃO. AF_03/2016</t>
  </si>
  <si>
    <t>MARUZA BAPTISTA</t>
  </si>
  <si>
    <t>Altura</t>
  </si>
  <si>
    <t>Total (m³)</t>
  </si>
  <si>
    <t>Perímetro</t>
  </si>
  <si>
    <t>92759</t>
  </si>
  <si>
    <t>ARMAÇÃO DE PILAR OU VIGA DE UMA ESTRUTURA CONVENCIONAL DE CONCRETO ARMADO EM UM EDIFÍCIO DE MÚLTIPLOS PAVIMENTOS UTILIZANDO AÇO CA-60 DE 5,0 MM - MONTAGEM. AF_12/2015</t>
  </si>
  <si>
    <t>92762</t>
  </si>
  <si>
    <t>ARMAÇÃO DE PILAR OU VIGA DE UMA ESTRUTURA CONVENCIONAL DE CONCRETO ARMADO EM UM EDIFÍCIO DE MÚLTIPLOS PAVIMENTOS UTILIZANDO AÇO CA-50 DE 10,0 MM - MONTAGEM. AF_12/2015</t>
  </si>
  <si>
    <t>SERVENTE COM ENCARGOS COMPLEMENTARES</t>
  </si>
  <si>
    <t>SINAPI-I</t>
  </si>
  <si>
    <t>9.3</t>
  </si>
  <si>
    <t>3104</t>
  </si>
  <si>
    <t>5031</t>
  </si>
  <si>
    <t>VIDRO TEMPERADO INCOLOR PARA PORTA DE ABRIR, E = 10 MM (SEM FERRAGENS E SEM COLOCACAO)</t>
  </si>
  <si>
    <t>88316</t>
  </si>
  <si>
    <t>88325</t>
  </si>
  <si>
    <t>VIDRACEIRO COM ENCARGOS COMPLEMENTARES</t>
  </si>
  <si>
    <t>CJ</t>
  </si>
  <si>
    <t>M2</t>
  </si>
  <si>
    <t>COMPOSIÇÃO 8</t>
  </si>
  <si>
    <t>40552</t>
  </si>
  <si>
    <t>PARAFUSO, AUTO ATARRACHANTE, CABECA CHATA, FENDA SIMPLES, 1/4 (6,35 MM) X 25 MM</t>
  </si>
  <si>
    <t>CENTO</t>
  </si>
  <si>
    <t>COMPOSIÇÃO 9</t>
  </si>
  <si>
    <t>COMPOSIÇÃO 10</t>
  </si>
  <si>
    <t xml:space="preserve">UN    </t>
  </si>
  <si>
    <t>11520</t>
  </si>
  <si>
    <t>MACANETA ALAVANCA, RETA SIMPLES / OCA, CROMADA, COMPRIMENTO DE 10 A 16 CM, ACABAMENTO PADRAO POPULAR - SOMENTE MACANETAS</t>
  </si>
  <si>
    <t xml:space="preserve">PAR   </t>
  </si>
  <si>
    <t>PAR</t>
  </si>
  <si>
    <t>Edificação+calçada de proteção</t>
  </si>
  <si>
    <t>10.1.4</t>
  </si>
  <si>
    <t>10.1.5</t>
  </si>
  <si>
    <t xml:space="preserve">Item </t>
  </si>
  <si>
    <t>Descrição do ítem</t>
  </si>
  <si>
    <t>AJUDANTE DE MONTADOR COM ENCARGOS</t>
  </si>
  <si>
    <t>MONTADOR COM ENCARGOS COMPLEMENTARES</t>
  </si>
  <si>
    <t>COMPOSIÇÃO 12</t>
  </si>
  <si>
    <t>101908</t>
  </si>
  <si>
    <t>EXTINTOR DE INCÊNDIO PORTÁTIL COM CARGA DE PQS DE 4 KG, CLASSE BC - FORNECIMENTO E INSTALAÇÃO. AF_10/2020_P</t>
  </si>
  <si>
    <t>CAIXA DE INSPEÇÃO PARA ATERRAMENTO, CIRCULAR, EM POLIETILENO, DIÂMETRO INTERNO = 0,3 M. AF_12/2020</t>
  </si>
  <si>
    <t>HASTE DE ATERRAMENTO 5/8  PARA SPDA - FORNECIMENTO E INSTALAÇÃO. AF_12/2017</t>
  </si>
  <si>
    <t>190691</t>
  </si>
  <si>
    <t>Vigas Baldrame</t>
  </si>
  <si>
    <t>4.2.5</t>
  </si>
  <si>
    <t>88262</t>
  </si>
  <si>
    <t>13.1.3</t>
  </si>
  <si>
    <t xml:space="preserve">TUBO PVC, SÉRIE R, ÁGUA PLUVIAL, DN 100 MM, FORNECIDO E INSTALADO EM CONDUTORES VERTICAIS DE ÁGUAS PLUVIAIS. AF_12/2014 </t>
  </si>
  <si>
    <t>13.1.4</t>
  </si>
  <si>
    <t>COMPOSIÇÃO 13</t>
  </si>
  <si>
    <t>122</t>
  </si>
  <si>
    <t>ADESIVO PLASTICO PARA PVC, FRASCO COM *850* GR</t>
  </si>
  <si>
    <t>11708</t>
  </si>
  <si>
    <t>RALO FOFO SEMIESFERICO, 100 MM, PARA LAJES/ CALHAS</t>
  </si>
  <si>
    <t>20083</t>
  </si>
  <si>
    <t>SOLUCAO PREPARADORA / LIMPADORA PARA PVC, FRASCO COM 1000 CM3</t>
  </si>
  <si>
    <t>38383</t>
  </si>
  <si>
    <t>88248</t>
  </si>
  <si>
    <t>88267</t>
  </si>
  <si>
    <t>FORNECIMENTO DE RALO FOFO SEMIESFÉRICO, DN 100MM, PARA LAJES/CALHAS</t>
  </si>
  <si>
    <t>13.1.5</t>
  </si>
  <si>
    <t>12.5</t>
  </si>
  <si>
    <t>Cabeamento Estruturado</t>
  </si>
  <si>
    <t>TOMADA DE REDE RJ45 - FORNECIMENTO E INSTALAÇÃO. AF_11/2019</t>
  </si>
  <si>
    <t>CAIXA RETANGULAR 4" X 4" BAIXA (0,30 M DO PISO), PVC, INSTALADA EM PAREDE - FORNECIMENTO E INSTALAÇÃO. AF_12/2015</t>
  </si>
  <si>
    <t>12.5.1</t>
  </si>
  <si>
    <t>12.5.2</t>
  </si>
  <si>
    <t>12.5.3</t>
  </si>
  <si>
    <t>12.5.4</t>
  </si>
  <si>
    <t>12.5.5</t>
  </si>
  <si>
    <t>12.5.6</t>
  </si>
  <si>
    <t>12.5.7</t>
  </si>
  <si>
    <t>12.5.8</t>
  </si>
  <si>
    <t>12.5.9</t>
  </si>
  <si>
    <t>12.5.10</t>
  </si>
  <si>
    <t>12.5.11</t>
  </si>
  <si>
    <t>CONECTOR MACHO RJ - 45, CATEGORIA 6</t>
  </si>
  <si>
    <t>AUXILIAR DE ELETRICISTA COM ENCARGOS COMPLEMENTARES</t>
  </si>
  <si>
    <t>ELETRICISTA COM ENCARGOS COMPLEMENTARES</t>
  </si>
  <si>
    <t>Total do item</t>
  </si>
  <si>
    <t>COMPOSIÇÃO 14</t>
  </si>
  <si>
    <t>FORNECIMENTO DE CONECTOR MACHO RJ - 45, CATEGORIA 6</t>
  </si>
  <si>
    <t>TOTAL  =</t>
  </si>
  <si>
    <t>CAPTOR TIPO FRANKLIN PARA SPDA - FORNECIMENTO E INSTALAÇÃO. AF_12/2017</t>
  </si>
  <si>
    <t>SUPORTE ISOLADOR PARA CORDOALHA DE COBRE - FORNECIMENTO E INSTALAÇÃO. AF_12/2017</t>
  </si>
  <si>
    <t>12.6.1</t>
  </si>
  <si>
    <t>12.6.2</t>
  </si>
  <si>
    <t>12.6.3</t>
  </si>
  <si>
    <t>12.6.4</t>
  </si>
  <si>
    <t>12.6.5</t>
  </si>
  <si>
    <t>12.6.6</t>
  </si>
  <si>
    <t>12.6.7</t>
  </si>
  <si>
    <t>12.6.8</t>
  </si>
  <si>
    <t>12.6.9</t>
  </si>
  <si>
    <t>12.6.10</t>
  </si>
  <si>
    <t>Largura</t>
  </si>
  <si>
    <t>PLANILHA ORÇAMENTÁRIA</t>
  </si>
  <si>
    <t>OURÉM/PA</t>
  </si>
  <si>
    <t>PREFEITURA MUNICIPAL DE OURÉM</t>
  </si>
  <si>
    <t>98524</t>
  </si>
  <si>
    <t>LIMPEZA MANUAL DE VEGETAÇÃO EM TERRENO COM ENXADA.AF_05/2018</t>
  </si>
  <si>
    <t>20177</t>
  </si>
  <si>
    <t>2.5</t>
  </si>
  <si>
    <t>Área de Limpeza</t>
  </si>
  <si>
    <t>Espessura</t>
  </si>
  <si>
    <t>Sapatas</t>
  </si>
  <si>
    <t>4.3</t>
  </si>
  <si>
    <t>4.3.1</t>
  </si>
  <si>
    <t>4.3.2</t>
  </si>
  <si>
    <t>4.3.3</t>
  </si>
  <si>
    <t>Pilares</t>
  </si>
  <si>
    <t>Vigas Superiores</t>
  </si>
  <si>
    <t>5.1.2</t>
  </si>
  <si>
    <t>5.1.3</t>
  </si>
  <si>
    <t>5.1.4</t>
  </si>
  <si>
    <t>5.1.5</t>
  </si>
  <si>
    <t>5.2</t>
  </si>
  <si>
    <t>5.2.1</t>
  </si>
  <si>
    <t>5.2.2</t>
  </si>
  <si>
    <t>5.2.3</t>
  </si>
  <si>
    <t>5.2.4</t>
  </si>
  <si>
    <t>5.2.5</t>
  </si>
  <si>
    <t>5.3</t>
  </si>
  <si>
    <t>5.3.1</t>
  </si>
  <si>
    <t>5.3.2</t>
  </si>
  <si>
    <t>5.3.3</t>
  </si>
  <si>
    <t>Alvenarias e Divisórias</t>
  </si>
  <si>
    <t>Portas</t>
  </si>
  <si>
    <t>6.5</t>
  </si>
  <si>
    <t>6.6</t>
  </si>
  <si>
    <t>6.7</t>
  </si>
  <si>
    <t>8.4</t>
  </si>
  <si>
    <t>9.1.1</t>
  </si>
  <si>
    <t>9.1.2</t>
  </si>
  <si>
    <t>9.1.3</t>
  </si>
  <si>
    <t>9.1.4</t>
  </si>
  <si>
    <t>9.1.5</t>
  </si>
  <si>
    <t>9.2.1</t>
  </si>
  <si>
    <t>9.2.2</t>
  </si>
  <si>
    <t>9.3.1</t>
  </si>
  <si>
    <t>9.3.2</t>
  </si>
  <si>
    <t>12.6</t>
  </si>
  <si>
    <t>15.2</t>
  </si>
  <si>
    <t>16.1</t>
  </si>
  <si>
    <t>13.3.5</t>
  </si>
  <si>
    <t>13.3.6</t>
  </si>
  <si>
    <t>13.3.7</t>
  </si>
  <si>
    <t>13.3.8</t>
  </si>
  <si>
    <t>13.3.9</t>
  </si>
  <si>
    <t>Ambientes</t>
  </si>
  <si>
    <t>Total s/ desconto</t>
  </si>
  <si>
    <t>Pediatria</t>
  </si>
  <si>
    <t>Almoxarifado</t>
  </si>
  <si>
    <t>DML</t>
  </si>
  <si>
    <t>Mecanoterapia</t>
  </si>
  <si>
    <t>Estoque</t>
  </si>
  <si>
    <t>Saúna</t>
  </si>
  <si>
    <t>Eletrotermoterapia</t>
  </si>
  <si>
    <t>Descontos</t>
  </si>
  <si>
    <t>Quantidade</t>
  </si>
  <si>
    <t>Área c/ Desconto</t>
  </si>
  <si>
    <t>Área s/ desc.</t>
  </si>
  <si>
    <t>Alvenaria Total c/ descontos</t>
  </si>
  <si>
    <t>Ocorrências</t>
  </si>
  <si>
    <t>Chapisco Total</t>
  </si>
  <si>
    <t>Emboço Total</t>
  </si>
  <si>
    <t>Área Rebocada</t>
  </si>
  <si>
    <t>Área de reboco</t>
  </si>
  <si>
    <t>Administração</t>
  </si>
  <si>
    <t>WC PCD1</t>
  </si>
  <si>
    <t>WC PCD Fem.</t>
  </si>
  <si>
    <t>Fraldário</t>
  </si>
  <si>
    <t>WC PCD Masc.</t>
  </si>
  <si>
    <t>95240</t>
  </si>
  <si>
    <t>Total de Descontos</t>
  </si>
  <si>
    <t>Comp. Total c/ desconto</t>
  </si>
  <si>
    <t>Comp. c/ Desconto</t>
  </si>
  <si>
    <t>Pavimentação</t>
  </si>
  <si>
    <t>Rampas</t>
  </si>
  <si>
    <t>94319</t>
  </si>
  <si>
    <t>94992</t>
  </si>
  <si>
    <t>EXECUÇÃO DE PASSEIO (CALÇADA) OU PISO DE CONCRETO COM CONCRETO MOLDADO IN LOCO, FEITO EM OBRA, ACABAMENTO CONVENCIONAL, ESPESSURA 6 CM, ARMADO. AF_07/2016</t>
  </si>
  <si>
    <t>10.3</t>
  </si>
  <si>
    <t>10.3.1</t>
  </si>
  <si>
    <t>10.3.2</t>
  </si>
  <si>
    <t>10.3.3</t>
  </si>
  <si>
    <t>Área (m²)</t>
  </si>
  <si>
    <t>m³</t>
  </si>
  <si>
    <t>Volume Total</t>
  </si>
  <si>
    <t>Área total</t>
  </si>
  <si>
    <t>Total de piso</t>
  </si>
  <si>
    <t>Paredes Internas e Externas</t>
  </si>
  <si>
    <t>Estacionamento</t>
  </si>
  <si>
    <t>10.4</t>
  </si>
  <si>
    <t>Hall</t>
  </si>
  <si>
    <t>BHO Fem.</t>
  </si>
  <si>
    <t>BHO Masc.</t>
  </si>
  <si>
    <t>Consultório 03</t>
  </si>
  <si>
    <t>Consultório 02</t>
  </si>
  <si>
    <t>Consultório 01</t>
  </si>
  <si>
    <t>CONSTRUÇÃO DO CENTRO DE FISIOTERAPIA, NO MUNICÍPIO DE OURÉM/PA</t>
  </si>
  <si>
    <t>AV. PADRE ANGELO MORETTE, S/Nº - OURÉM/PA</t>
  </si>
  <si>
    <t>Administração Local</t>
  </si>
  <si>
    <t>PLACA DE OBRA EM LONA COM PLOTAGEM DE GRÁFICA</t>
  </si>
  <si>
    <t>LOCAÇÃO DA OBRA A TRENA</t>
  </si>
  <si>
    <t>BARRACÃO DE MADEIRA/ALMOXARIFADO</t>
  </si>
  <si>
    <t>BOTA FORA MANUAL C/ DMT=200M</t>
  </si>
  <si>
    <t>2.6</t>
  </si>
  <si>
    <t>98459</t>
  </si>
  <si>
    <t>TAPUME COM TELHA METÁLICA. AF_05/2018</t>
  </si>
  <si>
    <t>Perimetro</t>
  </si>
  <si>
    <t>Rua Lameira</t>
  </si>
  <si>
    <t>Av. Padre Angelo M.</t>
  </si>
  <si>
    <t>Paredes Externas</t>
  </si>
  <si>
    <t>Banheiro Fem.</t>
  </si>
  <si>
    <t>Circulação 3</t>
  </si>
  <si>
    <t>Circulação 2</t>
  </si>
  <si>
    <t>Consultório 3</t>
  </si>
  <si>
    <t>Consultório 2</t>
  </si>
  <si>
    <t>Consultório 1</t>
  </si>
  <si>
    <t>Circulação 1</t>
  </si>
  <si>
    <t>Alvenaria</t>
  </si>
  <si>
    <t>Divisória</t>
  </si>
  <si>
    <t>Pé Direito Simples</t>
  </si>
  <si>
    <t>Pé Direito Duplo</t>
  </si>
  <si>
    <t>Platibanda</t>
  </si>
  <si>
    <t>Externas</t>
  </si>
  <si>
    <t>Ambiente</t>
  </si>
  <si>
    <t>Desconto de Portas</t>
  </si>
  <si>
    <t>Consultórios</t>
  </si>
  <si>
    <t>WC PCD</t>
  </si>
  <si>
    <t>Sauna</t>
  </si>
  <si>
    <t>Banheiros</t>
  </si>
  <si>
    <t>Desconto de Janelas/Visor</t>
  </si>
  <si>
    <t>Desconto de Cobogó</t>
  </si>
  <si>
    <t>Total s/Desc</t>
  </si>
  <si>
    <t>Banheiro Masc.</t>
  </si>
  <si>
    <t>WC PCD Masculino</t>
  </si>
  <si>
    <t>WC PCD Feminino</t>
  </si>
  <si>
    <t>39624</t>
  </si>
  <si>
    <t>BARRA ANTIPANICO DUPLA, PARA PORTA DE VIDRO, COR CINZA</t>
  </si>
  <si>
    <t>43601</t>
  </si>
  <si>
    <t>PUXADOR TUBULAR RETO SIMPLES, EM ALUMINIO CROMADO, COM COMPRIMENTO DE APROX 400 MM E DIAMETRO DE 25 MM</t>
  </si>
  <si>
    <t>CONJ. DE FERRAGENS PARA PORTA DE VIDRO TEMPERADO, EM ZAMAC CROMADO, CONTEMPLANDO DOBRADICA INF., DOBRADICA SUP., PIVO PARA DOBRADICA INF., PIVO PARA DOBRADICA SUP., FECHADURA CENTRAL EM ZAMC. CROMADO, CONTRA FECHADURA DE PRESSAO</t>
  </si>
  <si>
    <t>1012730</t>
  </si>
  <si>
    <t>MOLA P/ PORTA DE VIDRO</t>
  </si>
  <si>
    <t>P1 - PORTA DE ABRIR COM MOLA HIDRÁULICA (1,60Mx2,60M), EM VIDRO TEMPERADO, ESPESSURA 10 MM, PUXADOR EM ALUMÍNIO E BARRA ANTIPÂNICO DUPLA PARA PORTA DE VIDRO - FORNECIMENTO E INSTALAÇÃO</t>
  </si>
  <si>
    <t>P2 - PORTA DE ABRIR COM MOLA HIDRÁULICA (3,00 Mx2,60M), EM VIDRO TEMPERADO, ESPESSURA 10 MM, PUXADOR EM ALUMÍNIO E BARRA ANTIPÂNICO DUPLA PARA PORTA DE VIDRO - FORNECIMENTO E INSTALAÇÃO</t>
  </si>
  <si>
    <t>90825</t>
  </si>
  <si>
    <t>PORTA DE MADEIRA, MACIÇA (PESADA OU SUPERPESADA), 90X210CM, ESPESSURA DE 3,5CM, INCLUSO DOBRADIÇAS - FORNECIMENTO E INSTALAÇÃO. AF_12/2019</t>
  </si>
  <si>
    <t>190716</t>
  </si>
  <si>
    <t>BARRA EM AÇO INOX (PCD)</t>
  </si>
  <si>
    <t>12759</t>
  </si>
  <si>
    <t>CHAPA ACO INOX AISI 304 NUMERO 9 (E = 4 MM), ACABAMENTO NUMERO 1 (LAMINADO A QUENTE, FOSCO)</t>
  </si>
  <si>
    <t>P3 - PORTA DE MADEIRA, MACIÇA (PESADA OU SUPERPESADA), 90X210CM, ESPESSURA DE 3,5CM, INCLUSO: DOBRADIÇAS, MAÇANETA TIPO ALAVANCA, DUAS BARRAS DE APOIO EM INOX DE 40 CM E FIXAÇÃO DE CHAPA DE INOX NA PARTE INFERIOR DA PORTA EM AMBOS OS LADOS NA ALTURA DE 40 CM - FORNECIMENTO E INSTALAÇÃO.</t>
  </si>
  <si>
    <t>11552</t>
  </si>
  <si>
    <t>PERFIL U DE ABAS IGUAIS, EM ALUMINIO, 1/2" (1,27 X 1,27 CM), PARA PORTA OU JANELA DE CORRER</t>
  </si>
  <si>
    <t>161391</t>
  </si>
  <si>
    <t>VIDRO TEMPERADO INCOLOR E= 6MM COM FERRAGENS</t>
  </si>
  <si>
    <t>4917</t>
  </si>
  <si>
    <t>PORTA DE ABRIR EM ALUMINIO TIPO VENEZIANA, ACABAMENTO ANODIZADO NATURAL, SEM GUARNICAO/ALIZAR/VISTA</t>
  </si>
  <si>
    <t>142</t>
  </si>
  <si>
    <t>SELANTE ELASTICO MONOCOMPONENTE A BASE DE POLIURETANO (PU) PARA JUNTAS DIVERSAS</t>
  </si>
  <si>
    <t>7568</t>
  </si>
  <si>
    <t>BUCHA DE NYLON SEM ABA S10, COM PARAFUSO DE 6,10 X 65 MM EM ACO ZINCADO COM ROSCA SOBERBA, CABECA CHATA E FENDA PHILLIPS</t>
  </si>
  <si>
    <t>310ML</t>
  </si>
  <si>
    <t>88309</t>
  </si>
  <si>
    <t>PEDREIRO COM ENCARGOS COMPLEMENTARES</t>
  </si>
  <si>
    <t>9.1.6</t>
  </si>
  <si>
    <t>90065</t>
  </si>
  <si>
    <t>P5 - ESQUADRIA MAD. E=3CM C/ CAIX. ADUELA E ALIZAR</t>
  </si>
  <si>
    <t>91307</t>
  </si>
  <si>
    <t>FECHADURA DE EMBUTIR PARA PORTAS INTERNAS, COMPLETA, ACABAMENTO PADRÃO POPULAR, COM EXECUÇÃO DE FURO - FORNECIMENTO E INSTALAÇÃO. AF_12/2019</t>
  </si>
  <si>
    <t>102162</t>
  </si>
  <si>
    <t>INSTALAÇÃO DE VIDRO LISO INCOLOR, E = 4 MM, EM ESQUADRIA DE ALUMÍNIO OU PVC, FIXADO COM BAGUETE. AF_01/2021_P</t>
  </si>
  <si>
    <t>P7 - PORTA DE ABRIR COM MOLA HIDRÁULICA (1,60 M x 2,10M), EM VIDRO TEMPERADO, ESPESSURA 10 MM, PUXADOR EM ALUMÍNIO E BARRA ANTIPÂNICO DUPLA PARA PORTA DE VIDRO - FORNECIMENTO E INSTALAÇÃO</t>
  </si>
  <si>
    <t>9.1.7</t>
  </si>
  <si>
    <t>9.1.8</t>
  </si>
  <si>
    <t>Unidade</t>
  </si>
  <si>
    <t>Local</t>
  </si>
  <si>
    <t>Qtd</t>
  </si>
  <si>
    <t>Banheiro Feminino</t>
  </si>
  <si>
    <t>Banheiro Marculino</t>
  </si>
  <si>
    <t>Eletroterapia</t>
  </si>
  <si>
    <t>P5</t>
  </si>
  <si>
    <t>WC PCD Masc</t>
  </si>
  <si>
    <t>ESQUADRIA BASCULANTE EM VIDRO TEMPERADO DE 6MM</t>
  </si>
  <si>
    <t>Área</t>
  </si>
  <si>
    <t>JA-1</t>
  </si>
  <si>
    <t>JA-2</t>
  </si>
  <si>
    <t>WC PCD 1</t>
  </si>
  <si>
    <t>WC PCD 2</t>
  </si>
  <si>
    <t>WC PCD 3</t>
  </si>
  <si>
    <t>Faldário</t>
  </si>
  <si>
    <t>Banheiro Masculino</t>
  </si>
  <si>
    <t>9.2.3</t>
  </si>
  <si>
    <t>Visor</t>
  </si>
  <si>
    <t>B01</t>
  </si>
  <si>
    <t>B02</t>
  </si>
  <si>
    <t>B03</t>
  </si>
  <si>
    <t>B04</t>
  </si>
  <si>
    <t>B05</t>
  </si>
  <si>
    <t>Acabamento</t>
  </si>
  <si>
    <t>Peitoril (+6cm)</t>
  </si>
  <si>
    <t>Total (m)</t>
  </si>
  <si>
    <t>+</t>
  </si>
  <si>
    <t>Tipo</t>
  </si>
  <si>
    <t>VISOR</t>
  </si>
  <si>
    <t>Soleira (+6cm)</t>
  </si>
  <si>
    <t>P1</t>
  </si>
  <si>
    <t>P2</t>
  </si>
  <si>
    <t>P3</t>
  </si>
  <si>
    <t>P4</t>
  </si>
  <si>
    <t>P6 - PORTA DE MADEIRA, MACIÇA (PESADA OU SUPERPESADA), 180X210CM, ESPESSURA DE 3,5CM, INCLUSO: DOBRADIÇAS, MAÇANETA TIPO ALAVANCA, VISOR EM VIDRO INCOLOR DE 4 MM - 60X25 CM, BARRAS DE APOIO EM INOX NO COMPRIMENTO DE 40 COM EM AMBOS OS LADOS DAS FOLHAS,  E FIXAÇÃO DE CHAPA EM INOX NA PARTE INFERIOR DA PORTA EM AMBOS OS LADOS NA ALTURA DE 40 CM - FORNECIMENTO E INSTALAÇÃO.</t>
  </si>
  <si>
    <t>P6</t>
  </si>
  <si>
    <t>P7</t>
  </si>
  <si>
    <t>4.1.4</t>
  </si>
  <si>
    <t>4.1.5</t>
  </si>
  <si>
    <t>4.3.4</t>
  </si>
  <si>
    <t>4.3.5</t>
  </si>
  <si>
    <t>Profundidade</t>
  </si>
  <si>
    <t>7.1.2</t>
  </si>
  <si>
    <t>93200</t>
  </si>
  <si>
    <t>FIXAÇÃO (ENCUNHAMENTO) DE ALVENARIA DE VEDAÇÃO COM ARGAMASSA APLICADA COM BISNAGA. AF_03/2016</t>
  </si>
  <si>
    <t>7.1.3</t>
  </si>
  <si>
    <t>Mesma área de lastro</t>
  </si>
  <si>
    <t>87630</t>
  </si>
  <si>
    <t>CONTRAPISO EM ARGAMASSA TRAÇO 1:4 (CIMENTO E AREIA), PREPARO MECÂNICO COM BETONEIRA 400 L, APLICADO EM ÁREAS SECAS SOBRE LAJE, ADERIDO, ACABAMENTO NÃO REFORÇADO, ESPESSURA 3CM. AF_07/2021</t>
  </si>
  <si>
    <t>10.5</t>
  </si>
  <si>
    <t>Acessibilidade</t>
  </si>
  <si>
    <t>10.2.2</t>
  </si>
  <si>
    <t>Piso externo</t>
  </si>
  <si>
    <t>94998</t>
  </si>
  <si>
    <t>EXECUÇÃO DE PASSEIO (CALÇADA) OU PISO DE CONCRETO COM CONCRETO MOLDADO IN LOCO, FEITO EM OBRA, ACABAMENTO CONVENCIONAL, ESPESSURA 12 CM, ARMADO. AF_07/2016</t>
  </si>
  <si>
    <t>10.2.3</t>
  </si>
  <si>
    <t>Calçada de Proteção</t>
  </si>
  <si>
    <t>Rampa 1</t>
  </si>
  <si>
    <t>Rampa 2</t>
  </si>
  <si>
    <t>96616</t>
  </si>
  <si>
    <t>LASTRO DE CONCRETO MAGRO, APLICADO EM BLOCOS DE COROAMENTO OU SAPATAS. AF_08/2017</t>
  </si>
  <si>
    <t>10.4.1</t>
  </si>
  <si>
    <t>10.4.2</t>
  </si>
  <si>
    <t>10.4.3</t>
  </si>
  <si>
    <t>10.4.4</t>
  </si>
  <si>
    <t>92394</t>
  </si>
  <si>
    <t>EXECUÇÃO DE PAVIMENTO EM PISO INTERTRAVADO, COM BLOCO SEXTAVADO DE 25 X 25 CM, ESPESSURA 8 CM. AF_12/2015</t>
  </si>
  <si>
    <t>102507</t>
  </si>
  <si>
    <t>PINTURA DE DEMARCAÇÃO DE VAGA COM TINTA EPÓXI, E = 10 CM, APLICAÇÃO MANUAL. AF_05/2021</t>
  </si>
  <si>
    <t>102513</t>
  </si>
  <si>
    <t>PINTURA DE SÍMBOLOS E TEXTOS COM TINTA ACRÍLICA, DEMARCAÇÃO COM FITA ADESIVA E APLICAÇÃO COM ROLO. AF_05/2021</t>
  </si>
  <si>
    <t>240843</t>
  </si>
  <si>
    <t>PLACA DE SINALIZAÇÃO METÁLICA</t>
  </si>
  <si>
    <t>10.5.1</t>
  </si>
  <si>
    <t>10.5.2</t>
  </si>
  <si>
    <t>130728</t>
  </si>
  <si>
    <t>PISO TÁTIL DIRECIONAL NA COR AMARELO 25X25 PRÉ-MOLDADO (16 UNIDADES)</t>
  </si>
  <si>
    <t>Vaga para Idosos</t>
  </si>
  <si>
    <t>Vaga para Cadeirantes</t>
  </si>
  <si>
    <t>unidades</t>
  </si>
  <si>
    <t>Faixa de delimitação Zebrada</t>
  </si>
  <si>
    <t>Vaga 01</t>
  </si>
  <si>
    <t>Vaga 02</t>
  </si>
  <si>
    <t>Direcional</t>
  </si>
  <si>
    <t>Alerta</t>
  </si>
  <si>
    <t>Área Externa</t>
  </si>
  <si>
    <t>Área Interna</t>
  </si>
  <si>
    <t>11.2</t>
  </si>
  <si>
    <t>11.2.1</t>
  </si>
  <si>
    <t>11.2.2</t>
  </si>
  <si>
    <t>Piso</t>
  </si>
  <si>
    <t>Pintura da "Amarelinha"</t>
  </si>
  <si>
    <t>Parte</t>
  </si>
  <si>
    <t>Céu</t>
  </si>
  <si>
    <t>Quadrados</t>
  </si>
  <si>
    <t>102491</t>
  </si>
  <si>
    <t>PINTURA DE PISO COM TINTA ACRÍLICA, APLICAÇÃO MANUAL, 2 DEMÃOS, INCLUSO FUNDO PREPARADOR. AF_05/2021</t>
  </si>
  <si>
    <t>Área de Ambulância</t>
  </si>
  <si>
    <t>86931</t>
  </si>
  <si>
    <t>VASO SANITÁRIO SIFONADO COM CAIXA ACOPLADA LOUÇA BRANCA, INCLUSO ENGATE FLEXÍVEL EM PLÁSTICO BRANCO, 1/2  X 40CM - FORNECIMENTO E INSTALAÇÃO. AF_01/2020</t>
  </si>
  <si>
    <t>95544</t>
  </si>
  <si>
    <t>PAPELEIRA DE PAREDE EM METAL CROMADO SEM TAMPA, INCLUSO FIXAÇÃO. AF_01/2020</t>
  </si>
  <si>
    <t>PORTA TOALHA DE PAPEL - POLIPROPILENO</t>
  </si>
  <si>
    <t>100865</t>
  </si>
  <si>
    <t>BARRA DE APOIO LATERAL ARTICULADA, COM TRAVA, EM ACO INOX POLIDO, FIXADA NA PAREDE - FORNECIMENTO E INSTALAÇÃO. AF_01/2020</t>
  </si>
  <si>
    <t>DUCHA HIGIÊNICA CROMADA</t>
  </si>
  <si>
    <t>190849</t>
  </si>
  <si>
    <t>SABONETEIRA PARA SABÃO LÍQUIDO (VIDRO+INOX) -FIXA</t>
  </si>
  <si>
    <t>100860</t>
  </si>
  <si>
    <t>CHUVEIRO ELÉTRICO COMUM CORPO PLÁSTICO, TIPO DUCHA  FORNECIMENTO E INSTALAÇÃO. AF_01/2020</t>
  </si>
  <si>
    <t>191498</t>
  </si>
  <si>
    <t>BANCO RETRÁTIL (P/ BANHEIRO PCD)</t>
  </si>
  <si>
    <t>11688</t>
  </si>
  <si>
    <t>TANQUE ACO INOXIDAVEL (ACO 304) COM ESFREGADOR E VALVULA, DE *50 X 40 X 22* CM</t>
  </si>
  <si>
    <t>20262</t>
  </si>
  <si>
    <t>SIFAO PLASTICO EXTENSIVEL UNIVERSAL, TIPO COPO</t>
  </si>
  <si>
    <t>3146</t>
  </si>
  <si>
    <t>FITA VEDA ROSCA EM ROLOS DE 18 MM X 10 M (L X C)</t>
  </si>
  <si>
    <t>86911</t>
  </si>
  <si>
    <t>TORNEIRA CROMADA LONGA, DE PAREDE, 1/2 OU 3/4, PARA PIA DE COZINHA, PADRÃO POPULAR - FORNECIMENTO E INSTALAÇÃO. AF_01/2020</t>
  </si>
  <si>
    <t>TANQUE ACO INOXIDAVEL (ACO 304) COM ESFREGADOR, SIFÃO E VALVULA, DE *50 X 40 X 22* CM. FORNECIMENTO E INSTALAÇÃO.</t>
  </si>
  <si>
    <t>P4 - PORTA DE CORRER EM ALUMINIO TIPO VENEZIANA, ACABAMENTO ANODIZADO NATURAL 1,00Mx2,00M, COM VISOR EM VIDRO TEMPERADO 6MM FIXADO NAS MEDIDA DE 60X25 CM- FORNECIMENTO E INSTALAÇÃO</t>
  </si>
  <si>
    <t>11573</t>
  </si>
  <si>
    <t>RODIZIO TIPO NAPOLEAO PARA JANELAS DE CORRER, EM ZAMAC, COMPRIMENTO DE APROX 60 CM, COM ROLAMENTO EM ACO</t>
  </si>
  <si>
    <t>11580</t>
  </si>
  <si>
    <t>TRILHO QUADRADO FRIZADO PARA RODIZIO (VERGALHAO MACICO), EM ALUMINIO, COM DIMENSOES DE *6 X 6* MM</t>
  </si>
  <si>
    <t>TORNEIRA CROMADA DE MESA, 1/2 OU 3/4, PARA LAVATÓRIO, PADRÃO POPULAR - FORNECIMENTO E INSTALAÇÃO. AF_01/2020</t>
  </si>
  <si>
    <t>SIFÃO DO TIPO FLEXÍVEL EM PVC 1  X 1.1/2  - FORNECIMENTO E INSTALAÇÃO. AF_01/2020</t>
  </si>
  <si>
    <t>86885</t>
  </si>
  <si>
    <t>ENGATE FLEXÍVEL EM PLÁSTICO BRANCO, 1/2 X 40CM - FORNECIMENTO E INSTALAÇÃO. AF_01/2020</t>
  </si>
  <si>
    <t>38633</t>
  </si>
  <si>
    <t>FURO PARA TORNEIRA OU OUTROS ACESSORIOS  EM BANCADA DE MARMORE/ GRANITO OU OUTRO TIPO DE PEDRA NATURAL</t>
  </si>
  <si>
    <t>11795</t>
  </si>
  <si>
    <t>GRANITO PARA BANCADA, POLIDO, TIPO ANDORINHA/ QUARTZ/ CASTELO/ CORUMBA OU OUTROS EQUIVALENTES DA REGIAO, E=  *2,5* CM</t>
  </si>
  <si>
    <t xml:space="preserve">M2 </t>
  </si>
  <si>
    <t>20231</t>
  </si>
  <si>
    <t>RODAPE OU RODABANCADA EM GRANITO, POLIDO, TIPO ANDORINHA/ QUARTZ/ CASTELO/ CORUMBA OU OUTROS EQUIVALENTES DA REGIAO, H= 10 CM, E=  *2,0* CM</t>
  </si>
  <si>
    <t>567</t>
  </si>
  <si>
    <t xml:space="preserve">CANTONEIRA (ABAS IGUAIS) EM FERRO GALVANIZADO, 25,4 MM X 3,17 MM (L X E), 1,27KG/M                                                                                                                                                                                                                                                                                                                                                                                                                        </t>
  </si>
  <si>
    <t xml:space="preserve">M     </t>
  </si>
  <si>
    <t>4823</t>
  </si>
  <si>
    <t>MASSA PLASTICA PARA MARMORE/GRANITO</t>
  </si>
  <si>
    <t>37329</t>
  </si>
  <si>
    <t>REJUNTE EPOXI, QUALQUER COR</t>
  </si>
  <si>
    <t>1744</t>
  </si>
  <si>
    <t>CUBA ACO INOX (AISI 304) DE EMBUTIR COM VALVULA 3 1/2 ", DE *40 X 34 X 12* CM</t>
  </si>
  <si>
    <t>11772</t>
  </si>
  <si>
    <t>TORNEIRA METALICA CROMADA, DE MESA/BANCADA, PARA COZINHA, BICA MOVEL, COM AREJADOR, 1/2 " OU 3/4 " (REF 1167 / 1168)</t>
  </si>
  <si>
    <t>90282</t>
  </si>
  <si>
    <t>GRAUTE FGK=15 MPA; TRAÇO 1:2,2:2,5:0,3 (EM MASSA SECA DE CIMENTO/ AREIA GROSSA/ BRITA 0/ ADITIVO) - PREPARO MECÂNICO COM BETONEIRA 400 L. AF_09/2021</t>
  </si>
  <si>
    <t>M3</t>
  </si>
  <si>
    <t>Elemento</t>
  </si>
  <si>
    <t>N° de lados</t>
  </si>
  <si>
    <t>87878</t>
  </si>
  <si>
    <t>CHAPISCO APLICADO EM ALVENARIAS E ESTRUTURAS DE CONCRETO INTERNAS, COM COLHER DE PEDREIRO.  ARGAMASSA TRAÇO 1:3 COM PREPARO MANUAL. AF_06/2014</t>
  </si>
  <si>
    <t>103357</t>
  </si>
  <si>
    <t>ALVENARIA DE VEDAÇÃO DE BLOCOS CERÂMICOS FURADOS NA HORIZONTAL DE 9X19X29 CM (ESPESSURA 9 CM) E ARGAMASSA DE ASSENTAMENTO COM PREPARO MANUAL. AF_12/2021</t>
  </si>
  <si>
    <t>Alvenaria para Sóculo na altura de 10 cm</t>
  </si>
  <si>
    <t>87739</t>
  </si>
  <si>
    <t>CONTRAPISO EM ARGAMASSA PRONTA, PREPARO MANUAL, APLICADO EM ÁREAS MOLHADAS SOBRE LAJE, ADERIDO, ACABAMENTO NÃO REFORÇADO, ESPESSURA 2CM. AF_07/2021</t>
  </si>
  <si>
    <t>87792</t>
  </si>
  <si>
    <t>EMBOÇO OU MASSA ÚNICA EM ARGAMASSA TRAÇO 1:2:8, PREPARO MECÂNICO COM BETONEIRA 400 L, APLICADA MANUALMENTE EM PANOS CEGOS DE FACHADA (SEM PRESENÇA DE VÃOS), ESPESSURA DE 25 MM. AF_06/2014</t>
  </si>
  <si>
    <t>93391</t>
  </si>
  <si>
    <t>REVESTIMENTO CERÂMICO PARA PISO COM PLACAS TIPO ESMALTADA PADRÃO POPULAR DE DIMENSÕES 35X35 CM APLICADA EM AMBIENTES DE ÁREA MAIOR QUE 10 M2. AF_06/2014</t>
  </si>
  <si>
    <t>Comp.</t>
  </si>
  <si>
    <t>Rodapé</t>
  </si>
  <si>
    <t>Revestimento na Vertical</t>
  </si>
  <si>
    <t>20269</t>
  </si>
  <si>
    <t>LAVATORIO / CUBA DE EMBUTIR, OVAL, DE LOUCA BRANCA, SEM LADRAO, DIMENSOES *50 X 35* CM (L X C)</t>
  </si>
  <si>
    <t>86906</t>
  </si>
  <si>
    <t>11581</t>
  </si>
  <si>
    <t>TRILHO PANTOGRAFICO CONCAVO, TIPO U, EM ALUMINIO, COM DIMENSOES DE APROX *35 X 35* MM, PARA ROLDANA DE PORTA DE CORRER</t>
  </si>
  <si>
    <t>COTAÇÕES</t>
  </si>
  <si>
    <t>Registro Profissional:</t>
  </si>
  <si>
    <t>OBS1:Todas os valores indicados, já estão incluso a taxa de frete.</t>
  </si>
  <si>
    <t>COTAÇÃO 01</t>
  </si>
  <si>
    <t>FORNECEDOR</t>
  </si>
  <si>
    <t>UND.</t>
  </si>
  <si>
    <t>QTD</t>
  </si>
  <si>
    <t>VLR UNIT.</t>
  </si>
  <si>
    <t>VALOR ADOTADO</t>
  </si>
  <si>
    <t>CONTATOS</t>
  </si>
  <si>
    <t>E-MAIL/SITE</t>
  </si>
  <si>
    <t>COTAÇÃO 02</t>
  </si>
  <si>
    <t>OBS2: As simulações foram feitas utilizando o CEP 68.640-000</t>
  </si>
  <si>
    <t>GANCHO ACESSÓRIO PARA CORTINA</t>
  </si>
  <si>
    <t>Mecado Livre</t>
  </si>
  <si>
    <t>https://produto.mercadolivre.com.br</t>
  </si>
  <si>
    <t>Magazine Luiza</t>
  </si>
  <si>
    <t>0800 773 3838</t>
  </si>
  <si>
    <t>https://www.magazineluiza.com.br</t>
  </si>
  <si>
    <t>MCT de Abreu</t>
  </si>
  <si>
    <t>eascon@eascon.com.br</t>
  </si>
  <si>
    <t>(11) 9999-9999</t>
  </si>
  <si>
    <t>95541</t>
  </si>
  <si>
    <t>FIXAÇÃO UTILIZANDO PARAFUSO E BUCHA DE NYLON, SOMENTE MÃO DE OBRA. AF_10/2016</t>
  </si>
  <si>
    <t>88242</t>
  </si>
  <si>
    <t>AJUDANTE DE PEDREIRO COM ENCARGOS COMPLEMENTARES</t>
  </si>
  <si>
    <t>TRILHO PANTOGRAFICO CONCAVO, TIPO U, EM ALUMINIO, COM DIMENSOES DE APROX *35 X 35* MM, INCLUSO GANCHO ACESSÓRIO PARA CORTINA. FORNECIMENTO E INSTALAÇÃO.</t>
  </si>
  <si>
    <t xml:space="preserve">CORTINA HOSPITALAR PVC COM TELA 100% POLYESTER </t>
  </si>
  <si>
    <t>Cristal Flex PVC</t>
  </si>
  <si>
    <t>www.cortinashospitalares.com.br</t>
  </si>
  <si>
    <t>(19) 3426-6830</t>
  </si>
  <si>
    <t>CORTINA HOSPITALAR PVC COM TELA 100% POLYESTER. FORNECIMENTO E INSTALAÇÃO.</t>
  </si>
  <si>
    <t>Muro</t>
  </si>
  <si>
    <t>Playground</t>
  </si>
  <si>
    <t>16.2</t>
  </si>
  <si>
    <t>16.3</t>
  </si>
  <si>
    <t>17.1</t>
  </si>
  <si>
    <t>17.2</t>
  </si>
  <si>
    <t>17.3</t>
  </si>
  <si>
    <t>Subtotal item 17.0</t>
  </si>
  <si>
    <t>18.1</t>
  </si>
  <si>
    <t>18.2</t>
  </si>
  <si>
    <t>18.3</t>
  </si>
  <si>
    <t>Subtotal item 18.0</t>
  </si>
  <si>
    <t>19.1</t>
  </si>
  <si>
    <t>Subtotal item 19.0</t>
  </si>
  <si>
    <t>14.1</t>
  </si>
  <si>
    <t>14.2</t>
  </si>
  <si>
    <t>14.3</t>
  </si>
  <si>
    <t>14.4</t>
  </si>
  <si>
    <t>14.5</t>
  </si>
  <si>
    <t>14.6</t>
  </si>
  <si>
    <t>14.7</t>
  </si>
  <si>
    <t>14.8</t>
  </si>
  <si>
    <t>14.9</t>
  </si>
  <si>
    <t>14.10</t>
  </si>
  <si>
    <t>14.11</t>
  </si>
  <si>
    <t>14.12</t>
  </si>
  <si>
    <t>14.13</t>
  </si>
  <si>
    <t>14.14</t>
  </si>
  <si>
    <t>14.15</t>
  </si>
  <si>
    <t>14.16</t>
  </si>
  <si>
    <t>14.17</t>
  </si>
  <si>
    <t>14.18</t>
  </si>
  <si>
    <t>14.19</t>
  </si>
  <si>
    <t>14.20</t>
  </si>
  <si>
    <t>14.21</t>
  </si>
  <si>
    <t>Mesma quantidade de bacias sanitárias PCD</t>
  </si>
  <si>
    <t>250109</t>
  </si>
  <si>
    <t>ESPELHO DE CRISTAL (0,40X0,60M) COM MOLDURA EM ALUMÍNIO</t>
  </si>
  <si>
    <t xml:space="preserve">Total de Vasos Sanitários </t>
  </si>
  <si>
    <t>metros</t>
  </si>
  <si>
    <t/>
  </si>
  <si>
    <t>unidade</t>
  </si>
  <si>
    <t>Mesma quantidade de Chuveiro</t>
  </si>
  <si>
    <t>BANCADA EM GRANITO DE 245X60 CM, COM DUAS CUBA DE LOUÇA BRANCA OVAL, COM VALVULA, INCLUSO: ENGATE FLEXÍVEL, SIFÃO, RODABANCA E SAIA. FORNECIMENTO E INSTALAÇÃO.</t>
  </si>
  <si>
    <t>Box 01</t>
  </si>
  <si>
    <t>Box 02</t>
  </si>
  <si>
    <t>Box 03</t>
  </si>
  <si>
    <t>Box 04</t>
  </si>
  <si>
    <t>Box 05</t>
  </si>
  <si>
    <t>Box 06</t>
  </si>
  <si>
    <t>Box 07</t>
  </si>
  <si>
    <t>Total do item 6.0</t>
  </si>
  <si>
    <t>Total do item 5.0</t>
  </si>
  <si>
    <t>Total do item 4.0</t>
  </si>
  <si>
    <t>Total do item 3.0</t>
  </si>
  <si>
    <t>Total do item 2.0</t>
  </si>
  <si>
    <t>Total do item 1.0</t>
  </si>
  <si>
    <t>Total do item 7.0</t>
  </si>
  <si>
    <t>Total do item 8.0</t>
  </si>
  <si>
    <t>Total do item 9.0</t>
  </si>
  <si>
    <t>Total do item 10.0</t>
  </si>
  <si>
    <t>Total do item 11.0</t>
  </si>
  <si>
    <t>Total do item 12.0</t>
  </si>
  <si>
    <t>Total do item 13.0</t>
  </si>
  <si>
    <t>Total do item 14.0</t>
  </si>
  <si>
    <t>Total do item 15.0</t>
  </si>
  <si>
    <t>Total do item 16.0</t>
  </si>
  <si>
    <t>CONCRETO FCK = 15MPA, TRAÇO 1:3,4:3,5 (EM MASSA SECA DE CIMENTO/ AREIA MÉDIA/ BRITA 1) - PREPARO MECÂNICO COM BETONEIRA 400 L. AF_05/2021</t>
  </si>
  <si>
    <t>TELA DE ACO SOLDADA NERVURADA, CA-60, Q-138, (2,20 KG/M2), DIAMETRO DO FIO = 4,2 MM, LARGURA = 2,45 M, ESPACAMENTO DA MALHA = 10  X 10 CM</t>
  </si>
  <si>
    <t xml:space="preserve">CHAPA DE MADEIRA COMPENSADA PLASTIFICADA PARA FORMA DE CONCRETO, DE 2,20 x 1,10 M, E = 10 MM      </t>
  </si>
  <si>
    <t>ARAME RECOZIDO 18 BWG, 1,25 MM (0,01 KG/M)</t>
  </si>
  <si>
    <t>CHAPIM EM CONCRETO APARENTE COM  PINGADEIRA E ACABAMENTO DESEMPENADO 21 X 8 CM. FONECIMENTO E INSTALAÇÃO.</t>
  </si>
  <si>
    <t xml:space="preserve">M2    </t>
  </si>
  <si>
    <t xml:space="preserve">KG    </t>
  </si>
  <si>
    <t>94451</t>
  </si>
  <si>
    <t>CUMEEIRA PARA TELHA DE FIBROCIMENTO ESTRUTURAL E = 6 MM, INCLUSO ACESSÓRIOS DE FIXAÇÃO E IÇAMENTO. AF_07/2019</t>
  </si>
  <si>
    <t>TELHAMENTO COM TELHA ONDULADA DE FIBROCIMENTO E = 6 MM, COM RECOBRIMENTO LATERAL DE 1 1/4 DE ONDA PARA TELHADO COM INCLINAÇÃO MÁXIMA DE 10°, COM ATÉ 2 ÁGUAS, INCLUSO IÇAMENTO. AF_07/2019</t>
  </si>
  <si>
    <t>94231</t>
  </si>
  <si>
    <t>RUFO EM CHAPA DE AÇO GALVANIZADO NÚMERO 24, CORTE DE 25 CM, INCLUSO TRANSPORTE VERTICAL. AF_07/2019</t>
  </si>
  <si>
    <t>Piscina</t>
  </si>
  <si>
    <t>19.2</t>
  </si>
  <si>
    <t>20.1</t>
  </si>
  <si>
    <t>20.2</t>
  </si>
  <si>
    <t>20.3</t>
  </si>
  <si>
    <t>21.1</t>
  </si>
  <si>
    <t>Total do item 20.0</t>
  </si>
  <si>
    <t>Total do item 21.0</t>
  </si>
  <si>
    <t>Comp. (m)</t>
  </si>
  <si>
    <t>Cobertura 02</t>
  </si>
  <si>
    <t>Cobertura 03</t>
  </si>
  <si>
    <t>Cobertura 03 (parte menor)</t>
  </si>
  <si>
    <t>Cobertura 03 (geral)</t>
  </si>
  <si>
    <t>Cobertura 04</t>
  </si>
  <si>
    <t>Mesma área de trama para cobertura</t>
  </si>
  <si>
    <t>Comp. (+10cm)</t>
  </si>
  <si>
    <t>Largura (+10 cm)</t>
  </si>
  <si>
    <t>Prof. (+3cm)</t>
  </si>
  <si>
    <t>S1</t>
  </si>
  <si>
    <t>S5=S13=S29=S31</t>
  </si>
  <si>
    <t>S6=S20</t>
  </si>
  <si>
    <t>S11=S12=S18=S19</t>
  </si>
  <si>
    <t>S3=S7=S8=S10=S21=S22=S28</t>
  </si>
  <si>
    <t>S23 À S27</t>
  </si>
  <si>
    <t>S2=S4 =S9=S14 À S17 =S30=S32 À S35</t>
  </si>
  <si>
    <t>Comp. (x2)</t>
  </si>
  <si>
    <t>Largura (x2)</t>
  </si>
  <si>
    <t>Prof.</t>
  </si>
  <si>
    <t>Lateral</t>
  </si>
  <si>
    <t>Superficie</t>
  </si>
  <si>
    <t>P2=P4 =P9=P14 À P17=P30=P32 À P35</t>
  </si>
  <si>
    <t>P11=P12=P18=P19</t>
  </si>
  <si>
    <t>P7=P8 =P10=P22</t>
  </si>
  <si>
    <t>P3=P21 =P28</t>
  </si>
  <si>
    <t>P5=P13 =P29=P31</t>
  </si>
  <si>
    <t>P20</t>
  </si>
  <si>
    <t>P27</t>
  </si>
  <si>
    <t>P23 À P26</t>
  </si>
  <si>
    <t>Comp</t>
  </si>
  <si>
    <t>4.1.6</t>
  </si>
  <si>
    <t>4.1.7</t>
  </si>
  <si>
    <t>96545</t>
  </si>
  <si>
    <t>ARMAÇÃO DE BLOCO, VIGA BALDRAME OU SAPATA UTILIZANDO AÇO CA-50 DE 8 MM - MONTAGEM. AF_06/2017</t>
  </si>
  <si>
    <t>96546</t>
  </si>
  <si>
    <t>ARMAÇÃO DE BLOCO, VIGA BALDRAME OU SAPATA UTILIZANDO AÇO CA-50 DE 10 MM - MONTAGEM. AF_06/2017</t>
  </si>
  <si>
    <t>N°</t>
  </si>
  <si>
    <t>N° de Sapata</t>
  </si>
  <si>
    <t>N5</t>
  </si>
  <si>
    <t>N6</t>
  </si>
  <si>
    <t>N2</t>
  </si>
  <si>
    <t>N3</t>
  </si>
  <si>
    <t>N7</t>
  </si>
  <si>
    <t>N8</t>
  </si>
  <si>
    <t>N9</t>
  </si>
  <si>
    <t>N4</t>
  </si>
  <si>
    <t>Total (kg/m)</t>
  </si>
  <si>
    <t>Kg/m</t>
  </si>
  <si>
    <t>CA 50 - ø10.0</t>
  </si>
  <si>
    <r>
      <rPr>
        <sz val="10"/>
        <rFont val="Calibri"/>
        <family val="2"/>
      </rPr>
      <t>CA 50 - ø</t>
    </r>
    <r>
      <rPr>
        <sz val="10"/>
        <rFont val="Arial"/>
        <family val="2"/>
      </rPr>
      <t>8.0</t>
    </r>
  </si>
  <si>
    <t>N13</t>
  </si>
  <si>
    <t>N14</t>
  </si>
  <si>
    <t>4.2.6</t>
  </si>
  <si>
    <t>4.2.7</t>
  </si>
  <si>
    <t>92764</t>
  </si>
  <si>
    <t>ARMAÇÃO DE PILAR OU VIGA DE UMA ESTRUTURA CONVENCIONAL DE CONCRETO ARMADO EM UM EDIFÍCIO DE MÚLTIPLOS PAVIMENTOS UTILIZANDO AÇO CA-50 DE 16,0 MM - MONTAGEM. AF_12/2015</t>
  </si>
  <si>
    <t>92763</t>
  </si>
  <si>
    <t>ARMAÇÃO DE PILAR OU VIGA DE UMA ESTRUTURA CONVENCIONAL DE CONCRETO ARMADO EM UM EDIFÍCIO DE MÚLTIPLOS PAVIMENTOS UTILIZANDO AÇO CA-50 DE 12,5 MM - MONTAGEM. AF_12/2015</t>
  </si>
  <si>
    <r>
      <rPr>
        <sz val="10"/>
        <rFont val="Calibri"/>
        <family val="2"/>
      </rPr>
      <t>CA 50 - ø10</t>
    </r>
    <r>
      <rPr>
        <sz val="10"/>
        <rFont val="Arial"/>
        <family val="2"/>
      </rPr>
      <t>.0</t>
    </r>
  </si>
  <si>
    <t>N10</t>
  </si>
  <si>
    <t>P9</t>
  </si>
  <si>
    <t>P14</t>
  </si>
  <si>
    <t>P15=P16=P17</t>
  </si>
  <si>
    <t>P8=P10</t>
  </si>
  <si>
    <t>N1</t>
  </si>
  <si>
    <t>N11</t>
  </si>
  <si>
    <t>P29</t>
  </si>
  <si>
    <t>P5=P13 =P31</t>
  </si>
  <si>
    <t>P11</t>
  </si>
  <si>
    <t>N12</t>
  </si>
  <si>
    <t>P12</t>
  </si>
  <si>
    <t>N° de Pilares</t>
  </si>
  <si>
    <t>P30=P32 À P34</t>
  </si>
  <si>
    <t>P35</t>
  </si>
  <si>
    <t>N16</t>
  </si>
  <si>
    <t>P21=P28</t>
  </si>
  <si>
    <t>N15</t>
  </si>
  <si>
    <t>N17</t>
  </si>
  <si>
    <t>P18</t>
  </si>
  <si>
    <t>P19</t>
  </si>
  <si>
    <r>
      <rPr>
        <sz val="10"/>
        <rFont val="Calibri"/>
        <family val="2"/>
      </rPr>
      <t>CA 50 - ø12</t>
    </r>
    <r>
      <rPr>
        <sz val="10"/>
        <rFont val="Arial"/>
        <family val="2"/>
      </rPr>
      <t>.5</t>
    </r>
  </si>
  <si>
    <t>N° de Pilar</t>
  </si>
  <si>
    <t>N° de  Pilar</t>
  </si>
  <si>
    <t>N19</t>
  </si>
  <si>
    <r>
      <rPr>
        <sz val="10"/>
        <rFont val="Calibri"/>
        <family val="2"/>
      </rPr>
      <t>CA 50 - ø16</t>
    </r>
    <r>
      <rPr>
        <sz val="10"/>
        <rFont val="Arial"/>
        <family val="2"/>
      </rPr>
      <t>.0</t>
    </r>
  </si>
  <si>
    <t>N18</t>
  </si>
  <si>
    <t>Total (kg)</t>
  </si>
  <si>
    <t>P2=P30=P32 À P35</t>
  </si>
  <si>
    <t>P4=P9=P14 À P17</t>
  </si>
  <si>
    <r>
      <rPr>
        <sz val="10"/>
        <rFont val="Calibri"/>
        <family val="2"/>
      </rPr>
      <t>CA 60 - ø5</t>
    </r>
    <r>
      <rPr>
        <sz val="10"/>
        <rFont val="Arial"/>
        <family val="2"/>
      </rPr>
      <t>.0</t>
    </r>
  </si>
  <si>
    <t>P8=P10  =P22</t>
  </si>
  <si>
    <t>P12=P18  =P19</t>
  </si>
  <si>
    <t>Memas área de forma</t>
  </si>
  <si>
    <t>4.3.6</t>
  </si>
  <si>
    <t>4.3.7</t>
  </si>
  <si>
    <t>4.3.8</t>
  </si>
  <si>
    <t>4.3.9</t>
  </si>
  <si>
    <t>4.3.10</t>
  </si>
  <si>
    <t>96543</t>
  </si>
  <si>
    <t>ARMAÇÃO DE BLOCO, VIGA BALDRAME E SAPATA UTILIZANDO AÇO CA-60 DE 5 MM - MONTAGEM. AF_06/2017</t>
  </si>
  <si>
    <t>96547</t>
  </si>
  <si>
    <t>ARMAÇÃO DE BLOCO, VIGA BALDRAME OU SAPATA UTILIZANDO AÇO CA-50 DE 12,5 MM - MONTAGEM. AF_06/2017</t>
  </si>
  <si>
    <t>96548</t>
  </si>
  <si>
    <t>ARMAÇÃO DE BLOCO, VIGA BALDRAME OU SAPATA UTILIZANDO AÇO CA-50 DE 16 MM - MONTAGEM. AF_06/2017</t>
  </si>
  <si>
    <t>4.3.11</t>
  </si>
  <si>
    <t>VB1=VB8</t>
  </si>
  <si>
    <t>Largura (+10cm)</t>
  </si>
  <si>
    <t>VB2</t>
  </si>
  <si>
    <t>VB3</t>
  </si>
  <si>
    <t>VB4=VB6</t>
  </si>
  <si>
    <t>VB5</t>
  </si>
  <si>
    <t>VB7</t>
  </si>
  <si>
    <t>VB9</t>
  </si>
  <si>
    <t>VB10 =VB11</t>
  </si>
  <si>
    <t>VB12</t>
  </si>
  <si>
    <t>VB13</t>
  </si>
  <si>
    <t>VB14</t>
  </si>
  <si>
    <t>VB15</t>
  </si>
  <si>
    <t>VB16</t>
  </si>
  <si>
    <t>VB17</t>
  </si>
  <si>
    <t>VB19</t>
  </si>
  <si>
    <t>VB20</t>
  </si>
  <si>
    <t>VB21</t>
  </si>
  <si>
    <t>VB22</t>
  </si>
  <si>
    <t>VB24</t>
  </si>
  <si>
    <t>VB25</t>
  </si>
  <si>
    <t>VB26</t>
  </si>
  <si>
    <t>VB27</t>
  </si>
  <si>
    <t>VB28</t>
  </si>
  <si>
    <t>VB30</t>
  </si>
  <si>
    <t>VB29=VB18=VB23</t>
  </si>
  <si>
    <t>VB31</t>
  </si>
  <si>
    <t>VB32</t>
  </si>
  <si>
    <t>OBS: 15 cm da viga ficará sobre o solo.</t>
  </si>
  <si>
    <t>N° de Lados</t>
  </si>
  <si>
    <t>30010</t>
  </si>
  <si>
    <t>ESCAVAÇÃO MANUAL ATE 1.50M DE PROFUNDIDADE</t>
  </si>
  <si>
    <t>96536</t>
  </si>
  <si>
    <t>50035</t>
  </si>
  <si>
    <t>FORMAS PARA CONCRETO EM CHAPA DE MADEIRA COMPENSADA RESINADA E=15MM (REAP 2X)</t>
  </si>
  <si>
    <t>CA 50 - ø8.0</t>
  </si>
  <si>
    <t>N° de Vigas</t>
  </si>
  <si>
    <t>CA 50 - ø12.5</t>
  </si>
  <si>
    <t>CA 50 - ø16.0</t>
  </si>
  <si>
    <t>CA 60 - ø5.0</t>
  </si>
  <si>
    <t>N20</t>
  </si>
  <si>
    <t>N21</t>
  </si>
  <si>
    <t>N22</t>
  </si>
  <si>
    <t>N23</t>
  </si>
  <si>
    <t>N24</t>
  </si>
  <si>
    <t>N25</t>
  </si>
  <si>
    <t>N26</t>
  </si>
  <si>
    <t>N27</t>
  </si>
  <si>
    <t>N28</t>
  </si>
  <si>
    <t>N29</t>
  </si>
  <si>
    <t>N30</t>
  </si>
  <si>
    <t>N31</t>
  </si>
  <si>
    <t>N32</t>
  </si>
  <si>
    <t>N33</t>
  </si>
  <si>
    <t>N34</t>
  </si>
  <si>
    <t>N35</t>
  </si>
  <si>
    <t>N36</t>
  </si>
  <si>
    <t>N37</t>
  </si>
  <si>
    <t>N38</t>
  </si>
  <si>
    <t>N39</t>
  </si>
  <si>
    <t>N40</t>
  </si>
  <si>
    <t>N42</t>
  </si>
  <si>
    <t>N43</t>
  </si>
  <si>
    <t>N44</t>
  </si>
  <si>
    <t>N45</t>
  </si>
  <si>
    <t>N46</t>
  </si>
  <si>
    <t>N47</t>
  </si>
  <si>
    <t>N48</t>
  </si>
  <si>
    <t>N49</t>
  </si>
  <si>
    <t>N50</t>
  </si>
  <si>
    <t>N51</t>
  </si>
  <si>
    <t>N52</t>
  </si>
  <si>
    <t>N53</t>
  </si>
  <si>
    <t>N54</t>
  </si>
  <si>
    <t>N55</t>
  </si>
  <si>
    <t>N56</t>
  </si>
  <si>
    <t>N57</t>
  </si>
  <si>
    <t>N58</t>
  </si>
  <si>
    <t>N59</t>
  </si>
  <si>
    <t>N60</t>
  </si>
  <si>
    <t>N61</t>
  </si>
  <si>
    <t>N62</t>
  </si>
  <si>
    <t>N63</t>
  </si>
  <si>
    <t>N64</t>
  </si>
  <si>
    <t>N65</t>
  </si>
  <si>
    <t>N66</t>
  </si>
  <si>
    <t>N67</t>
  </si>
  <si>
    <t>N68</t>
  </si>
  <si>
    <t>N70</t>
  </si>
  <si>
    <t>N71</t>
  </si>
  <si>
    <t>N72</t>
  </si>
  <si>
    <t>N73</t>
  </si>
  <si>
    <t>N74</t>
  </si>
  <si>
    <t>N75</t>
  </si>
  <si>
    <t>Volume Escavado</t>
  </si>
  <si>
    <t>Vigas Bald.</t>
  </si>
  <si>
    <t>Volume de Concreto</t>
  </si>
  <si>
    <t>Lastro</t>
  </si>
  <si>
    <t>Estruturas</t>
  </si>
  <si>
    <t>Pilar de Arr.</t>
  </si>
  <si>
    <t>Obs: Para este cálculo será considerado apenas o volume submerso</t>
  </si>
  <si>
    <t>Vol. Escavado</t>
  </si>
  <si>
    <t>Vol. de Lastro</t>
  </si>
  <si>
    <t>Vol. Estrutura</t>
  </si>
  <si>
    <t>80676</t>
  </si>
  <si>
    <t>IMPERMEABILIZAÇÃO COM MASSA ASFÁLTICA PARA CONCRETO (2 DEMÃOS)</t>
  </si>
  <si>
    <t>94965</t>
  </si>
  <si>
    <t>CONCRETO FCK = 25MPA, TRAÇO 1:2,3:2,7 (EM MASSA SECA DE CIMENTO/ AREIA MÉDIA/ BRITA 1) - PREPARO MECÂNICO COM BETONEIRA 400 L. AF_05/2021</t>
  </si>
  <si>
    <t>4.3.12</t>
  </si>
  <si>
    <t>4.2.8</t>
  </si>
  <si>
    <t>4.1.8</t>
  </si>
  <si>
    <t>Mesmo Volume de concreto</t>
  </si>
  <si>
    <t>Nível +3,00m</t>
  </si>
  <si>
    <t>P3=P6</t>
  </si>
  <si>
    <t>P1=P2=P4=P5=P7=P8</t>
  </si>
  <si>
    <t>P9=P10</t>
  </si>
  <si>
    <t>P11=P12</t>
  </si>
  <si>
    <t>P13 à P17</t>
  </si>
  <si>
    <t>P20=P22 à P26</t>
  </si>
  <si>
    <t>P24=P29</t>
  </si>
  <si>
    <t>P21=P27=P28</t>
  </si>
  <si>
    <t>P30 à P35</t>
  </si>
  <si>
    <t>Nível +4,00m</t>
  </si>
  <si>
    <t>Nível +4,60m</t>
  </si>
  <si>
    <t>P1=P2=P4=P5=P8</t>
  </si>
  <si>
    <t>P15=P17</t>
  </si>
  <si>
    <t>P22=P23=P26</t>
  </si>
  <si>
    <t>P30=P32 à P35</t>
  </si>
  <si>
    <t>5.1.6</t>
  </si>
  <si>
    <t>5.1.7</t>
  </si>
  <si>
    <t>P1=P4=P5=P8=P9=P15 à P17=P22=P23=P25=P26</t>
  </si>
  <si>
    <t>P2=P7=P24</t>
  </si>
  <si>
    <t>P3=P18=P27</t>
  </si>
  <si>
    <t>P3=P27</t>
  </si>
  <si>
    <t>P3=P6=P12=P18=P19=P21=P27=P28</t>
  </si>
  <si>
    <t>P1=P4=P5=P8=P9=P10=P13=P14=P15 à P17=P20=P22=P23=P25=P26=P29</t>
  </si>
  <si>
    <t>P30=P32=P33=P34</t>
  </si>
  <si>
    <t>P31</t>
  </si>
  <si>
    <t>P8</t>
  </si>
  <si>
    <t>P5=P8=P9</t>
  </si>
  <si>
    <t>P10</t>
  </si>
  <si>
    <t>P13</t>
  </si>
  <si>
    <t>P11=P15=P16=P17</t>
  </si>
  <si>
    <t>P22</t>
  </si>
  <si>
    <t>P20=P23=P25=P26</t>
  </si>
  <si>
    <t>P15=P16=P17=P22=P23=P25=P26</t>
  </si>
  <si>
    <t>P4=P22=P23=P25=P26</t>
  </si>
  <si>
    <t>P2=P3=P18=P27</t>
  </si>
  <si>
    <t>P30=P32=P33=P34=P35</t>
  </si>
  <si>
    <t>P24</t>
  </si>
  <si>
    <t>Comp x Largura</t>
  </si>
  <si>
    <t>P3=P6=P11=P12=P18=P19=P27=P21=P28</t>
  </si>
  <si>
    <t>P3=P11=P18=P27</t>
  </si>
  <si>
    <t>P1=P2=P4=P5=P9=P15=P16=P17=P22=P23=P25=P26=P29=P31</t>
  </si>
  <si>
    <t>P1=P2=P4=P5=P7=P8=P9=P10=P13=P14=P15=P16=P17=P20=P22=P23=P25=P26=P24=P29=P30=P31=P32=P33=P34=P35</t>
  </si>
  <si>
    <t>V1=V8</t>
  </si>
  <si>
    <t>V2</t>
  </si>
  <si>
    <t>V3</t>
  </si>
  <si>
    <t>V4=V6</t>
  </si>
  <si>
    <t>V5</t>
  </si>
  <si>
    <t>V7</t>
  </si>
  <si>
    <t>V9</t>
  </si>
  <si>
    <t>V10 =V11</t>
  </si>
  <si>
    <t>V12</t>
  </si>
  <si>
    <t>V13</t>
  </si>
  <si>
    <t>V14</t>
  </si>
  <si>
    <t>V15</t>
  </si>
  <si>
    <t>V16</t>
  </si>
  <si>
    <t>V17</t>
  </si>
  <si>
    <t>V19</t>
  </si>
  <si>
    <t>V20</t>
  </si>
  <si>
    <t>V21</t>
  </si>
  <si>
    <t>V22</t>
  </si>
  <si>
    <t>V24</t>
  </si>
  <si>
    <t>V25</t>
  </si>
  <si>
    <t>V26</t>
  </si>
  <si>
    <t>V27</t>
  </si>
  <si>
    <t>V28</t>
  </si>
  <si>
    <t>V29=V18=V23</t>
  </si>
  <si>
    <t>V30</t>
  </si>
  <si>
    <t>V31</t>
  </si>
  <si>
    <t>V32</t>
  </si>
  <si>
    <t>Perimetros</t>
  </si>
  <si>
    <t>92761</t>
  </si>
  <si>
    <t>ARMAÇÃO DE PILAR OU VIGA DE UMA ESTRUTURA CONVENCIONAL DE CONCRETO ARMADO EM UM EDIFÍCIO DE MÚLTIPLOS PAVIMENTOS UTILIZANDO AÇO CA-50 DE 8,0 MM - MONTAGEM. AF_12/2015</t>
  </si>
  <si>
    <t>5.2.6</t>
  </si>
  <si>
    <t>5.2.7</t>
  </si>
  <si>
    <t>5.2.8</t>
  </si>
  <si>
    <t>V1</t>
  </si>
  <si>
    <t>V6=V4</t>
  </si>
  <si>
    <t>V3=V5=V9=V11=V13=V14</t>
  </si>
  <si>
    <t>V9=V10=V15</t>
  </si>
  <si>
    <t>V8=V16</t>
  </si>
  <si>
    <t>V18=V23</t>
  </si>
  <si>
    <t>V21=V22</t>
  </si>
  <si>
    <t>V25=V26</t>
  </si>
  <si>
    <t>V12=V28</t>
  </si>
  <si>
    <t>V29</t>
  </si>
  <si>
    <t>V2=V30</t>
  </si>
  <si>
    <t>V8</t>
  </si>
  <si>
    <t>V10</t>
  </si>
  <si>
    <t>V11</t>
  </si>
  <si>
    <t>V6=V4=V7=V13</t>
  </si>
  <si>
    <t>V7=V13</t>
  </si>
  <si>
    <t>V11=V14</t>
  </si>
  <si>
    <t>V5=V7=V11=V13=V14=V15</t>
  </si>
  <si>
    <t>V10=V15</t>
  </si>
  <si>
    <t>N41</t>
  </si>
  <si>
    <t>V1=V16</t>
  </si>
  <si>
    <t>V20=V21</t>
  </si>
  <si>
    <t>Área da Viga        (Seção A-A)</t>
  </si>
  <si>
    <t>Mesmo volume de concreto</t>
  </si>
  <si>
    <t>5.3.4</t>
  </si>
  <si>
    <t>93188</t>
  </si>
  <si>
    <t>93189</t>
  </si>
  <si>
    <t>VERGA MOLDADA IN LOCO EM CONCRETO PARA PORTAS COM MAIS DE 1,5 M DE VÃO. AF_03/2016</t>
  </si>
  <si>
    <t>93196</t>
  </si>
  <si>
    <t>CONTRAVERGA MOLDADA IN LOCO EM CONCRETO PARA VÃOS DE ATÉ 1,5 M DE COMPRIMENTO. AF_03/2016</t>
  </si>
  <si>
    <t>93197</t>
  </si>
  <si>
    <t>Contraverga (+40cm)</t>
  </si>
  <si>
    <t>C01</t>
  </si>
  <si>
    <t>C02</t>
  </si>
  <si>
    <t>Verga (+40 cm)</t>
  </si>
  <si>
    <t>PLACA DE SINALIZAÇÃO FOTOLUMINOSCENTE</t>
  </si>
  <si>
    <t>20.4</t>
  </si>
  <si>
    <t>102494</t>
  </si>
  <si>
    <t>PINTURA DE PISO COM TINTA EPÓXI, APLICAÇÃO MANUAL, 2 DEMÃOS, INCLUSO PRIMER EPÓXI. AF_05/2021</t>
  </si>
  <si>
    <t>Faixa Amarela</t>
  </si>
  <si>
    <t>Interior</t>
  </si>
  <si>
    <t>Compr.</t>
  </si>
  <si>
    <t>Nº de Extintores</t>
  </si>
  <si>
    <t>Referência</t>
  </si>
  <si>
    <t>Lastro Interno</t>
  </si>
  <si>
    <t>Lastro Externo</t>
  </si>
  <si>
    <t>LIMPEZA GERAL E ENTREGA DA OBRA</t>
  </si>
  <si>
    <t>5.4</t>
  </si>
  <si>
    <t>5.4.1</t>
  </si>
  <si>
    <t>5.4.2</t>
  </si>
  <si>
    <t>5.4.3</t>
  </si>
  <si>
    <t>5.4.4</t>
  </si>
  <si>
    <t>5.4.5</t>
  </si>
  <si>
    <t>5.4.6</t>
  </si>
  <si>
    <t>V4</t>
  </si>
  <si>
    <t>V6</t>
  </si>
  <si>
    <t>V2=V8</t>
  </si>
  <si>
    <t>COMPOSIÇÃO 15</t>
  </si>
  <si>
    <t>COMPOSIÇÃO 16</t>
  </si>
  <si>
    <t>COMPOSIÇÃO 17</t>
  </si>
  <si>
    <t>COMPOSIÇÃO 18</t>
  </si>
  <si>
    <t>COMPOSIÇÃO 19</t>
  </si>
  <si>
    <t>COMPOSIÇÃO 20</t>
  </si>
  <si>
    <t>COMPOSIÇÃO 21</t>
  </si>
  <si>
    <t>COMPOSIÇÃO 24</t>
  </si>
  <si>
    <t>COMPOSIÇÃO 25</t>
  </si>
  <si>
    <t>COMPOSIÇÃO 26</t>
  </si>
  <si>
    <t>COMPOSIÇÃO 29</t>
  </si>
  <si>
    <t>180105</t>
  </si>
  <si>
    <t>Tubo em PVC -  40mm (LS)</t>
  </si>
  <si>
    <t>170983</t>
  </si>
  <si>
    <t>LUMINÁRIA TIPO ARANDELA- CASCO DE TARTARUGA</t>
  </si>
  <si>
    <t>Acessórios</t>
  </si>
  <si>
    <t>15.1.1</t>
  </si>
  <si>
    <t>15.1.2</t>
  </si>
  <si>
    <t>Banco</t>
  </si>
  <si>
    <t>15.2.1</t>
  </si>
  <si>
    <t>15.2.2</t>
  </si>
  <si>
    <t>92562</t>
  </si>
  <si>
    <t>FABRICAÇÃO E INSTALAÇÃO DE TESOURA INTEIRA EM MADEIRA NÃO APARELHADA, VÃO DE 10 M, PARA TELHA ONDULADA DE FIBROCIMENTO, METÁLICA, PLÁSTICA OU TERMOACÚSTICA, INCLUSO IÇAMENTO. AF_07/2019</t>
  </si>
  <si>
    <t>92544</t>
  </si>
  <si>
    <t>TRAMA DE MADEIRA COMPOSTA POR TERÇAS PARA TELHADOS DE ATÉ 2 ÁGUAS PARA TELHA ESTRUTURAL DE FIBROCIMENTO, INCLUSO TRANSPORTE VERTICAL. AF_07/2019</t>
  </si>
  <si>
    <t>4344</t>
  </si>
  <si>
    <t>PARAFUSO FRANCES METRICO ZINCADO, DIAMETRO 12 MM, COMPRIMENTO 150 MM, COM PORCA SEXTAVADA E ARRUELA DE PRESSAO MEDIA</t>
  </si>
  <si>
    <t>4400</t>
  </si>
  <si>
    <t>CAIBRO NAO APARELHADO,  *6 X 8* CM,  EM MACARANDUBA, ANGELIM OU EQUIVALENTE DA REGIAO -  BRUTA</t>
  </si>
  <si>
    <t>4425</t>
  </si>
  <si>
    <t>4472</t>
  </si>
  <si>
    <t>VIGA NAO APARELHADA *6 X 16* CM, EM MACARANDUBA, ANGELIM OU EQUIVALENTE DA REGIAO -  BRUTA</t>
  </si>
  <si>
    <t>21142</t>
  </si>
  <si>
    <t>ESTRIBO COM PARAFUSO EM CHAPA DE FERRO FUNDIDO DE 2" X 3/16" X 35 CM, SECAO "U", PARA MADEIRAMENTO DE TELHADO</t>
  </si>
  <si>
    <t>39027</t>
  </si>
  <si>
    <t>PREGO DE ACO POLIDO COM CABECA 19  X 36 (3 1/4  X  9)</t>
  </si>
  <si>
    <t>88239</t>
  </si>
  <si>
    <t>AJUDANTE DE CARPINTEIRO COM ENCARGOS COMPLEMENTARES</t>
  </si>
  <si>
    <t>CARPINTEIRO DE FORMAS COM ENCARGOS COMPLEMENTARES</t>
  </si>
  <si>
    <t>92261</t>
  </si>
  <si>
    <t>INSTALAÇÃO DE TESOURA (INTEIRA OU MEIA), BIAPOIADA, EM MADEIRA NÃO APARELHADA, PARA VÃOS MAIORES OU IGUAIS A 8,0 M E MENORES QUE 10,0 M, INCLUSO IÇAMENTO. AF_07/2019</t>
  </si>
  <si>
    <t>1319</t>
  </si>
  <si>
    <t>CHAPA DE ACO FINA A QUENTE BITOLA MSG 3/16 ", E = 4,75 MM (38,00 KG/M2)</t>
  </si>
  <si>
    <t>FABRICAÇÃO E INSTALAÇÃO DE TESOURA INTEIRA EM MADEIRA NÃO APARELHADA, VÃO DE 16,35 M, PARA TELHA ONDULADA DE FIBROCIMENTO, INCLUSO IÇAMENTO.</t>
  </si>
  <si>
    <t>100434</t>
  </si>
  <si>
    <t>CALHA DE BEIRAL, SEMICIRCULAR DE PVC, DIAMETRO 125 MM, INCLUINDO CABECEIRAS, EMENDAS, BOCAIS, SUPORTES E VEDAÇÕES, EXCLUINDO CONDUTORES, INCLUSO TRANSPORTE VERTICAL. AF_07/2019</t>
  </si>
  <si>
    <t>Total (unid)</t>
  </si>
  <si>
    <t>Espaçamento a cada 3 metros</t>
  </si>
  <si>
    <t>12362</t>
  </si>
  <si>
    <t>PORCA OLHAL EM ACO GALVANIZADO, ESPESSURA 16MM, ABERTURA 21MM</t>
  </si>
  <si>
    <t>11837</t>
  </si>
  <si>
    <t>GRAMPO LINHA VIVA DE LATAO ESTANHADO, DIAMETRO DO CONDUTOR PRINCIPAL DE 10 A 120 MM2, DIAMETRO DA DERIVACAO DE 10 A 70 MM2</t>
  </si>
  <si>
    <t>61458</t>
  </si>
  <si>
    <t>PAINEL EM ACM - ESTRUTURADO (FACHADAS)</t>
  </si>
  <si>
    <t>VIGA NAO APARELHADA  *6 X 12* CM, EM MACARANDUBA, ANGELIM OU EQUIVALENTE DA REGIAO - BRUTA (DIAGONAL)</t>
  </si>
  <si>
    <t>VIGA NAO APARELHADA  *6 X 12* CM, EM MACARANDUBA, ANGELIM OU EQUIVALENTE DA REGIAO - BRUTA (VERTICAL)</t>
  </si>
  <si>
    <t>Cobertura 01</t>
  </si>
  <si>
    <t>Superior</t>
  </si>
  <si>
    <t>Inferior</t>
  </si>
  <si>
    <t>97733</t>
  </si>
  <si>
    <t>PEÇA RETANGULAR PRÉ-MOLDADA, VOLUME DE CONCRETO DE ATÉ 10 LITROS, TAXA DE AÇO APROXIMADA DE 30KG/M³. AF_01/2018</t>
  </si>
  <si>
    <t>Vertical</t>
  </si>
  <si>
    <t>Horizontal</t>
  </si>
  <si>
    <t>16.4</t>
  </si>
  <si>
    <t>Fundação</t>
  </si>
  <si>
    <t>16.1.1</t>
  </si>
  <si>
    <t>16.1.2</t>
  </si>
  <si>
    <t>16.2.1</t>
  </si>
  <si>
    <t>16.2.2</t>
  </si>
  <si>
    <t>16.2.3</t>
  </si>
  <si>
    <t>16.2.4</t>
  </si>
  <si>
    <t>16.2.5</t>
  </si>
  <si>
    <t>16.2.6</t>
  </si>
  <si>
    <t>16.3.1</t>
  </si>
  <si>
    <t>Alambrado e Esquadria</t>
  </si>
  <si>
    <t>96995</t>
  </si>
  <si>
    <t>REATERRO MANUAL APILOADO COM SOQUETE. AF_10/2017</t>
  </si>
  <si>
    <t>102364</t>
  </si>
  <si>
    <t>ALAMBRADO PARA QUADRA POLIESPORTIVA, ESTRUTURADO POR TUBOS DE ACO GALVANIZADO, (MONTANTES COM DIAMETRO 2", TRAVESSAS E ESCORAS COM DIÂMETRO 1 ¼), COM TELA DE ARAME GALVANIZADO, FIO 10 BWG E MALHA QUADRADA 5X5CM (EXCETO MURETA). AF_03/2021</t>
  </si>
  <si>
    <t>ESCAVAÇÃO MANUAL ATÉ 1.50M DE PROFUNDIDADE</t>
  </si>
  <si>
    <t>16.4.1</t>
  </si>
  <si>
    <t>16.4.2</t>
  </si>
  <si>
    <t>16.4.3</t>
  </si>
  <si>
    <t>100719</t>
  </si>
  <si>
    <t>PINTURA COM TINTA ALQUÍDICA DE FUNDO (TIPO ZARCÃO) PULVERIZADA SOBRE PERFIL METÁLICO EXECUTADO EM FÁBRICA (POR DEMÃO). AF_01/2020_P</t>
  </si>
  <si>
    <t>93204</t>
  </si>
  <si>
    <t>CINTA DE AMARRAÇÃO DE ALVENARIA MOLDADA IN LOCO EM CONCRETO. AF_03/2016</t>
  </si>
  <si>
    <t>88495</t>
  </si>
  <si>
    <t>APLICAÇÃO E LIXAMENTO DE MASSA LÁTEX EM PAREDES, UMA DEMÃO. AF_06/2014</t>
  </si>
  <si>
    <t>88489</t>
  </si>
  <si>
    <t>88485</t>
  </si>
  <si>
    <t>APLICAÇÃO DE FUNDO SELADOR ACRÍLICO EM PAREDES, UMA DEMÃO. AF_06/2014</t>
  </si>
  <si>
    <t>Demolição e Retirada</t>
  </si>
  <si>
    <t>97622</t>
  </si>
  <si>
    <t>DEMOLIÇÃO DE ALVENARIA DE BLOCO FURADO, DE FORMA MANUAL, SEM REAPROVEITAMENTO. AF_12/2017</t>
  </si>
  <si>
    <t>97627</t>
  </si>
  <si>
    <t>DEMOLIÇÃO DE PILARES E VIGAS EM CONCRETO ARMADO, DE FORMA MECANIZADA COM MARTELETE, SEM REAPROVEITAMENTO. AF_12/2017</t>
  </si>
  <si>
    <t>100367</t>
  </si>
  <si>
    <t>FABRICAÇÃO E INSTALAÇÃO DE MEIA TESOURA DE MADEIRA NÃO APARELHADA, COM VÃO DE 3 M, PARA TELHA ONDULADA DE FIBROCIMENTO, ALUMÍNIO, PLÁSTICA OU TERMOACÚSTICA, INCLUSO IÇAMENTO. AF_07/2019</t>
  </si>
  <si>
    <t>2.7</t>
  </si>
  <si>
    <t>10032</t>
  </si>
  <si>
    <t>DESTOCAMENTO MANUAL DE ARVORES D=30CM</t>
  </si>
  <si>
    <t>102487</t>
  </si>
  <si>
    <t>CONCRETO CICLÓPICO FCK = 15MPA, 30% PEDRA DE MÃO EM VOLUME REAL, INCLUSIVE LANÇAMENTO. AF_05/2021</t>
  </si>
  <si>
    <t>16.1.3</t>
  </si>
  <si>
    <t>Muro Existente</t>
  </si>
  <si>
    <t>Calçada</t>
  </si>
  <si>
    <t>Dimensões das estruturas de fundação:</t>
  </si>
  <si>
    <r>
      <t>·</t>
    </r>
    <r>
      <rPr>
        <sz val="7"/>
        <rFont val="Times New Roman"/>
        <family val="1"/>
      </rPr>
      <t xml:space="preserve">         </t>
    </r>
    <r>
      <rPr>
        <sz val="11"/>
        <rFont val="Calibri"/>
        <family val="2"/>
      </rPr>
      <t>Muro</t>
    </r>
  </si>
  <si>
    <r>
      <t>·</t>
    </r>
    <r>
      <rPr>
        <sz val="7"/>
        <rFont val="Times New Roman"/>
        <family val="1"/>
      </rPr>
      <t xml:space="preserve">         </t>
    </r>
    <r>
      <rPr>
        <sz val="11"/>
        <rFont val="Calibri"/>
        <family val="2"/>
      </rPr>
      <t>Alambrado</t>
    </r>
  </si>
  <si>
    <r>
      <t>o</t>
    </r>
    <r>
      <rPr>
        <sz val="7"/>
        <rFont val="Times New Roman"/>
        <family val="1"/>
      </rPr>
      <t xml:space="preserve">   </t>
    </r>
    <r>
      <rPr>
        <sz val="11"/>
        <rFont val="Calibri"/>
        <family val="2"/>
      </rPr>
      <t>Pilar – 20 x 45 cm</t>
    </r>
  </si>
  <si>
    <t>Profundidade (+ 5cm)</t>
  </si>
  <si>
    <t>Viga Baldrame</t>
  </si>
  <si>
    <t>Alambrado</t>
  </si>
  <si>
    <t>96619</t>
  </si>
  <si>
    <t>LASTRO DE CONCRETO MAGRO, APLICADO EM BLOCOS DE COROAMENTO OU SAPATAS, ESPESSURA DE 5 CM. AF_08/2017</t>
  </si>
  <si>
    <t>Seguindo as orientações da NBR 9050/2004 da ABNT, as bacias sanitárias devem estar a uma altura entre 0,43m e 0,45m do piso acabado, medidas a partir da borda superior, sem o assento. Com o assento, esta altura deve ser de no máximo 0,46m.</t>
  </si>
  <si>
    <t>94990</t>
  </si>
  <si>
    <t>EXECUÇÃO DE PASSEIO (CALÇADA) OU PISO DE CONCRETO COM CONCRETO MOLDADO IN LOCO, FEITO EM OBRA, ACABAMENTO CONVENCIONAL, NÃO ARMADO. AF_07/2016</t>
  </si>
  <si>
    <t>Sôculo</t>
  </si>
  <si>
    <t>OBS: O quantitativo de revestimento do piso dos banheiros, atende ao acabamento dos sôculos.</t>
  </si>
  <si>
    <r>
      <t>o</t>
    </r>
    <r>
      <rPr>
        <sz val="7"/>
        <rFont val="Times New Roman"/>
        <family val="1"/>
      </rPr>
      <t xml:space="preserve">   </t>
    </r>
    <r>
      <rPr>
        <sz val="11"/>
        <rFont val="Calibri"/>
        <family val="2"/>
      </rPr>
      <t>Viga Baldrame – 30 x 30 x 50 cm</t>
    </r>
  </si>
  <si>
    <r>
      <t>o</t>
    </r>
    <r>
      <rPr>
        <sz val="7"/>
        <rFont val="Times New Roman"/>
        <family val="1"/>
      </rPr>
      <t xml:space="preserve">   </t>
    </r>
    <r>
      <rPr>
        <sz val="11"/>
        <rFont val="Calibri"/>
        <family val="2"/>
      </rPr>
      <t>Pilar – 60 x 60 x 50 cm</t>
    </r>
  </si>
  <si>
    <r>
      <t>o</t>
    </r>
    <r>
      <rPr>
        <sz val="7"/>
        <rFont val="Times New Roman"/>
        <family val="1"/>
      </rPr>
      <t xml:space="preserve">   </t>
    </r>
    <r>
      <rPr>
        <sz val="11"/>
        <rFont val="Calibri"/>
        <family val="2"/>
      </rPr>
      <t>Pilar – 20 x 20 x 45 cm</t>
    </r>
  </si>
  <si>
    <t>N° de Faces</t>
  </si>
  <si>
    <t>Vol Escavado</t>
  </si>
  <si>
    <t>Vol Lastro</t>
  </si>
  <si>
    <t>Vol Concreto</t>
  </si>
  <si>
    <t>Muro e Gradil</t>
  </si>
  <si>
    <t>18.4</t>
  </si>
  <si>
    <t>18.5</t>
  </si>
  <si>
    <t>Novo</t>
  </si>
  <si>
    <t>Existente</t>
  </si>
  <si>
    <t>Mesma área de Massa Látex</t>
  </si>
  <si>
    <t>COMPOSIÇÃO 30</t>
  </si>
  <si>
    <t>G01</t>
  </si>
  <si>
    <t>G02</t>
  </si>
  <si>
    <t>PT1</t>
  </si>
  <si>
    <t>Para pintar grades calcula-se como se fosse pintar um muro de um só lado, por exemplo, uma grade com 10 metros de comprimento por 2 de altura – 10m x 2m = 20m², um galão de 3,6L para pintura com 2 demãos.</t>
  </si>
  <si>
    <t>Memas área de alambrado</t>
  </si>
  <si>
    <t>PT2</t>
  </si>
  <si>
    <t>Brinquedo</t>
  </si>
  <si>
    <t>Área para Terapia Sensorial</t>
  </si>
  <si>
    <t>250532</t>
  </si>
  <si>
    <t>BANCO EM CONCRETO C/2 MOD.2,75X0,4M (DET.12)</t>
  </si>
  <si>
    <t>COTAÇÃO 03</t>
  </si>
  <si>
    <t>Bearti - Arte em Madeira</t>
  </si>
  <si>
    <t>https://bearti.com.br/</t>
  </si>
  <si>
    <t>(48) 99145-9487</t>
  </si>
  <si>
    <t>Mundos dos Brinquedos</t>
  </si>
  <si>
    <t>(11) 98506-8281</t>
  </si>
  <si>
    <t>www.mdosbrinquedos.com.br</t>
  </si>
  <si>
    <t>Mega Playgrounds</t>
  </si>
  <si>
    <t>(11) 97267-3766</t>
  </si>
  <si>
    <t>www.megaplaygrounds.com.br</t>
  </si>
  <si>
    <t>280023</t>
  </si>
  <si>
    <t>16.3.2</t>
  </si>
  <si>
    <t>16.3.3</t>
  </si>
  <si>
    <t>16.3.4</t>
  </si>
  <si>
    <t>16.3.5</t>
  </si>
  <si>
    <t>MURO EM ALVENARIA REBOCADO E PINTADO 2 FACES(H=2.0M)</t>
  </si>
  <si>
    <t>Construção, Revestimento e Pintura</t>
  </si>
  <si>
    <t>16.3.6</t>
  </si>
  <si>
    <t>17.1.1</t>
  </si>
  <si>
    <t>17.2.1</t>
  </si>
  <si>
    <t>17.3.1</t>
  </si>
  <si>
    <t>17.3.2</t>
  </si>
  <si>
    <t>17.3.3</t>
  </si>
  <si>
    <t>17.3.1.1</t>
  </si>
  <si>
    <t>17.3.1.2</t>
  </si>
  <si>
    <t>17.3.1.3</t>
  </si>
  <si>
    <t>17.3.2.1</t>
  </si>
  <si>
    <t>17.3.2.2</t>
  </si>
  <si>
    <t>17.3.2.3</t>
  </si>
  <si>
    <t>17.3.2.4</t>
  </si>
  <si>
    <t>17.3.2.5</t>
  </si>
  <si>
    <t>Piso Sensorial</t>
  </si>
  <si>
    <t>Parede Sensorial</t>
  </si>
  <si>
    <t>17.3.3.1</t>
  </si>
  <si>
    <t>130110</t>
  </si>
  <si>
    <t>260850</t>
  </si>
  <si>
    <t>260168</t>
  </si>
  <si>
    <t>94342</t>
  </si>
  <si>
    <t>ATERRO MANUAL DE VALAS COM AREIA PARA ATERRO E COMPACTAÇÃO MECANIZADA. AF_05/2016</t>
  </si>
  <si>
    <t>COMPOSIÇÃO 31</t>
  </si>
  <si>
    <t>44396</t>
  </si>
  <si>
    <t>COLA BRANCA BASE PVA</t>
  </si>
  <si>
    <t>88320</t>
  </si>
  <si>
    <t>TAQUEADOR OU TAQUEIRO COM ENCARGOS COMPLEMENTARES</t>
  </si>
  <si>
    <t>4115</t>
  </si>
  <si>
    <t>MADEIRA ROLICA TRATADA, D = 12 A 15 CM, H = 3,00 M, EM EUCALIPTO OU EQUIVALENTE DA REGIAO</t>
  </si>
  <si>
    <t>PISO EM MADEIRA ROLICA TRATADA, D = 12 A 15 CM, H = 3,00 M, EM EUCALIPTO OU EQUIVALENTE DA REGIAO, FIXADO COM COLA BASE DE PVA. FORNECIMENTO E INSTALAÇÃO</t>
  </si>
  <si>
    <t>101172</t>
  </si>
  <si>
    <t>EXECUÇÃO DE PAVIMENTO EM PEDRAS POLIÉDRICAS, REJUNTAMENTO COM ARGAMASSA TRAÇO 1:3 (CIMENTO E AREIA). AF_05/2020</t>
  </si>
  <si>
    <t>SEIXO COM ESPALHAMENTO</t>
  </si>
  <si>
    <t>PLANTIO DE GRAMA (INCL. TERRA PRETA)</t>
  </si>
  <si>
    <t>COMPOSIÇÃO 32</t>
  </si>
  <si>
    <t>20205</t>
  </si>
  <si>
    <t>RIPA  APARELHADA *1,5 X 5* CM, EM MACARANDUBA, ANGELIM OU EQUIVALENTE DA REGIAO</t>
  </si>
  <si>
    <t>5078</t>
  </si>
  <si>
    <t>PREGO DE ACO POLIDO COM CABECA 16 X 27 (2 1/2 X 12)</t>
  </si>
  <si>
    <t>7583</t>
  </si>
  <si>
    <t>BUCHA DE NYLON SEM ABA S8, COM PARAFUSO DE 4,80 X 50 MM EM ACO ZINCADO COM ROSCA SOBERBA, CABECA CHATA E FENDA PHILLIPS</t>
  </si>
  <si>
    <t>CAMADA REGULARIZADORA NO TRAÇO 1:4</t>
  </si>
  <si>
    <t>Acesso</t>
  </si>
  <si>
    <t>Área Total</t>
  </si>
  <si>
    <t>Cx Seixo</t>
  </si>
  <si>
    <t>Cx Grama</t>
  </si>
  <si>
    <t>Cx Área</t>
  </si>
  <si>
    <t>Cx Madeira</t>
  </si>
  <si>
    <t>Fachada e Paisagismo</t>
  </si>
  <si>
    <t>Paisagismo</t>
  </si>
  <si>
    <t>19.2.1</t>
  </si>
  <si>
    <t>19.2.2</t>
  </si>
  <si>
    <t>19.2.3</t>
  </si>
  <si>
    <t>19.1.1</t>
  </si>
  <si>
    <t>19.1.2</t>
  </si>
  <si>
    <t>19.1.3</t>
  </si>
  <si>
    <t>Cob. 01</t>
  </si>
  <si>
    <t>98509</t>
  </si>
  <si>
    <t>PLANTIO DE ARBUSTO OU  CERCA VIVA. AF_05/2018</t>
  </si>
  <si>
    <t>ADESIVO VINILICO</t>
  </si>
  <si>
    <t>COTAÇÃO 04</t>
  </si>
  <si>
    <t>RG Comunicação Visual</t>
  </si>
  <si>
    <t>(91) 3032-5959</t>
  </si>
  <si>
    <t>Art Visual</t>
  </si>
  <si>
    <t>(91) 3230-1089</t>
  </si>
  <si>
    <t>Quality - Gráfica &amp; Comunicação</t>
  </si>
  <si>
    <t>(91) 98937-9037</t>
  </si>
  <si>
    <t>88243</t>
  </si>
  <si>
    <t>AJUDANTE ESPECIALIZADO COM ENCARGOS COMPLEMENTARES</t>
  </si>
  <si>
    <t>ADESIVO VINILICO FIXADO EM PAINEL ACM PARA FACHADA. FORNECIMENTO E INSTALAÇÃO.</t>
  </si>
  <si>
    <t>Nome</t>
  </si>
  <si>
    <t>CER</t>
  </si>
  <si>
    <t>Centro de Fisiot.</t>
  </si>
  <si>
    <t>41953</t>
  </si>
  <si>
    <t>CABO DE ACO GALVANIZADO, DIAMETRO 12,7 MM (1/2"), COM ALMA DE FIBRA 6 X 25 F</t>
  </si>
  <si>
    <t>11976</t>
  </si>
  <si>
    <t>TIRANTE EM CABO DE AÇO GALVANIZADO, DIÂMETRO DE 9,53 MM (3/8") PARA COBERTURA. FORNECIMENTO E INSTALAÇÃO.</t>
  </si>
  <si>
    <t>Superior / Inferior (menor)</t>
  </si>
  <si>
    <t>Superior / Inferior (maior)</t>
  </si>
  <si>
    <t>10.2.4</t>
  </si>
  <si>
    <t>94273</t>
  </si>
  <si>
    <t>ASSENTAMENTO DE GUIA (MEIO-FIO) EM TRECHO RETO, CONFECCIONADA EM CONCRETO PRÉ-FABRICADO, DIMENSÕES 100X15X13X30 CM (COMPRIMENTO X BASE INFERIOR X BASE SUPERIOR X ALTURA), PARA VIAS URBANAS (USO VIÁRIO). AF_06/2016</t>
  </si>
  <si>
    <t>10.2.5</t>
  </si>
  <si>
    <t>13.3.10</t>
  </si>
  <si>
    <t>89711</t>
  </si>
  <si>
    <t>TUBO PVC, SERIE NORMAL, ESGOTO PREDIAL, DN 40 MM, FORNECIDO E INSTALADO EM RAMAL DE DESCARGA OU RAMAL DE ESGOTO SANITÁRIO. AF_12/2014</t>
  </si>
  <si>
    <t>13.3.11</t>
  </si>
  <si>
    <t>13.3.12</t>
  </si>
  <si>
    <t>13.3.13</t>
  </si>
  <si>
    <t>102710</t>
  </si>
  <si>
    <t>JUNÇÃO SIMPLES DE PVC, 45 GRAUS, SÉRIE NORMAL, PARA ESGOTO PREDIAL, DN 100 MM, INSTALADA EM DRENO - FORNECIMENTO E INSTALAÇÃO. AF_07/2021</t>
  </si>
  <si>
    <t>180248</t>
  </si>
  <si>
    <t>JUNÇÃO SIMPLES PVC JS -  40 X 40MM - LS</t>
  </si>
  <si>
    <t>180429</t>
  </si>
  <si>
    <t>89731</t>
  </si>
  <si>
    <t>JOELHO 90 GRAUS, PVC, SERIE NORMAL, ESGOTO PREDIAL, DN 50 MM, JUNTA ELÁSTICA, FORNECIDO E INSTALADO EM RAMAL DE DESCARGA OU RAMAL DE ESGOTO SANITÁRIO. AF_12/2014</t>
  </si>
  <si>
    <t>89728</t>
  </si>
  <si>
    <t>CURVA CURTA 90 GRAUS, PVC, SERIE NORMAL, ESGOTO PREDIAL, DN 40 MM, JUNTA SOLDÁVEL, FORNECIDO E INSTALADO EM RAMAL DE DESCARGA OU RAMAL DE ESGOTO SANITÁRIO. AF_12/2014</t>
  </si>
  <si>
    <t>89733</t>
  </si>
  <si>
    <t>CURVA CURTA 90 GRAUS, PVC, SERIE NORMAL, ESGOTO PREDIAL, DN 50 MM, JUNTA ELÁSTICA, FORNECIDO E INSTALADO EM RAMAL DE DESCARGA OU RAMAL DE ESGOTO SANITÁRIO. AF_12/2014</t>
  </si>
  <si>
    <t>89748</t>
  </si>
  <si>
    <t>JOELHO/COTOVELO 90º  PVC - JS - 40MM-LH</t>
  </si>
  <si>
    <t>89726</t>
  </si>
  <si>
    <t>JOELHO 45 GRAUS, PVC, SERIE NORMAL, ESGOTO PREDIAL, DN 40 MM, JUNTA SOLDÁVEL, FORNECIDO E INSTALADO EM RAMAL DE DESCARGA OU RAMAL DE ESGOTO SANITÁRIO. AF_12/2014</t>
  </si>
  <si>
    <t>89732</t>
  </si>
  <si>
    <t>JOELHO 45 GRAUS, PVC, SERIE NORMAL, ESGOTO PREDIAL, DN 50 MM, JUNTA ELÁSTICA, FORNECIDO E INSTALADO EM RAMAL DE DESCARGA OU RAMAL DE ESGOTO SANITÁRIO. AF_12/2014</t>
  </si>
  <si>
    <t>13.3.14</t>
  </si>
  <si>
    <t>13.3.15</t>
  </si>
  <si>
    <t>13.3.16</t>
  </si>
  <si>
    <t>13.3.17</t>
  </si>
  <si>
    <t>39319</t>
  </si>
  <si>
    <t>TERMINAL DE VENTILACAO, 50 MM, SERIE NORMAL, ESGOTO PREDIAL</t>
  </si>
  <si>
    <t>20078</t>
  </si>
  <si>
    <t>PASTA LUBRIFICANTE PARA TUBOS E CONEXOES COM JUNTA ELASTICA, EMBALAGEM DE *400* GR (USO EM PVC, ACO, POLIETILENO E OUTROS)</t>
  </si>
  <si>
    <t>TERMINAL DE VENTILACAO, 50 MM, SERIE NORMAL, ESGOTO PREDIAL. FORNECIMENTO E INSTALAÇÃO.</t>
  </si>
  <si>
    <t>89710</t>
  </si>
  <si>
    <t>RALO SECO, PVC, DN 100 X 40 MM, JUNTA SOLDÁVEL, FORNECIDO E INSTALADO EM RAMAL DE DESCARGA OU EM RAMAL DE ESGOTO SANITÁRIO. AF_12/2014</t>
  </si>
  <si>
    <t>180414</t>
  </si>
  <si>
    <t>CAIXA EM ALVENARIA DE  30X30X30CM C/ TPO. CONCRETO</t>
  </si>
  <si>
    <t>98063</t>
  </si>
  <si>
    <t>SUMIDOURO CIRCULAR, EM CONCRETO PRÉ-MOLDADO, DIÂMETRO INTERNO = 2,38 M, ALTURA INTERNA = 2,50 M, ÁREA DE INFILTRAÇÃO: 21,3 M² (PARA 8 CONTRIBUINTES). AF_12/2020</t>
  </si>
  <si>
    <t>98059</t>
  </si>
  <si>
    <t>FILTRO ANAERÓBIO CIRCULAR, EM CONCRETO PRÉ-MOLDADO, DIÂMETRO INTERNO = 1,88 M, ALTURA INTERNA = 1,50 M, VOLUME ÚTIL: 3331,1 L (PARA 19 CONTRIBUINTES). AF_12/2020</t>
  </si>
  <si>
    <t>98053</t>
  </si>
  <si>
    <t>TANQUE SÉPTICO CIRCULAR, EM CONCRETO PRÉ-MOLDADO, DIÂMETRO INTERNO = 1,40 M, ALTURA INTERNA = 2,50 M, VOLUME ÚTIL: 3463,6 L (PARA 13 CONTRIBUINTES). AF_12/2020</t>
  </si>
  <si>
    <t>13.5</t>
  </si>
  <si>
    <t>13.5.1</t>
  </si>
  <si>
    <t>13.5.2</t>
  </si>
  <si>
    <t>13.5.3</t>
  </si>
  <si>
    <t>13.5.4</t>
  </si>
  <si>
    <t>Torre de Caixa D'água</t>
  </si>
  <si>
    <t>13.5.5</t>
  </si>
  <si>
    <t>13.3.18</t>
  </si>
  <si>
    <t>89707</t>
  </si>
  <si>
    <t>CAIXA SIFONADA, PVC, DN 100 X 100 X 50 MM, JUNTA ELÁSTICA, FORNECIDA E INSTALADA EM RAMAL DE DESCARGA OU EM RAMAL DE ESGOTO SANITÁRIO. AF_12/2014</t>
  </si>
  <si>
    <t>Ciaxa de Passagem</t>
  </si>
  <si>
    <t>Caixa de Inspeção</t>
  </si>
  <si>
    <t>Caixa de Gordura</t>
  </si>
  <si>
    <t>Estrutural</t>
  </si>
  <si>
    <t>Acessórios e Conexões</t>
  </si>
  <si>
    <t>13.5.1.1</t>
  </si>
  <si>
    <t>13.5.1.2</t>
  </si>
  <si>
    <t>13.5.1.3</t>
  </si>
  <si>
    <t>13.5.1.4</t>
  </si>
  <si>
    <t>13.5.1.5</t>
  </si>
  <si>
    <t>13.5.2.1</t>
  </si>
  <si>
    <t>13.5.2.2</t>
  </si>
  <si>
    <t>13.5.2.3</t>
  </si>
  <si>
    <t>13.5.2.4</t>
  </si>
  <si>
    <t>13.5.2.5</t>
  </si>
  <si>
    <t>13.5.3.1</t>
  </si>
  <si>
    <t>13.5.3.2</t>
  </si>
  <si>
    <t>13.5.3.3</t>
  </si>
  <si>
    <t>13.5.4.1</t>
  </si>
  <si>
    <t>13.5.4.2</t>
  </si>
  <si>
    <t>13.5.4.3</t>
  </si>
  <si>
    <t>13.5.4.4</t>
  </si>
  <si>
    <t>13.5.4.5</t>
  </si>
  <si>
    <t>13.5.5.1</t>
  </si>
  <si>
    <t>13.5.5.2</t>
  </si>
  <si>
    <t>13.5.5.3</t>
  </si>
  <si>
    <t>13.5.5.4</t>
  </si>
  <si>
    <t>13.5.5.5</t>
  </si>
  <si>
    <t>13.5.5.6</t>
  </si>
  <si>
    <t>13.5.5.7</t>
  </si>
  <si>
    <t>13.5.5.8</t>
  </si>
  <si>
    <t>13.5.5.9</t>
  </si>
  <si>
    <t>13.5.5.10</t>
  </si>
  <si>
    <t>13.5.5.11</t>
  </si>
  <si>
    <t>13.5.5.12</t>
  </si>
  <si>
    <t>13.5.5.13</t>
  </si>
  <si>
    <t>13.5.1.6</t>
  </si>
  <si>
    <t>13.5.1.7</t>
  </si>
  <si>
    <t>13.5.1.8</t>
  </si>
  <si>
    <t>50740</t>
  </si>
  <si>
    <t>96258</t>
  </si>
  <si>
    <t>MONTAGEM E DESMONTAGEM DE FÔRMA DE PILARES CIRCULARES, COM ÁREA MÉDIA DAS SEÇÕES MAIOR QUE 0,28 M², PÉ-DIREITO SIMPLES, EM MADEIRA, 2 UTILIZAÇÕES. AF_06/2017</t>
  </si>
  <si>
    <t>92760</t>
  </si>
  <si>
    <t>ARMAÇÃO DE PILAR OU VIGA DE UMA ESTRUTURA CONVENCIONAL DE CONCRETO ARMADO EM UM EDIFÍCIO DE MÚLTIPLOS PAVIMENTOS UTILIZANDO AÇO CA-50 DE 6,3 MM - MONTAGEM. AF_12/2015</t>
  </si>
  <si>
    <t>CONCRETO C/ SEIXO FCK= 25MPA (INCL. LANÇAMENTO E ADENSAMENTO)</t>
  </si>
  <si>
    <t>Laje</t>
  </si>
  <si>
    <t>Revestimento e Acabamento</t>
  </si>
  <si>
    <t>92477</t>
  </si>
  <si>
    <t>MONTAGEM E DESMONTAGEM DE FÔRMA DE VIGA, ESCORAMENTO COM GARFO DE MADEIRA, PÉ-DIREITO DUPLO, EM CHAPA DE MADEIRA PLASTIFICADA, 18 UTILIZAÇÕES. AF_09/2020</t>
  </si>
  <si>
    <t>92771</t>
  </si>
  <si>
    <t>ARMAÇÃO DE LAJE DE UMA ESTRUTURA CONVENCIONAL DE CONCRETO ARMADO EM UM EDIFÍCIO DE MÚLTIPLOS PAVIMENTOS UTILIZANDO AÇO CA-50 DE 10,0 MM - MONTAGEM. AF_12/2015</t>
  </si>
  <si>
    <t>92536</t>
  </si>
  <si>
    <t>MONTAGEM E DESMONTAGEM DE FÔRMA DE LAJE MACIÇA, PÉ-DIREITO DUPLO, EM CHAPA DE MADEIRA COMPENSADA PLASTIFICADA, 18 UTILIZAÇÕES. AF_09/2020</t>
  </si>
  <si>
    <t>88412</t>
  </si>
  <si>
    <t>APLICAÇÃO MANUAL DE FUNDO SELADOR ACRÍLICO EM PANOS CEGOS DE FACHADA (SEM PRESENÇA DE VÃOS) DE EDIFÍCIOS DE MÚLTIPLOS PAVIMENTOS. AF_06/2014</t>
  </si>
  <si>
    <t>88417</t>
  </si>
  <si>
    <t>APLICAÇÃO MANUAL DE PINTURA COM TINTA TEXTURIZADA ACRÍLICA EM PANOS CEGOS DE FACHADA (SEM PRESENÇA DE VÃOS) DE EDIFÍCIOS DE MÚLTIPLOS PAVIMENTOS, UMA COR. AF_06/2014</t>
  </si>
  <si>
    <t>240617</t>
  </si>
  <si>
    <t>COMPOSIÇÃO 7</t>
  </si>
  <si>
    <t>37105</t>
  </si>
  <si>
    <t>CAIXA D'AGUA FIBRA DE VIDRO PARA 5000 LITROS, COM TAMPA</t>
  </si>
  <si>
    <t>102591</t>
  </si>
  <si>
    <t>FURO EM CAIXA D'ÁGUA COM ESPESSURA DE 2 ATÉ 5 MM E DIÂMETRO DE 25 MM. AF_06/2021</t>
  </si>
  <si>
    <t>102597</t>
  </si>
  <si>
    <t>FURO EM CAIXA D'ÁGUA COM ESPESSURA DE 2 ATÉ 5 MM E DIÂMETRO DE 50 MM. AF_06/2021</t>
  </si>
  <si>
    <t>93282</t>
  </si>
  <si>
    <t>GUINCHO ELÉTRICO DE COLUNA, CAPACIDADE 400 KG, COM MOTO FREIO, MOTOR TRIFÁSICO DE 1,25 CV - CHI DIURNO. AF_03/2016</t>
  </si>
  <si>
    <t>93281</t>
  </si>
  <si>
    <t>GUINCHO ELÉTRICO DE COLUNA, CAPACIDADE 400 KG, COM MOTO FREIO, MOTOR TRIFÁSICO DE 1,25 CV - CHP DIURNO. AF_03/2016</t>
  </si>
  <si>
    <t>CHI</t>
  </si>
  <si>
    <t>CHP</t>
  </si>
  <si>
    <t>CAIXA D'AGUA FIBRA DE VIDRO PARA 5000 LITROS, COM TAMPA, INCLUSO FUROS PARA CONEXÕES. FORNECIMENTO E INSTALAÇÃO.</t>
  </si>
  <si>
    <t>99839</t>
  </si>
  <si>
    <t>GUARDA-CORPO DE AÇO GALVANIZADO DE 1,10M DE ALTURA, MONTANTES TUBULARES DE 1.1/2 ESPAÇADOS DE 1,20M, TRAVESSA SUPERIOR DE 2, GRADIL FORMADO POR BARRAS CHATAS EM FERRO DE 32X4,8MM, FIXADO COM CHUMBADOR MECÂNICO. AF_04/2019_P</t>
  </si>
  <si>
    <t>94673</t>
  </si>
  <si>
    <t>CURVA 90 GRAUS, PVC, SOLDÁVEL, DN  25 MM, INSTALADO EM RESERVAÇÃO DE ÁGUA DE EDIFICAÇÃO QUE POSSUA RESERVATÓRIO DE FIBRA/FIBROCIMENTO   FORNECIMENTO E INSTALAÇÃO. AF_06/2016</t>
  </si>
  <si>
    <t>181514</t>
  </si>
  <si>
    <t>89385</t>
  </si>
  <si>
    <t>LUVA SOLDÁVEL E COM ROSCA, PVC, SOLDÁVEL, DN 25MM X 3/4, INSTALADO EM RAMAL OU SUB-RAMAL DE ÁGUA - FORNECIMENTO E INSTALAÇÃO. AF_12/2014</t>
  </si>
  <si>
    <t>ESCADA DE MARINHEIRO S/ PROTEÇÃO</t>
  </si>
  <si>
    <t>ADAPTADOR LONGO PVC SR - 25MMX3/4"</t>
  </si>
  <si>
    <t>13.5.5.14</t>
  </si>
  <si>
    <t>13.5.5.15</t>
  </si>
  <si>
    <t>13.5.5.16</t>
  </si>
  <si>
    <t>13.5.5.17</t>
  </si>
  <si>
    <t>130890</t>
  </si>
  <si>
    <t>PISO DE BORRACHA TÁTIL (16 UN)</t>
  </si>
  <si>
    <t>94796</t>
  </si>
  <si>
    <t>TORNEIRA DE BOIA PARA CAIXA D'ÁGUA, ROSCÁVEL, 3/4" - FORNECIMENTO E INSTALAÇÃO. AF_08/2021</t>
  </si>
  <si>
    <t>181515</t>
  </si>
  <si>
    <t>181517</t>
  </si>
  <si>
    <t>94794</t>
  </si>
  <si>
    <t>REGISTRO DE GAVETA BRUTO, LATÃO, ROSCÁVEL, 1 1/2", COM ACABAMENTO E CANOPLA CROMADOS - FORNECIMENTO E INSTALAÇÃO. AF_08/2021</t>
  </si>
  <si>
    <t>94662</t>
  </si>
  <si>
    <t>ADAPTADOR CURTO COM BOLSA E ROSCA PARA REGISTRO, PVC, SOLDÁVEL, DN 50 MM X 1 1/2 ,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</si>
  <si>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</si>
  <si>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</si>
  <si>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7142</t>
  </si>
  <si>
    <t>TE SOLDAVEL, PVC, 90 GRAUS,50 MM, PARA AGUA FRIA PREDIAL (NBR 5648)</t>
  </si>
  <si>
    <t>TE SOLDAVEL, PVC, 90 GRAUS, 50 MM. FORNECIMENTO E INSTALAÇÃO.</t>
  </si>
  <si>
    <t>180211</t>
  </si>
  <si>
    <t>94656</t>
  </si>
  <si>
    <t>ADAPTADOR CURTO COM BOLSA E ROSCA PARA REGISTRO, PVC, SOLDÁVEL, DN  25 MM X 3/4 , INSTALADO EM RESERVAÇÃO DE ÁGUA DE EDIFICAÇÃO QUE POSSUA RESERVATÓRIO DE FIBRA/FIBROCIMENTO   FORNECIMENTO E INSTALAÇÃO. AF_06/2016</t>
  </si>
  <si>
    <t>96716</t>
  </si>
  <si>
    <t>TÊ NORMAL, PPR, DN 90 MM, CLASSE PN 25, INSTALADO EM PRUMADA DE ÁGUA  FORNECIMENTO E INSTALAÇÃO . AF_06/2015</t>
  </si>
  <si>
    <t>ADAPTADOR LONGO PVC SR - 32MMX1"</t>
  </si>
  <si>
    <t>ADAPTADOR LONGO PVC SR - 50MMX1 1/2"</t>
  </si>
  <si>
    <t>REGISTRO DE GAVETA S/ CANOPLA -  3/4"</t>
  </si>
  <si>
    <t>Comprimento (+10cm)</t>
  </si>
  <si>
    <t>Profundidade (arranque, bloco e lastro)</t>
  </si>
  <si>
    <t>Parede Intera</t>
  </si>
  <si>
    <t>Entorno dos Lavatórios</t>
  </si>
  <si>
    <t>Circulação 01</t>
  </si>
  <si>
    <t>Consultório 04</t>
  </si>
  <si>
    <t>Sauna (área com inclinação)</t>
  </si>
  <si>
    <t>Alerta (Passeio Público)</t>
  </si>
  <si>
    <t>Direcional (Passeio Público)</t>
  </si>
  <si>
    <t>BALANÇO COM ESCORREGA</t>
  </si>
  <si>
    <t>Pilar de Arranque</t>
  </si>
  <si>
    <t>Bloco</t>
  </si>
  <si>
    <t>Massa Específ.</t>
  </si>
  <si>
    <t>kg</t>
  </si>
  <si>
    <t>Tamanho</t>
  </si>
  <si>
    <t>Espera/ Arranque</t>
  </si>
  <si>
    <t>Conc. Bloco</t>
  </si>
  <si>
    <t>Conc. Arranque</t>
  </si>
  <si>
    <t>Vol. Lastro</t>
  </si>
  <si>
    <t>Vol. de Concreto</t>
  </si>
  <si>
    <t>Pilar</t>
  </si>
  <si>
    <t>*</t>
  </si>
  <si>
    <t>Figura Retangular</t>
  </si>
  <si>
    <t>Figura Triangular</t>
  </si>
  <si>
    <t>/</t>
  </si>
  <si>
    <t>Área Retangular</t>
  </si>
  <si>
    <t>Área Triangular</t>
  </si>
  <si>
    <t>Fórmula</t>
  </si>
  <si>
    <t>Viga</t>
  </si>
  <si>
    <t>N° de Estrut.</t>
  </si>
  <si>
    <t>Viga (Est.1)</t>
  </si>
  <si>
    <t>Viga (Est.2)</t>
  </si>
  <si>
    <t>Viga (Est.3)</t>
  </si>
  <si>
    <t>Viga (Est.4)</t>
  </si>
  <si>
    <t>Viga (Est.5)</t>
  </si>
  <si>
    <t>Viga (Est.6)</t>
  </si>
  <si>
    <t>Viga (Est.7)</t>
  </si>
  <si>
    <t>Viga (Est.8)</t>
  </si>
  <si>
    <t>Conc. Viga</t>
  </si>
  <si>
    <t>Área Lateral</t>
  </si>
  <si>
    <t>Área de Base</t>
  </si>
  <si>
    <t>Laje (lateral)</t>
  </si>
  <si>
    <t>Laje (base)</t>
  </si>
  <si>
    <t>98563</t>
  </si>
  <si>
    <t>PROTEÇÃO MECÂNICA DE SUPERFÍCIE HORIZONTAL COM ARGAMASSA DE CIMENTO E AREIA, TRAÇO 1:3, E=2CM. AF_06/2018</t>
  </si>
  <si>
    <t>Mesma área de impermeabilização</t>
  </si>
  <si>
    <t>13.5.4.6</t>
  </si>
  <si>
    <t>Área de Foma das Superestruturas</t>
  </si>
  <si>
    <t>Vigas</t>
  </si>
  <si>
    <t>Mesma área de de aplicação de massa látex</t>
  </si>
  <si>
    <t>13.5.5.18</t>
  </si>
  <si>
    <t>13.5.5.19</t>
  </si>
  <si>
    <t>94648</t>
  </si>
  <si>
    <t>TUBO, PVC, SOLDÁVEL, DN  25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</si>
  <si>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</si>
  <si>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</si>
  <si>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13.5.5.20</t>
  </si>
  <si>
    <t>89403</t>
  </si>
  <si>
    <t>TUBO, PVC, SOLDÁVEL, DN 32MM, INSTALADO EM RAMAL DE DISTRIBUIÇÃO DE ÁGUA - FORNECIMENTO E INSTALAÇÃO. AF_12/2014</t>
  </si>
  <si>
    <t>Área da Piscina</t>
  </si>
  <si>
    <t>Canteiro</t>
  </si>
  <si>
    <t>Deck em Concreto</t>
  </si>
  <si>
    <t>área =</t>
  </si>
  <si>
    <t>Playground e Terapia Sensorial</t>
  </si>
  <si>
    <t>Preparação das Caixas</t>
  </si>
  <si>
    <t>17.3.1.4</t>
  </si>
  <si>
    <t>Caixas</t>
  </si>
  <si>
    <t>OBS: As caixas que possuirão Areia Fofa, Grama e Madeira não será necessária a aplicação do lastro em concreto, uma vez que o material não precisa de uma superfície plana e impermeável.</t>
  </si>
  <si>
    <t>101616</t>
  </si>
  <si>
    <t>PREPARO DE FUNDO DE VALA COM LARGURA MENOR QUE 1,5 M (ACERTO DO SOLO NATURAL). AF_08/2020</t>
  </si>
  <si>
    <t>20212</t>
  </si>
  <si>
    <t>CAIBRO APARELHADO *6 X 8* CM, EM MACARANDUBA, ANGELIM OU EQUIVALENTE DA REGIAO</t>
  </si>
  <si>
    <t>5067</t>
  </si>
  <si>
    <t>PREGO DE ACO POLIDO COM CABECA 16 X 24 (2 1/4 X 12)</t>
  </si>
  <si>
    <t>CAIBRO APARELHADO 6 X 8 CM, EM MACARANDUBA, ANGELIM OU EQUIVALENTE DA REGIÃO, PARA DEMARCAÇÃO DE PISO SENSORIAL. FORNECIMENTO E INSTALAÇÃO.</t>
  </si>
  <si>
    <t>Caixa com:</t>
  </si>
  <si>
    <t>Seixo</t>
  </si>
  <si>
    <t>Grama</t>
  </si>
  <si>
    <t>Madeira</t>
  </si>
  <si>
    <t>Pedra</t>
  </si>
  <si>
    <t>Vazia</t>
  </si>
  <si>
    <t>N° de Caixas</t>
  </si>
  <si>
    <t>MOLDURA EM MADEIRA, FEITO COM RIPAS APARELHADAS DE 1,50 X 5 CM EM MAÇARANDUBA, ANGELIM OU EQUIVALENTE DA REGIÃO, FIXADO NA ALVENARIA. FORNECIMENTO E INSTALAÇÃO.</t>
  </si>
  <si>
    <t>Parede Sensorial (Horizontal)</t>
  </si>
  <si>
    <t>Parede Sensorial (Verticall)</t>
  </si>
  <si>
    <t>14.22</t>
  </si>
  <si>
    <t>241470</t>
  </si>
  <si>
    <t>GUARDA-CORPO EM TUBO DE AÇO GALVANIZADO 1 1/2"</t>
  </si>
  <si>
    <t>18.1.1</t>
  </si>
  <si>
    <t>18.1.2</t>
  </si>
  <si>
    <t>18.1.3</t>
  </si>
  <si>
    <t>18.1.4</t>
  </si>
  <si>
    <t>18.2.1</t>
  </si>
  <si>
    <t>18.2.2</t>
  </si>
  <si>
    <t>18.2.3</t>
  </si>
  <si>
    <t>18.3.1</t>
  </si>
  <si>
    <t>18.3.2</t>
  </si>
  <si>
    <t>18.3.3</t>
  </si>
  <si>
    <t>18.4.1</t>
  </si>
  <si>
    <t>18.4.2</t>
  </si>
  <si>
    <t>18.4.3</t>
  </si>
  <si>
    <t>Hidrossanitário</t>
  </si>
  <si>
    <t>18.5.1</t>
  </si>
  <si>
    <t>18.5.2</t>
  </si>
  <si>
    <t>18.5.3</t>
  </si>
  <si>
    <t>18.5.4</t>
  </si>
  <si>
    <t>18.5.5</t>
  </si>
  <si>
    <t>18.5.6</t>
  </si>
  <si>
    <t>18.5.7</t>
  </si>
  <si>
    <t>18.5.8</t>
  </si>
  <si>
    <t>18.5.9</t>
  </si>
  <si>
    <t>18.5.10</t>
  </si>
  <si>
    <t xml:space="preserve">Acessórios </t>
  </si>
  <si>
    <t>Águas Pluviais</t>
  </si>
  <si>
    <t>Água Fria</t>
  </si>
  <si>
    <t>95695</t>
  </si>
  <si>
    <t>CURVA 90 GRAUS, PVC, SERIE R, ÁGUA PLUVIAL, DN 100 MM, JUNTA ELÁSTICA, FORNECIDO E INSTALADO EM CONDUTORES VERTICAIS DE ÁGUAS PLUVIAIS. AF_12/2014</t>
  </si>
  <si>
    <t>13.1.6</t>
  </si>
  <si>
    <t>13.1.7</t>
  </si>
  <si>
    <t>13.1.8</t>
  </si>
  <si>
    <t>91187</t>
  </si>
  <si>
    <t>FIXAÇÃO DE TUBOS HORIZONTAIS DE PVC, CPVC OU COBRE DIÂMETROS MAIORES QUE 75 MM COM ABRAÇADEIRA METÁLICA FLEXÍVEL 18 MM, FIXADA DIRETAMENTE NA LAJE. AF_05/2015</t>
  </si>
  <si>
    <t>41892</t>
  </si>
  <si>
    <t>TE, PVC PBA, BBB, 90 GRAUS, DN 100 / DE 110 MM, PARA REDE  AGUA (NBR 10351)</t>
  </si>
  <si>
    <t>TÊ 90° EM PVC, DN 100MM. FORNECIMENTO E INSTALAÇÃO.</t>
  </si>
  <si>
    <t>Saída de Emergência</t>
  </si>
  <si>
    <t>Proibido Fumar</t>
  </si>
  <si>
    <t>Extintor</t>
  </si>
  <si>
    <t>13.2.5</t>
  </si>
  <si>
    <t>13.2.6</t>
  </si>
  <si>
    <t>13.2.7</t>
  </si>
  <si>
    <t>13.2.8</t>
  </si>
  <si>
    <t>13.2.9</t>
  </si>
  <si>
    <t>13.2.10</t>
  </si>
  <si>
    <t>13.2.11</t>
  </si>
  <si>
    <t>13.2.12</t>
  </si>
  <si>
    <t>13.2.13</t>
  </si>
  <si>
    <t>13.2.14</t>
  </si>
  <si>
    <t>13.2.15</t>
  </si>
  <si>
    <t>13.2.16</t>
  </si>
  <si>
    <t>13.2.17</t>
  </si>
  <si>
    <t>89401</t>
  </si>
  <si>
    <t>TUBO, PVC, SOLDÁVEL, DN 20MM, INSTALADO EM RAMAL DE DISTRIBUIÇÃO DE ÁGUA - FORNECIMENTO E INSTALAÇÃO. AF_12/2014</t>
  </si>
  <si>
    <t>89402</t>
  </si>
  <si>
    <t>TUBO, PVC, SOLDÁVEL, DN 25MM, INSTALADO EM RAMAL DE DISTRIBUIÇÃO DE ÁGUA - FORNECIMENTO E INSTALAÇÃO. AF_12/2014</t>
  </si>
  <si>
    <t>180221</t>
  </si>
  <si>
    <t>89404</t>
  </si>
  <si>
    <t>JOELHO 90 GRAUS, PVC, SOLDÁVEL, DN 20MM, INSTALADO EM RAMAL DE DISTRIBUIÇÃO DE ÁGUA - FORNECIMENTO E INSTALAÇÃO. AF_12/2014</t>
  </si>
  <si>
    <t>89408</t>
  </si>
  <si>
    <t>JOELHO 90 GRAUS, PVC, SOLDÁVEL, DN 25MM, INSTALADO EM RAMAL DE DISTRIBUIÇÃO DE ÁGUA - FORNECIMENTO E INSTALAÇÃO. AF_12/2014</t>
  </si>
  <si>
    <t>89413</t>
  </si>
  <si>
    <t>JOELHO 90 GRAUS, PVC, SOLDÁVEL, DN 32MM, INSTALADO EM RAMAL DE DISTRIBUIÇÃO DE ÁGUA - FORNECIMENTO E INSTALAÇÃO. AF_12/2014</t>
  </si>
  <si>
    <t>JOELHO/COTOVELO 90º PVC SRM - 20MM X 1/2" (LH)</t>
  </si>
  <si>
    <t>180218</t>
  </si>
  <si>
    <t>89432</t>
  </si>
  <si>
    <t>LUVA DE CORRER, PVC, SOLDÁVEL, DN 32MM, INSTALADO EM RAMAL DE DISTRIBUIÇÃO DE ÁGUA   FORNECIMENTO E INSTALAÇÃO. AF_12/2014</t>
  </si>
  <si>
    <t>JOELHO/COTOVELO DE REDUÇÃO 90° PVC JS - 32MM X 25MM (LH)</t>
  </si>
  <si>
    <t>89439</t>
  </si>
  <si>
    <t>TÊ SOLDÁVEL E COM ROSCA NA BOLSA CENTRAL, PVC, SOLDÁVEL, DN 20MM X 1/2, INSTALADO EM RAMAL DE DISTRIBUIÇÃO DE ÁGUA - FORNECIMENTO E INSTALAÇÃO. AF_12/2014</t>
  </si>
  <si>
    <t>89438</t>
  </si>
  <si>
    <t>TE, PVC, SOLDÁVEL, DN 20MM, INSTALADO EM RAMAL DE DISTRIBUIÇÃO DE ÁGUA - FORNECIMENTO E INSTALAÇÃO. AF_12/2014</t>
  </si>
  <si>
    <t>89440</t>
  </si>
  <si>
    <t>TE, PVC, SOLDÁVEL, DN 25MM, INSTALADO EM RAMAL DE DISTRIBUIÇÃO DE ÁGUA - FORNECIMENTO E INSTALAÇÃO. AF_12/2014</t>
  </si>
  <si>
    <t>95644</t>
  </si>
  <si>
    <t>KIT CAVALETE PARA MEDIÇÃO DE ÁGUA - ENTRADA INDIVIDUALIZADA, EM PVC DN 32 (1), PARA 1 MEDIDOR  FORNECIMENTO E INSTALAÇÃO (EXCLUSIVE HIDRÔMETRO). AF_11/2016</t>
  </si>
  <si>
    <t>95675</t>
  </si>
  <si>
    <t>HIDRÔMETRO DN 25 (¾ ), 5,0 M³/H FORNECIMENTO E INSTALAÇÃO. AF_11/2016</t>
  </si>
  <si>
    <t>COTAÇÃO 05</t>
  </si>
  <si>
    <t>Carajás</t>
  </si>
  <si>
    <t>https://www.carajasonline.com</t>
  </si>
  <si>
    <t>(11) 4003-2020</t>
  </si>
  <si>
    <t>Lojas Americana</t>
  </si>
  <si>
    <t>https://www.americanas.com.br</t>
  </si>
  <si>
    <t>4003-4848</t>
  </si>
  <si>
    <t>Acqua Fort</t>
  </si>
  <si>
    <t>https://www.acquafort.com.br</t>
  </si>
  <si>
    <t>(41) 3247-1199</t>
  </si>
  <si>
    <t>CAIXA DE PROTEÇÃO PARA HIDRÔMETRO - PASSEIO TAF</t>
  </si>
  <si>
    <t>280026</t>
  </si>
  <si>
    <t>CAIXA DE PROTEÇÃO PARA HIDRÔMETRO - PASSEIO TAF. FORNECIMENTO E INSTALAÇÃO.</t>
  </si>
  <si>
    <t>89984</t>
  </si>
  <si>
    <t>REGISTRO DE PRESSÃO BRUTO, LATÃO, ROSCÁVEL, 1/2", COM ACABAMENTO E CANOPLA CROMADOS - FORNECIMENTO E INSTALAÇÃO. AF_08/2021</t>
  </si>
  <si>
    <t>89987</t>
  </si>
  <si>
    <t>REGISTRO DE GAVETA BRUTO, LATÃO, ROSCÁVEL, 3/4", COM ACABAMENTO E CANOPLA CROMADOS - FORNECIMENTO E INSTALAÇÃO. AF_08/2021</t>
  </si>
  <si>
    <t>OBS: Na composição deste item já está incluso o registro esfera indicado no quadro de quantitativo apresentado no Projeto.</t>
  </si>
  <si>
    <t>unid.</t>
  </si>
  <si>
    <t>Circulação Externa</t>
  </si>
  <si>
    <t>Passeio Público 02</t>
  </si>
  <si>
    <t>Passeio Público 01</t>
  </si>
  <si>
    <t>Ambulância</t>
  </si>
  <si>
    <t>Patamar 1</t>
  </si>
  <si>
    <t>Patamar 2</t>
  </si>
  <si>
    <t>Guia de Balizamento (Rampa 1)</t>
  </si>
  <si>
    <t>Grama 1</t>
  </si>
  <si>
    <t>Grama 2</t>
  </si>
  <si>
    <t>Grama 3</t>
  </si>
  <si>
    <t>Grama 4</t>
  </si>
  <si>
    <t>Grama 5</t>
  </si>
  <si>
    <t>Grama 6</t>
  </si>
  <si>
    <t>Grama 7</t>
  </si>
  <si>
    <t>96617</t>
  </si>
  <si>
    <t>LASTRO DE CONCRETO MAGRO, APLICADO EM BLOCOS DE COROAMENTO OU SAPATAS, ESPESSURA DE 3 CM. AF_08/2017</t>
  </si>
  <si>
    <t>100341</t>
  </si>
  <si>
    <t>FABRICAÇÃO, MONTAGEM E DESMONTAGEM DE FÔRMA PARA CORTINA DE CONTENÇÃO, EM CHAPA DE MADEIRA COMPENSADA PLASTIFICADA, E = 18 MM, 10 UTILIZAÇÕES. AF_07/2019</t>
  </si>
  <si>
    <t>92916</t>
  </si>
  <si>
    <t>ARMAÇÃO DE ESTRUTURAS DE CONCRETO ARMADO, EXCETO VIGAS, PILARES, LAJES E FUNDAÇÕES, UTILIZANDO AÇO CA-50 DE 6,3 MM - MONTAGEM. AF_12/2015</t>
  </si>
  <si>
    <t>92917</t>
  </si>
  <si>
    <t>ARMAÇÃO DE ESTRUTURAS DE CONCRETO ARMADO, EXCETO VIGAS, PILARES, LAJES E FUNDAÇÕES, UTILIZANDO AÇO CA-50 DE 8,0 MM - MONTAGEM. AF_12/2015</t>
  </si>
  <si>
    <t>92919</t>
  </si>
  <si>
    <t>ARMAÇÃO DE ESTRUTURAS DE CONCRETO ARMADO, EXCETO VIGAS, PILARES, LAJES E FUNDAÇÕES, UTILIZANDO AÇO CA-50 DE 10,0 MM - MONTAGEM. AF_12/2015</t>
  </si>
  <si>
    <t>92915</t>
  </si>
  <si>
    <t>ARMAÇÃO DE ESTRUTURAS DE CONCRETO ARMADO, EXCETO VIGAS, PILARES, LAJES E FUNDAÇÕES, UTILIZANDO AÇO CA-60 DE 5,0 MM - MONTAGEM. AF_12/2015</t>
  </si>
  <si>
    <t>50736</t>
  </si>
  <si>
    <t>CONCRETO C/ SEIXO FCK=30 MPA (INCL. LANÇAMENTO E ADENSAMENTO)</t>
  </si>
  <si>
    <t>Acesso de Veiculos</t>
  </si>
  <si>
    <t>Areia Fofa</t>
  </si>
  <si>
    <t>Profundidade (+3cm)</t>
  </si>
  <si>
    <r>
      <t>m</t>
    </r>
    <r>
      <rPr>
        <b/>
        <sz val="10"/>
        <rFont val="Arial"/>
        <family val="2"/>
      </rPr>
      <t>²</t>
    </r>
  </si>
  <si>
    <t>Largura (+ 10cm)</t>
  </si>
  <si>
    <t xml:space="preserve">Comprimento </t>
  </si>
  <si>
    <t>Parede Interna</t>
  </si>
  <si>
    <t>Parede Externa</t>
  </si>
  <si>
    <t>Massa Esp.</t>
  </si>
  <si>
    <t>Paredes</t>
  </si>
  <si>
    <t>Eletrotermoterap.</t>
  </si>
  <si>
    <t>REVESTIMENTO CERÂMICO PARA PISO COM PLACAS TIPO ESMALTADA EXTRA DE DIMENSÕES 35X35 CM APLICADA EM AMBIENTES DE ÁREA ENTRE 5 M2 E 10 M2. AF_06/2014</t>
  </si>
  <si>
    <t>96467</t>
  </si>
  <si>
    <t>RODAPÉ CERÂMICO DE 7CM DE ALTURA COM PLACAS TIPO ESMALTADA COMERCIAL DE DIMENSÕES 35X35CM (PADRAO POPULAR). AF_06/2017</t>
  </si>
  <si>
    <t>R2</t>
  </si>
  <si>
    <t>1747</t>
  </si>
  <si>
    <t>CUBA ACO INOX (AISI 304) DE EMBUTIR COM VALVULA DE 3 1/2 ", DE *56 X 33 X 12* CM</t>
  </si>
  <si>
    <t>BANCADA EM GRANITO DE 265X60 CM, COM UMA CUBA DE INOX DE 56 X 33 X 12 CM, COM VALVULA, TORNEIRA, ENGATE FLEXÍVEL, SIFÃO, RODABANCA E SAIA. FORNECIMENTO E INSTALAÇÃO NO FRALDÁRIO.</t>
  </si>
  <si>
    <t>Largura do terreno (m)</t>
  </si>
  <si>
    <t>Base da Piscina (Perfil)</t>
  </si>
  <si>
    <t>Representa-ção em Corte</t>
  </si>
  <si>
    <t>Borda da Piscina</t>
  </si>
  <si>
    <r>
      <t>Total (m</t>
    </r>
    <r>
      <rPr>
        <b/>
        <sz val="10"/>
        <rFont val="Arial"/>
        <family val="2"/>
      </rPr>
      <t>³</t>
    </r>
    <r>
      <rPr>
        <sz val="10"/>
        <rFont val="Arial"/>
        <family val="2"/>
      </rPr>
      <t>)</t>
    </r>
  </si>
  <si>
    <t>Laje (piso)</t>
  </si>
  <si>
    <t>Lateral da Laje (piso)</t>
  </si>
  <si>
    <t>Superfici da Laje em contato com o solo</t>
  </si>
  <si>
    <t>Vol. Concreto</t>
  </si>
  <si>
    <t>Volume de Concreto Submerso</t>
  </si>
  <si>
    <t>95969</t>
  </si>
  <si>
    <t>(COMPOSIÇÃO REPRESENTATIVA) EXECUÇÃO DE ESCADA EM CONCRETO ARMADO, MOLDADA IN LOCO, FCK = 25 MPA. AF_02/2017</t>
  </si>
  <si>
    <t>ARGAMASSA TRAÇO 1:4 (EM VOLUME DE CIMENTO E AREIA MÉDIA ÚMIDA), PREPARO MANUAL. AF_08/2019</t>
  </si>
  <si>
    <t>DOBRADICA EM LATAO, 3 " X 2 1/2 ", E= 1,9 A 2 MM, COM ANEL, CROMADO, TAMPA BOLA, COM PARAFUSOS</t>
  </si>
  <si>
    <t>3107</t>
  </si>
  <si>
    <t xml:space="preserve">FERROLHO COM FECHO CHATO E PORTA CADEADO , EM ACO GALVANIZADO / ZINCADO, DE SOBREPOR, COM COMPRIMENTO DE 3" A 4", CHAPA COM ESPESSURA MINIMA DE 0,90 MM E LARGURA MINIMA DE 3,20 CM (FECHO SIMPLES / LEVE) (INCLUI PARAFUSOS)                                                                                                                                                                                                                                                                             </t>
  </si>
  <si>
    <t>5090</t>
  </si>
  <si>
    <t xml:space="preserve">CADEADO SIMPLES, CORPO EM LATAO MACICO, COM LARGURA DE 25 MM E ALTURA DE APROX 25 MM, HASTE CEMENTADA (NAO LONGA), EM ACO TEMPERADO COM DIAMETRO DE APROX 5,0 MM, INCLUINDO 2 CHAVES                                                                                                                                                                                                                                                                                                                      </t>
  </si>
  <si>
    <t>PINTURA TINTA DE ACABAMENTO (PIGMENTADA) ESMALTE SINTÉTICO BRILHANTE EM MADEIRA, 2 DEMÃOS. AF_01/2021</t>
  </si>
  <si>
    <t>LIXAMENTO MANUAL EM SUPERFÍCIES METÁLICAS EM OBRA. AF_01/2020</t>
  </si>
  <si>
    <t>PINTURA ANTICORROSIVA DE DUTO METÁLICO. AF_04/2018</t>
  </si>
  <si>
    <t>10.2.6</t>
  </si>
  <si>
    <t>130492</t>
  </si>
  <si>
    <t>CALÇADA (INCL.ALICERCE, BALDRAME E CONCRETO C/ JUNTA SECA)</t>
  </si>
  <si>
    <t>7167</t>
  </si>
  <si>
    <t>TELA DE ARAME GALVANIZADA QUADRANGULAR / LOSANGULAR, FIO 2,11 MM (14 BWG), MALHA 5 X 5 CM, H = 2 M</t>
  </si>
  <si>
    <t>7696</t>
  </si>
  <si>
    <t>TUBO ACO GALVANIZADO COM COSTURA, CLASSE MEDIA, DN 2", E = *3,65* MM, PESO *5,10* KG/M (NBR 5580)</t>
  </si>
  <si>
    <t>7698</t>
  </si>
  <si>
    <t>TUBO ACO GALVANIZADO COM COSTURA, CLASSE MEDIA, DN 1.1/4", E = *3,25* MM, PESO *3,14* KG/M (NBR 5580)</t>
  </si>
  <si>
    <t>11002</t>
  </si>
  <si>
    <t>ELETRODO REVESTIDO AWS - E6013, DIAMETRO IGUAL A 2,50 MM</t>
  </si>
  <si>
    <t>43130</t>
  </si>
  <si>
    <t>ARAME GALVANIZADO 12 BWG, D = 2,76 MM (0,048 KG/M) OU 14 BWG, D = 2,11 MM (0,026 KG/M)</t>
  </si>
  <si>
    <t>PORTÃO TIPO GRADIL DE 2'',INCLUINDO: REQUADRO, FIXAÇÃO, FERROLHO, CADEADO E PINTURA ANTI CORROSIVA. FORNECIMENTO E INSTALAÇÃO.</t>
  </si>
  <si>
    <t>18.2.1.1</t>
  </si>
  <si>
    <t>18.2.1.2</t>
  </si>
  <si>
    <t>18.2.1.3</t>
  </si>
  <si>
    <t>18.2.1.4</t>
  </si>
  <si>
    <t>18.2.1.5</t>
  </si>
  <si>
    <t>18.2.1.6</t>
  </si>
  <si>
    <t>18.2.2.1</t>
  </si>
  <si>
    <t>18.2.2.2</t>
  </si>
  <si>
    <t>18.2.2.3</t>
  </si>
  <si>
    <t>Construção e Acabamento</t>
  </si>
  <si>
    <t>93393</t>
  </si>
  <si>
    <t>REVESTIMENTO CERÂMICO PARA PAREDES INTERNAS COM PLACAS TIPO ESMALTADA PADRÃO POPULAR DE DIMENSÕES 20X20 CM, ARGAMASSA TIPO AC I, APLICADAS EM AMBIENTES DE ÁREA MAIOR QUE 5 M2 NA ALTURA INTEIRA DAS PAREDES. AF_06/2014</t>
  </si>
  <si>
    <t>Escada de Acesso a Piscina</t>
  </si>
  <si>
    <t>Palco, Escadas e Casa de Bomba</t>
  </si>
  <si>
    <t>18.1.1.1</t>
  </si>
  <si>
    <t>18.1.1.2</t>
  </si>
  <si>
    <t>18.1.1.3</t>
  </si>
  <si>
    <t>18.1.1.4</t>
  </si>
  <si>
    <t>18.1.1.5</t>
  </si>
  <si>
    <t>18.1.1.6</t>
  </si>
  <si>
    <t>18.1.1.7</t>
  </si>
  <si>
    <t>18.1.1.8</t>
  </si>
  <si>
    <t>18.1.1.9</t>
  </si>
  <si>
    <t>18.1.1.10</t>
  </si>
  <si>
    <t>18.1.1.11</t>
  </si>
  <si>
    <t>18.1.1.12</t>
  </si>
  <si>
    <t>18.2.3.1</t>
  </si>
  <si>
    <t>18.1.2.1</t>
  </si>
  <si>
    <t>18.1.2.2</t>
  </si>
  <si>
    <t>18.1.2.3</t>
  </si>
  <si>
    <t>18.1.2.4</t>
  </si>
  <si>
    <t>18.1.2.5</t>
  </si>
  <si>
    <t>18.1.3.1</t>
  </si>
  <si>
    <t>18.1.3.2</t>
  </si>
  <si>
    <t>18.1.3.3</t>
  </si>
  <si>
    <t>18.1.3.4</t>
  </si>
  <si>
    <t>18.1.3.5</t>
  </si>
  <si>
    <t>18.1.3.6</t>
  </si>
  <si>
    <t>110581</t>
  </si>
  <si>
    <t>CERÂMICA 10X10CM (PADRÃO MÉDIO)</t>
  </si>
  <si>
    <t>87251</t>
  </si>
  <si>
    <t>REVESTIMENTO CERÂMICO PARA PISO COM PLACAS TIPO ESMALTADA EXTRA DE DIMENSÕES 45X45 CM APLICADA EM AMBIENTES DE ÁREA MAIOR QUE 10 M2. AF_06/2014</t>
  </si>
  <si>
    <t>Revestimento de Parede</t>
  </si>
  <si>
    <t>18.1.4.1</t>
  </si>
  <si>
    <t>18.1.4.2</t>
  </si>
  <si>
    <t>98555</t>
  </si>
  <si>
    <t>IMPERMEABILIZAÇÃO DE SUPERFÍCIE COM ARGAMASSA POLIMÉRICA / MEMBRANA ACRÍLICA, 3 DEMÃOS. AF_06/2018</t>
  </si>
  <si>
    <t>BANCADA EM "L" DE GRANITO NAS DIMENSÕES DE  265X60 CM, COM UMA CUBA DE INOX DE 40 X 34 X 12 CM, COM VALVULA, TORNEIRA, ENGATE FLEXÍVEL, SIFÃO, RODABANCA, SAIA E SÓCULO. FORNECIMENTO E INSTALAÇÃO.</t>
  </si>
  <si>
    <t>Revestimento de Piso e Bordas</t>
  </si>
  <si>
    <t>87893</t>
  </si>
  <si>
    <t>CHAPISCO APLICADO EM ALVENARIA (SEM PRESENÇA DE VÃOS) E ESTRUTURAS DE CONCRETO DE FACHADA, COM COLHER DE PEDREIRO.  ARGAMASSA TRAÇO 1:3 COM PREPARO MANUAL. AF_06/2014</t>
  </si>
  <si>
    <t>87794</t>
  </si>
  <si>
    <t>EMBOÇO OU MASSA ÚNICA EM ARGAMASSA TRAÇO 1:2:8, PREPARO MANUAL, APLICADA MANUALMENTE EM PANOS CEGOS DE FACHADA (SEM PRESENÇA DE VÃOS), ESPESSURA DE 25 MM. AF_06/2014</t>
  </si>
  <si>
    <t>94782</t>
  </si>
  <si>
    <t>(COMPOSIÇÃO REPRESENTATIVA) DO SERVIÇO DE CONTRAPISO EM ARGAMASSA TRAÇO 1:4 (CIM E AREIA), BETONEIRA 400 L, E = 4 CM ÁREAS SECAS E  MOLHADAS SOBRE LAJE , E = 3 CM ÁREAS MOLHADAS SOBRE IMPERMEABILIZAÇÃO, PARA EDIFICAÇÃO MULTIFAMILIAR. AF_11/2014</t>
  </si>
  <si>
    <t>15.1.3</t>
  </si>
  <si>
    <t>TORNEIRA CROMADA LONGA, DE PAREDE, 1/2 OU 3/4, PADRÃO POPULAR - FORNECIMENTO E INSTALAÇÃO. AF_01/2020</t>
  </si>
  <si>
    <t>BALANÇO COM ESCORREGA, INCLUSO FUNDAÇÃO EM CONCRETO CICLÓPICO. FORNECIMENTO E INSTALAÇÃO.</t>
  </si>
  <si>
    <t>110763</t>
  </si>
  <si>
    <t>REBOCO COM ARGAMASSA 1:6:ADIT. PLAST.</t>
  </si>
  <si>
    <t>COTAÇÃO 06</t>
  </si>
  <si>
    <t>ESCADA PARA PISCINA 5 DEGRAUS EM AÇO INOX COMPLETA</t>
  </si>
  <si>
    <t>Lojas Americanas</t>
  </si>
  <si>
    <t>Pol Store</t>
  </si>
  <si>
    <t>https://www.poolstore.com.br</t>
  </si>
  <si>
    <t xml:space="preserve"> (18) 99633-9706</t>
  </si>
  <si>
    <t>Aguazul</t>
  </si>
  <si>
    <t>https://www.aguazul.net.br</t>
  </si>
  <si>
    <t>(91) 3226-1404</t>
  </si>
  <si>
    <t>INSTALAÇÃO
- Posicione a escada montada no local desejado e faça a marcação dos furos para concretar
os chumbadores no solo. Após a marcação do local exato dos furos, concrete os chumbadores.
- Aguarde sua total aderência e secagem no solo para que a escada possa ser instalada e
removida normalmente.</t>
  </si>
  <si>
    <t>102474</t>
  </si>
  <si>
    <t>CONCRETO FCK = 15MPA, TRAÇO 1:3,4:3,4 (EM MASSA SECA DE CIMENTO/ AREIA MÉDIA/ SEIXO ROLADO) - PREPARO MECÂNICO COM BETONEIRA 400 L. AF_05/2021</t>
  </si>
  <si>
    <t>90440</t>
  </si>
  <si>
    <t>FURO EM CONCRETO PARA DIÂMETROS MAIORES QUE 40 MM E MENORES OU IGUAIS A 75 MM. AF_05/2015</t>
  </si>
  <si>
    <t>ESCADA PARA PISCINA 5 DEGRAUS EM AÇO INOX, INCLUSO FURO DE INSTALAÇÃO E FIXAÇÃO DOS CHUMBADORES. FORNECIMENTO E INSTALAÇÃO.</t>
  </si>
  <si>
    <t>Bordas</t>
  </si>
  <si>
    <t>Desconto</t>
  </si>
  <si>
    <t>Escada Concreto</t>
  </si>
  <si>
    <t>Palco</t>
  </si>
  <si>
    <t>Escadas do palco (1° de grau)</t>
  </si>
  <si>
    <t>Escadas do palco (2° de grau)</t>
  </si>
  <si>
    <t>Área de Chapisco</t>
  </si>
  <si>
    <t>Área de  Desconto</t>
  </si>
  <si>
    <t>Mesma área de Chapisco</t>
  </si>
  <si>
    <t>Mesma área de Impermeabilização</t>
  </si>
  <si>
    <t>Área de Revestimento</t>
  </si>
  <si>
    <t>18.2.2.4</t>
  </si>
  <si>
    <t>18.2.2.5</t>
  </si>
  <si>
    <t>87894</t>
  </si>
  <si>
    <t>CHAPISCO APLICADO EM ALVENARIA (SEM PRESENÇA DE VÃOS) E ESTRUTURAS DE CONCRETO DE FACHADA, COM COLHER DE PEDREIRO.  ARGAMASSA TRAÇO 1:3 COM PREPARO EM BETONEIRA 400L. AF_06/2014</t>
  </si>
  <si>
    <t>Mesma área de  forma</t>
  </si>
  <si>
    <t>Vol. Concreto Ciclópico</t>
  </si>
  <si>
    <t>Laje/Piso</t>
  </si>
  <si>
    <t>Base da Piscina (Vista)</t>
  </si>
  <si>
    <t>Base da Piscina ("Laje")</t>
  </si>
  <si>
    <t>Teto</t>
  </si>
  <si>
    <t>Teto Laje</t>
  </si>
  <si>
    <t>Dedrau</t>
  </si>
  <si>
    <t>1°</t>
  </si>
  <si>
    <t>2°</t>
  </si>
  <si>
    <t>18.2.2.6</t>
  </si>
  <si>
    <t>Vedação entre a escada e a borda</t>
  </si>
  <si>
    <t>Lateral das Escadas</t>
  </si>
  <si>
    <t>Mesma área de chapisco</t>
  </si>
  <si>
    <t>Espelho da Escada</t>
  </si>
  <si>
    <t>Parede Externa (Borda)</t>
  </si>
  <si>
    <t>Piso da Escada</t>
  </si>
  <si>
    <t>18.3.1.1</t>
  </si>
  <si>
    <t>18.3.1.2</t>
  </si>
  <si>
    <t>18.3.1.3</t>
  </si>
  <si>
    <t>18.3.1.4</t>
  </si>
  <si>
    <t>18.3.1.5</t>
  </si>
  <si>
    <t>18.3.1.6</t>
  </si>
  <si>
    <t>18.3.1.7</t>
  </si>
  <si>
    <t>18.3.2.1</t>
  </si>
  <si>
    <t>18.3.2.2</t>
  </si>
  <si>
    <t>18.3.2.3</t>
  </si>
  <si>
    <t>18.3.2.4</t>
  </si>
  <si>
    <t>18.3.3.1</t>
  </si>
  <si>
    <t>18.3.3.2</t>
  </si>
  <si>
    <t>18.3.3.3</t>
  </si>
  <si>
    <t>18.3.3.4</t>
  </si>
  <si>
    <t>18.3.3.5</t>
  </si>
  <si>
    <t>Casa de Bomba</t>
  </si>
  <si>
    <t>14.23</t>
  </si>
  <si>
    <t>91512</t>
  </si>
  <si>
    <t>ESQUADRIA DE CORRER EM VIDRO TEMPERADO DE 8MM</t>
  </si>
  <si>
    <t>18.6</t>
  </si>
  <si>
    <t>18.6.1</t>
  </si>
  <si>
    <t>95956</t>
  </si>
  <si>
    <t>(COMPOSIÇÃO REPRESENTATIVA) EXECUÇÃO DE ESTRUTURAS DE CONCRETO ARMADO, PARA EDIFICAÇÃO HABITACIONAL UNIFAMILIAR TÉRREA (CASA EM EMPREENDIMENTOS), FCK = 25 MPA. AF_01/2017</t>
  </si>
  <si>
    <t>18.3.4</t>
  </si>
  <si>
    <t>18.3.4.1</t>
  </si>
  <si>
    <t>18.3.4.2</t>
  </si>
  <si>
    <t>18.3.4.3</t>
  </si>
  <si>
    <t>18.3.4.4</t>
  </si>
  <si>
    <t>18.3.4.5</t>
  </si>
  <si>
    <t>18.3.4.6</t>
  </si>
  <si>
    <t>18.3.4.7</t>
  </si>
  <si>
    <t>18.3.4.8</t>
  </si>
  <si>
    <t>50771</t>
  </si>
  <si>
    <t>LAJE PRÉ-MOLDADA TRELIÇADA (INCL. CAPIAMENTO)</t>
  </si>
  <si>
    <t>96544</t>
  </si>
  <si>
    <t>ARMAÇÃO DE BLOCO, VIGA BALDRAME OU SAPATA UTILIZANDO AÇO CA-50 DE 6,3 MM - MONTAGEM. AF_06/2017</t>
  </si>
  <si>
    <t>99857</t>
  </si>
  <si>
    <t>CORRIMÃO SIMPLES, DIÂMETRO EXTERNO = 1 1/2", EM ALUMÍNIO. AF_04/2019_P</t>
  </si>
  <si>
    <t>102111</t>
  </si>
  <si>
    <t>BOMBA CENTRÍFUGA, MONOFÁSICA, 0,5 CV OU 0,49 HP, HM 6 A 20 M, Q 1,2 A 8,3 M3/H - FORNECIMENTO E INSTALAÇÃO. AF_12/2020</t>
  </si>
  <si>
    <t>Edificação, Revestimento e Pintura</t>
  </si>
  <si>
    <t>COTAÇÃO 07</t>
  </si>
  <si>
    <t>Olist</t>
  </si>
  <si>
    <t>https://olist.com</t>
  </si>
  <si>
    <t>FILTRO PARA PISCINA PARA 30.000 LITROS</t>
  </si>
  <si>
    <t>Paraiso das Bombas</t>
  </si>
  <si>
    <t>www.paraisodasbombas.com.br</t>
  </si>
  <si>
    <t>(31) 3270-9633</t>
  </si>
  <si>
    <t>FILTRO PARA PISCINA DE 30.000 LITROS. FORNECIMENTO E INSTALAÇÃO</t>
  </si>
  <si>
    <t>1337</t>
  </si>
  <si>
    <t>CHAPA DE ACO XADREZ PARA PISOS, E = 1/4 " (6,30 MM) 54,53 KG/M2</t>
  </si>
  <si>
    <t>110142</t>
  </si>
  <si>
    <t>Argamassa de cimento e areia 1:6</t>
  </si>
  <si>
    <t>11047</t>
  </si>
  <si>
    <t>CHAPA DE ACO GALVANIZADA BITOLA GSG 19, E = 1,11 MM (8,88 KG/M2)</t>
  </si>
  <si>
    <t>7307</t>
  </si>
  <si>
    <t>FUNDO ANTICORROSIVO PARA METAIS FERROSOS (ZARCAO)</t>
  </si>
  <si>
    <t>L</t>
  </si>
  <si>
    <t>100753</t>
  </si>
  <si>
    <t>PINTURA COM TINTA ACRÍLICA DE ACABAMENTO PULVERIZADA SOBRE SUPERFÍCIES METÁLICAS (EXCETO PERFIL) EXECUTADO EM OBRA (02 DEMÃOS). AF_01/2020_P</t>
  </si>
  <si>
    <t>10997</t>
  </si>
  <si>
    <t>ELETRODO REVESTIDO AWS - E7018, DIAMETRO IGUAL A 4,00 MM</t>
  </si>
  <si>
    <t>98765</t>
  </si>
  <si>
    <t>INVERSOR DE SOLDA MONOFÁSICO DE 160 A, POTÊNCIA DE 5400 W, TENSÃO DE 220 V, PARA SOLDA COM ELETRODOS DE 2,0 A 4,0 MM E PROCESSO TIG - CHI DIURNO. AF_06/2018</t>
  </si>
  <si>
    <t>98764</t>
  </si>
  <si>
    <t>INVERSOR DE SOLDA MONOFÁSICO DE 160 A, POTÊNCIA DE 5400 W, TENSÃO DE 220 V, PARA SOLDA COM ELETRODOS DE 2,0 A 4,0 MM E PROCESSO TIG - CHP DIURNO. AF_06/2018</t>
  </si>
  <si>
    <t>2432</t>
  </si>
  <si>
    <t>DOBRADICA EM ACO/FERRO, 3 1/2" X  3", E= 1,9  A 2 MM, COM ANEL,  CROMADO OU ZINCADO, TAMPA BOLA, COM PARAFUSOS</t>
  </si>
  <si>
    <t>TAMPA PARA CASA DE BOMBA EM CHAPA DE AÇO XADREZ PARA PISO, E = 1/4 " (6,30 MM). FORNECIMENTO E INSTALAÇÃO.</t>
  </si>
  <si>
    <t>COMPOSIÇÃO 33</t>
  </si>
  <si>
    <t>5.3.5</t>
  </si>
  <si>
    <t>93186</t>
  </si>
  <si>
    <t>VERGA MOLDADA IN LOCO EM CONCRETO PARA JANELAS COM ATÉ 1,5 M DE VÃO. AF_03/2016</t>
  </si>
  <si>
    <t>OBS: A fundação para a casa de bomba será do tipo sapata corrida nas largura de 30 cm e profundidade de 40 cm.</t>
  </si>
  <si>
    <t>Escadas</t>
  </si>
  <si>
    <t>Mesma área de preparo de fundo</t>
  </si>
  <si>
    <t>Nº de Lados</t>
  </si>
  <si>
    <t>Mesma área de forma</t>
  </si>
  <si>
    <t>Fundação da Casa de Bomba</t>
  </si>
  <si>
    <t>OBS: Para sustentação da laje, serão executados dois pilares de 15x25 cm e vigas de 15x30 cm. No caso dos pilares, está sendo considerando um arranque na altura de 15cm.</t>
  </si>
  <si>
    <t>1° Degrau</t>
  </si>
  <si>
    <t>2° Degrau</t>
  </si>
  <si>
    <t>As barras posicionadas em ângulos retos possuirão um transpasse de 25 cm para cada lado, já as posicionadas na diagonal possuirão um comprimento total de 50 cm.</t>
  </si>
  <si>
    <t>Massa Especifica</t>
  </si>
  <si>
    <t>Total (Kg)</t>
  </si>
  <si>
    <t>Kg</t>
  </si>
  <si>
    <t>Diagonal</t>
  </si>
  <si>
    <t>Ângulo Reto</t>
  </si>
  <si>
    <t>Mesma área de regularização de solo</t>
  </si>
  <si>
    <t>Tampo</t>
  </si>
  <si>
    <t>Área de Desconto</t>
  </si>
  <si>
    <t>Ocorrencia</t>
  </si>
  <si>
    <t>Espelho dos degraus</t>
  </si>
  <si>
    <t>Degraus</t>
  </si>
  <si>
    <t>Mesma área de aplicação de massa látex</t>
  </si>
  <si>
    <t>Acesso ao Palco</t>
  </si>
  <si>
    <t>Tampa</t>
  </si>
  <si>
    <t>89449</t>
  </si>
  <si>
    <t>TUBO, PVC, SOLDÁVEL, DN 50MM, INSTALADO EM PRUMADA DE ÁGUA - FORNECIMENTO E INSTALAÇÃO. AF_12/2014</t>
  </si>
  <si>
    <t>18.5.11</t>
  </si>
  <si>
    <t>18.5.12</t>
  </si>
  <si>
    <t>18.5.13</t>
  </si>
  <si>
    <t>18.5.14</t>
  </si>
  <si>
    <t>18.5.15</t>
  </si>
  <si>
    <t>18.5.16</t>
  </si>
  <si>
    <t>89503</t>
  </si>
  <si>
    <t>CURVA 90 GRAUS, PVC, SOLDÁVEL, DN 50MM, INSTALADO EM PRUMADA DE ÁGUA - FORNECIMENTO E INSTALAÇÃO. AF_12/2014</t>
  </si>
  <si>
    <t>180226</t>
  </si>
  <si>
    <t>89620</t>
  </si>
  <si>
    <t>TE, PVC, SOLDÁVEL, DN 32MM, INSTALADO EM PRUMADA DE ÁGUA - FORNECIMENTO E INSTALAÇÃO. AF_12/2014</t>
  </si>
  <si>
    <t>TE DE REDUÇÃO 90° JS - 50MM X 32MM (LH)</t>
  </si>
  <si>
    <t>180437</t>
  </si>
  <si>
    <t>TÊ EM PVC - JS - 50MM-LH</t>
  </si>
  <si>
    <t>COTAÇÃO 08</t>
  </si>
  <si>
    <t>CRUZETA PVC SOLDAVEL NBR 5648 - 50 MM</t>
  </si>
  <si>
    <t>Smart Giro</t>
  </si>
  <si>
    <t>https://www.smartgiro.com</t>
  </si>
  <si>
    <t>(16) 3511-9009</t>
  </si>
  <si>
    <t>Himater</t>
  </si>
  <si>
    <t>https://himater.com.br</t>
  </si>
  <si>
    <t>(21) 2441-2266</t>
  </si>
  <si>
    <t>Submarino</t>
  </si>
  <si>
    <t>https://www.submarino.com.br</t>
  </si>
  <si>
    <t>4003-5544</t>
  </si>
  <si>
    <t>CRUZETA PVC SOLDAVEL NBR 5648 - 50 MM. FORNECIMENTO E INSTALAÇÃO.</t>
  </si>
  <si>
    <t>89387</t>
  </si>
  <si>
    <t>LUVA DE CORRER, PVC, SOLDÁVEL, DN 32MM, INSTALADO EM RAMAL OU SUB-RAMAL DE ÁGUA   FORNECIMENTO E INSTALAÇÃO. AF_12/2014</t>
  </si>
  <si>
    <t>89596</t>
  </si>
  <si>
    <t>ADAPTADOR CURTO COM BOLSA E ROSCA PARA REGISTRO, PVC, SOLDÁVEL, DN 50MM X 1.1/2, INSTALADO EM PRUMADA DE ÁGUA - FORNECIMENTO E INSTALAÇÃO. AF_12/2014</t>
  </si>
  <si>
    <t>COTAÇÃO 09</t>
  </si>
  <si>
    <t>Global Tech</t>
  </si>
  <si>
    <t>www.globaltechbrasil.com</t>
  </si>
  <si>
    <t>(11) 96378-8602</t>
  </si>
  <si>
    <t>SKIMMER PARA PISCINA</t>
  </si>
  <si>
    <t>SKIMMER PARA PISCINA. FORNECIMENTO E INSTALAÇÃO.</t>
  </si>
  <si>
    <t>87330</t>
  </si>
  <si>
    <t>ARGAMASSA TRAÇO 1:6 (EM VOLUME DE CIMENTO E AREIA MÉDIA ÚMIDA) COM ADIÇÃO DE PLASTIFICANTE PARA EMBOÇO/MASSA ÚNICA/ASSENTAMENTO DE ALVENARIA DE VEDAÇÃO, PREPARO MECÂNICO COM MISTURADOR DE EIXO HORIZONTAL DE 600 KG. AF_08/2019</t>
  </si>
  <si>
    <t>COTAÇÃO 10</t>
  </si>
  <si>
    <t>RALO DRENO DE 50MM PARA PISCINA</t>
  </si>
  <si>
    <t>Leroy Merlin</t>
  </si>
  <si>
    <t>(11) 4007-1380</t>
  </si>
  <si>
    <t>https://www.leroymerlin.com.br</t>
  </si>
  <si>
    <t>RALO DRENO DE 50MM PARA PISCINA.FORNECIMENTO E INSTALAÇÃO.</t>
  </si>
  <si>
    <t>COTAÇÃO 11</t>
  </si>
  <si>
    <t>DISPOSITIVO DE RETORNO DE 50MM</t>
  </si>
  <si>
    <t>DISPOSITIVO DE RETORNO DE 50MM. FORNECIMENTO E INSTALAÇÃO.</t>
  </si>
  <si>
    <t>COTAÇÃO 12</t>
  </si>
  <si>
    <t>DISPOSITIVO DE ASPIRAÇÃO DE 50MM</t>
  </si>
  <si>
    <t>DISPOSITIVO DE ASPIRAÇÃO DE 50MM. FORNECIMENTO E INSTALAÇÃO</t>
  </si>
  <si>
    <t>14.24</t>
  </si>
  <si>
    <t>10.2.7</t>
  </si>
  <si>
    <t>10.2.8</t>
  </si>
  <si>
    <t>260520</t>
  </si>
  <si>
    <t>MEIO-FIO EM CONCRETO NAS DIMENSÕES 0,30M X 0,12M SEM LÂMINA D'ÁGUA</t>
  </si>
  <si>
    <t>OBS1: Para base de cálculo, foi considerada uma canaleta de 40x40cm</t>
  </si>
  <si>
    <t>OBS2: A base da Guia Submersa será de 15cm</t>
  </si>
  <si>
    <t>Instalações de SPDA</t>
  </si>
  <si>
    <t>4356</t>
  </si>
  <si>
    <t>PARAFUSO DE ACO ZINCADO COM ROSCA SOBERBA, CABECA CHATA E FENDA SIMPLES, DIAMETRO 4,8 MM, COMPRIMENTO 45 MM</t>
  </si>
  <si>
    <t>7572</t>
  </si>
  <si>
    <t>SUPORTE ISOLADOR REFORCADO DIAMETRO NOMINAL 5/16", COM ROSCA SOBERBA E BUCHA</t>
  </si>
  <si>
    <t>88247</t>
  </si>
  <si>
    <t>88264</t>
  </si>
  <si>
    <t>40425</t>
  </si>
  <si>
    <t>CHAPA DE ACO GROSSA, SAE 1020, BITOLA 1/4", E = 6,35 MM (49,85 KG/M2)</t>
  </si>
  <si>
    <t>SUPORTE GUIA SIMPLES, H=20CM, PARA TELHA ONDULADA. FORNECIMENTO E INSTALAÇÃO.</t>
  </si>
  <si>
    <t>MASTRO SIMPLES DE FO GO P/ PARA-RAIO (C/ ACESSÓRIOS)</t>
  </si>
  <si>
    <t>CABO DE COBRE NÚ 35MM²</t>
  </si>
  <si>
    <t>CABO DE COBRE NÚ 50MM²</t>
  </si>
  <si>
    <t>18.3.5</t>
  </si>
  <si>
    <t>18.3.5.1</t>
  </si>
  <si>
    <t>101549</t>
  </si>
  <si>
    <t>GRAMPO PARALELO METÁLICO, PARA REDES AÉREAS DE DISTRIBUIÇÃO DE ENERGIA ELÉTRICA DE BAIXA TENSÃO - FORNECIMENTO E INSTALAÇÃO. AF_07/2020</t>
  </si>
  <si>
    <t>171299</t>
  </si>
  <si>
    <t>PT</t>
  </si>
  <si>
    <t>PONTO DE SOLDA EXOTÉRMICA</t>
  </si>
  <si>
    <t>unid</t>
  </si>
  <si>
    <t>91941</t>
  </si>
  <si>
    <t>CAIXA RETANGULAR 4" X 2" BAIXA (0,30 M DO PISO), PVC, INSTALADA EM PAREDE - FORNECIMENTO E INSTALAÇÃO. AF_12/2015</t>
  </si>
  <si>
    <t>CAIXA EM ALVENARIA DE 50X50X50CM C/ TPO. CONCRETO</t>
  </si>
  <si>
    <t>CAIXA DE PASSAGEM EM ALUMÍNIO 300X300X130MM</t>
  </si>
  <si>
    <t>100561</t>
  </si>
  <si>
    <t>QUADRO DE DISTRIBUICAO PARA TELEFONE N.3, 40X40X12CM EM CHAPA METALICA, DE EMBUTIR, SEM ACESSORIOS, PADRAO TELEBRAS, FORNECIMENTO E INSTALAÇÃO. AF_11/2019</t>
  </si>
  <si>
    <t>181296</t>
  </si>
  <si>
    <t>CAIXA DE INSPEÇÃO EM PVC D=300MM</t>
  </si>
  <si>
    <t>171164</t>
  </si>
  <si>
    <t>HASTE DE AÇO COBREADA 5/8"X2,40M C/ CONECTOR</t>
  </si>
  <si>
    <t>862</t>
  </si>
  <si>
    <t>CABO DE COBRE NU 10 MM2 MEIO-DURO</t>
  </si>
  <si>
    <t>CABO DE COBRE NU 10 MM2. FORNECIMENTO E INSTALAÇÃO.</t>
  </si>
  <si>
    <t>171022</t>
  </si>
  <si>
    <t>ELETRODUTO DE F°G° DE 3"</t>
  </si>
  <si>
    <t>170077</t>
  </si>
  <si>
    <t>ELETRODUTO PVC RÍGIDO DE 3"</t>
  </si>
  <si>
    <t>170630</t>
  </si>
  <si>
    <t>170078</t>
  </si>
  <si>
    <t>170076</t>
  </si>
  <si>
    <t>ELETRODUTO PVC RÍGIDO DE 2"</t>
  </si>
  <si>
    <t>ELETRODUTO PVC RÍGIDO DE 1"</t>
  </si>
  <si>
    <t>ELETRODUTO PVC RÍGIDO DE 3/4"</t>
  </si>
  <si>
    <t>1102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</si>
  <si>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</si>
  <si>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 FORNECIMENTO E INSTALAÇÃO.</t>
  </si>
  <si>
    <t>171264</t>
  </si>
  <si>
    <t>171094</t>
  </si>
  <si>
    <t>171268</t>
  </si>
  <si>
    <t>171025</t>
  </si>
  <si>
    <t>171024</t>
  </si>
  <si>
    <t>CURVA 90° P/ ELET. F°G° 3" (IE)</t>
  </si>
  <si>
    <t>CURVA 90° P/ ELET. PVC 3" (IE)</t>
  </si>
  <si>
    <t>CURVA 90° P/ ELET. PVC 2" (IE)</t>
  </si>
  <si>
    <t>CURVA 90º P/ ELET. PVC 1" (IE)</t>
  </si>
  <si>
    <t>CURVA 90º P/ ELET PVC 3/4" (IE)</t>
  </si>
  <si>
    <t>171342</t>
  </si>
  <si>
    <t>171408</t>
  </si>
  <si>
    <t>171049</t>
  </si>
  <si>
    <t>171406</t>
  </si>
  <si>
    <t>171405</t>
  </si>
  <si>
    <t>LUVA P/ ELET. Fº Gº DE 3" (IE)</t>
  </si>
  <si>
    <t>LUVA P/ ELET. PVC DE 3" (IE)</t>
  </si>
  <si>
    <t>LUVA P/ ELET. PVC DE 2" (IE)</t>
  </si>
  <si>
    <t>LUVA P/ ELET. PVC DE 1" (IE)</t>
  </si>
  <si>
    <t>LUVA P/ ELET. PVC DE 3/4" (IE)</t>
  </si>
  <si>
    <t>345</t>
  </si>
  <si>
    <t>ARAME GALVANIZADO 18 BWG, D = 1,24MM (0,009 KG/M)</t>
  </si>
  <si>
    <t>ARAME GALVANIZADO P/ GUIA DE CABOS.</t>
  </si>
  <si>
    <t>171180</t>
  </si>
  <si>
    <t>211205</t>
  </si>
  <si>
    <t>CABO UTP PAR TRANÇADO 04P 24 AWG CAT 6E</t>
  </si>
  <si>
    <t>CABO TELEFÔNICO CCI 50X10P</t>
  </si>
  <si>
    <t>COTAÇÃO 13</t>
  </si>
  <si>
    <t>BLOCO BLI 10P P/ TELEFONIA</t>
  </si>
  <si>
    <t>Extra</t>
  </si>
  <si>
    <t>4003-0363</t>
  </si>
  <si>
    <t>https://www.extra.com.br</t>
  </si>
  <si>
    <t>Planeta Energia</t>
  </si>
  <si>
    <t>( 91 ) 3222-0404</t>
  </si>
  <si>
    <t>https://www.planetaenergia.com.br</t>
  </si>
  <si>
    <t>BLOCO BLI 10P P/ TELEFONIA. FORNECIMENTO E INSTALAÇÃO.</t>
  </si>
  <si>
    <t>171178</t>
  </si>
  <si>
    <t>RACK 19" 05 U/A</t>
  </si>
  <si>
    <t>COTAÇÃO 14</t>
  </si>
  <si>
    <t>Transol</t>
  </si>
  <si>
    <t>https://loja.eletrotransol.com.br</t>
  </si>
  <si>
    <t>DISTRIBUIDOR INTERNO ÓPTICO (DIO)</t>
  </si>
  <si>
    <t>DISTRIBUIDOR INTERNO ÓPTICO (DIO). FORNECIMENTO E INSTALAÇÃO.</t>
  </si>
  <si>
    <t>171056</t>
  </si>
  <si>
    <t>171190</t>
  </si>
  <si>
    <t>171187</t>
  </si>
  <si>
    <t>PATCH PANEL 24 PORTAS CAT 6E</t>
  </si>
  <si>
    <t>RÉGUA DE 05 TOMADAS</t>
  </si>
  <si>
    <t>PATCH CABLE M8V CAT 6E 1,5M</t>
  </si>
  <si>
    <t>ADAPT CABLE M8V CAT 6E 2,5M</t>
  </si>
  <si>
    <t>TAMPA CEGA 4"X4" PLÁSTICA</t>
  </si>
  <si>
    <t>Instalações para Climatização</t>
  </si>
  <si>
    <t>103292</t>
  </si>
  <si>
    <t>TUBO EM COBRE FLEXÍVEL, DN 5/8",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</si>
  <si>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</si>
  <si>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</si>
  <si>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</si>
  <si>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</si>
  <si>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103289</t>
  </si>
  <si>
    <t>TUBO EM COBRE FLEXÍVEL, DN 1/4", COM ISOLAMENTO, INSTALADO EM FORRO, PARA RAMAL DE ALIMENTAÇÃO DE AR CONDICIONADO, INCLUSO FIXADOR. AF_11/2021</t>
  </si>
  <si>
    <t>CABO DE COBRE 1,5MM2 - 750 V</t>
  </si>
  <si>
    <t>39712</t>
  </si>
  <si>
    <t>TUBO DE ESPUMA DE POLIETILENO EXPANDIDO FLEXIVEL PARA ISOLAMENTO TERMICO DE TUBULACAO DE AR CONDICIONADO, AGUA QUENTE,  DN 1/2", E= 10 MM</t>
  </si>
  <si>
    <t>TUBO DE ESPUMA DE POLIETILENO EXPANDIDO FLEXIVEL PARA ISOLAMENTO TERMICO DE TUBULACAO DE AR CONDICIONADO, AGUA QUENTE,  DN 1/2", E= 10 MM. FORNECIMENTO E INSTALAÇÃO.</t>
  </si>
  <si>
    <t>90437</t>
  </si>
  <si>
    <t>FURO EM ALVENARIA PARA DIÂMETROS MAIORES QUE 40 MM E MENORES OU IGUAIS A 75 MM. AF_05/2015</t>
  </si>
  <si>
    <t>39716</t>
  </si>
  <si>
    <t>TUBO DE ESPUMA DE POLIETILENO EXPANDIDO FLEXIVEL PARA ISOLAMENTO TERMICO DE TUBULACAO DE AR CONDICIONADO, AGUA QUENTE,  DN 3/8", E= 10 MM</t>
  </si>
  <si>
    <t>TUBO DE ESPUMA DE POLIETILENO EXPANDIDO FLEXIVEL PARA ISOLAMENTO TERMICO DE TUBULACAO DE AR CONDICIONADO, AGUA QUENTE,  DN 3/8", E= 10 MM. FORNECIMENTO E INSTALAÇÃO.</t>
  </si>
  <si>
    <t>39713</t>
  </si>
  <si>
    <t>TUBO DE ESPUMA DE POLIETILENO EXPANDIDO FLEXIVEL PARA ISOLAMENTO TERMICO DE TUBULACAO DE AR CONDICIONADO, AGUA QUENTE,  DN 1/4", E= 10 MM</t>
  </si>
  <si>
    <t>TUBO DE ESPUMA DE POLIETILENO EXPANDIDO FLEXIVEL PARA ISOLAMENTO TERMICO DE TUBULACAO DE AR CONDICIONADO, AGUA QUENTE,  DN 1/4", E= 10 MM. FORNECIMENTO E INSTALAÇÃO.</t>
  </si>
  <si>
    <t>39701</t>
  </si>
  <si>
    <t>FITA ADESIVA ASFALTICA ALUMINIZADA MULTIUSO, L = 10 CM, ROLO DE 10 M</t>
  </si>
  <si>
    <t>FITA ADESIVA ASFALTICA ALUMINIZADA MULTIUSO, L = 10 CM, ROLO DE 10 M. FORNECUMENTO E APLICAÇÃO.</t>
  </si>
  <si>
    <t>39634</t>
  </si>
  <si>
    <t>FITA ADESIVA ANTICORROSIVA DE PVC FLEXIVEL, COR PRETA, PARA PROTECAO TUBULACAO, 50 MM X 30 M (L X C), E= *0,25* MM</t>
  </si>
  <si>
    <t>FITA ADESIVA ANTICORROSIVA DE PVC FLEXIVEL, COR PRETA, PARA PROTECAO TUBULACAO, 50 MM X 30 M (L X C), E= *0,25* MM. FORNECIMENTO E APLICAÇÃO.</t>
  </si>
  <si>
    <t>COTAÇÃO 15</t>
  </si>
  <si>
    <t>TUBO ISOLANTE ESPONJOSO 5/8"</t>
  </si>
  <si>
    <t>(21) 2148-5269</t>
  </si>
  <si>
    <t>RefriTron</t>
  </si>
  <si>
    <t>Refrigeração Cata Vento</t>
  </si>
  <si>
    <t>www.refrigeracaocatavento.com.br</t>
  </si>
  <si>
    <t>(21) 2768-4054</t>
  </si>
  <si>
    <t>Eletrofrigor</t>
  </si>
  <si>
    <t>www.eletrofrigor.com.br</t>
  </si>
  <si>
    <t xml:space="preserve"> (21) 3803-1400</t>
  </si>
  <si>
    <t>TUBO ISOLANTE ESPONJOSO 5/8". FORNECIMENTO E INSTALAÇÃO.</t>
  </si>
  <si>
    <t>Cabos, Eletrocalha e Elementos de Direcionamento de Cabos</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</si>
  <si>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</si>
  <si>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</si>
  <si>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</si>
  <si>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</si>
  <si>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</si>
  <si>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</si>
  <si>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</si>
  <si>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</si>
  <si>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</si>
  <si>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</si>
  <si>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</si>
  <si>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</si>
  <si>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</si>
  <si>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</si>
  <si>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</si>
  <si>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</si>
  <si>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</si>
  <si>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</si>
  <si>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</si>
  <si>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</si>
  <si>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</si>
  <si>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</si>
  <si>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</si>
  <si>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</si>
  <si>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</si>
  <si>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</si>
  <si>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</si>
  <si>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</si>
  <si>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12.7</t>
  </si>
  <si>
    <t>12.7.1</t>
  </si>
  <si>
    <t>12.7.2</t>
  </si>
  <si>
    <t>12.7.3</t>
  </si>
  <si>
    <t>12.7.4</t>
  </si>
  <si>
    <t>12.7.5</t>
  </si>
  <si>
    <t>12.7.6</t>
  </si>
  <si>
    <t>12.7.7</t>
  </si>
  <si>
    <t>12.7.8</t>
  </si>
  <si>
    <t>12.7.9</t>
  </si>
  <si>
    <t>12.7.10</t>
  </si>
  <si>
    <t>101883</t>
  </si>
  <si>
    <t>QUADRO DE DISTRIBUIÇÃO DE ENERGIA EM CHAPA DE AÇO GALVANIZADO, DE EMBUTIR, COM BARRAMENTO TRIFÁSICO, PARA 18 DISJUNTORES DIN 100A - FORNECIMENTO E INSTALAÇÃO. AF_10/2020</t>
  </si>
  <si>
    <t>171013</t>
  </si>
  <si>
    <t>97592</t>
  </si>
  <si>
    <t>LUMINÁRIA TIPO PLAFON, DE SOBREPOR, COM 1 LÂMPADA LED DE 12/13 W, SEM REATOR - FORNECIMENTO E INSTALAÇÃO. AF_02/2020</t>
  </si>
  <si>
    <t>39391</t>
  </si>
  <si>
    <t>LUMINARIA LED REFLETOR RETANGULAR BIVOLT, LUZ BRANCA, 50 W</t>
  </si>
  <si>
    <t>LUMINÁRIA PENDENTE, PARA UMA LÂMPADA LED 50W. FORNECIMENTO E INSTALAÇÃO</t>
  </si>
  <si>
    <t>LUMINÁRIA ABALUX - EMBUTIR(2X20W) - COMPLETA</t>
  </si>
  <si>
    <t>91953</t>
  </si>
  <si>
    <t>INTERRUPTOR SIMPLES (1 MÓDULO), 10A/250V, INCLUINDO SUPORTE E PLACA - FORNECIMENTO E INSTALAÇÃO. AF_12/2015</t>
  </si>
  <si>
    <t>92023</t>
  </si>
  <si>
    <t>INTERRUPTOR SIMPLES (1 MÓDULO) COM 1 TOMADA DE EMBUTIR 2P+T 10 A,  INCLUINDO SUPORTE E PLACA - FORNECIMENTO E INSTALAÇÃO. AF_12/2015</t>
  </si>
  <si>
    <t>92000</t>
  </si>
  <si>
    <t>92008</t>
  </si>
  <si>
    <t>TOMADA BAIXA DE EMBUTIR (2 MÓDULOS), 2P+T 10 A, INCLUINDO SUPORTE E PLACA - FORNECIMENTO E INSTALAÇÃO. AF_12/2015</t>
  </si>
  <si>
    <t>91996</t>
  </si>
  <si>
    <t>TOMADA MÉDIA DE EMBUTIR (1 MÓDULO), 2P+T 10 A, INCLUINDO SUPORTE E PLACA - FORNECIMENTO E INSTALAÇÃO. AF_12/2015</t>
  </si>
  <si>
    <t>170339</t>
  </si>
  <si>
    <t>91992</t>
  </si>
  <si>
    <t>TOMADA ALTA DE EMBUTIR (1 MÓDULO), 2P+T 10 A, INCLUINDO SUPORTE E PLACA - FORNECIMENTO E INSTALAÇÃO. AF_12/2015</t>
  </si>
  <si>
    <t>91993</t>
  </si>
  <si>
    <t>TOMADA ALTA DE EMBUTIR (1 MÓDULO), 2P+T 20 A, INCLUINDO SUPORTE E PLACA - FORNECIMENTO E INSTALAÇÃO. AF_12/2015</t>
  </si>
  <si>
    <t>TOMADA 2P+T 10A (S/ FIAÇÃO)</t>
  </si>
  <si>
    <t>Tomadas e Interruptores</t>
  </si>
  <si>
    <t>Quantitativos retirados da prancha ELE 01/01</t>
  </si>
  <si>
    <t>91517</t>
  </si>
  <si>
    <t>Infraestrutura</t>
  </si>
  <si>
    <t>CRONOGRAMA FÍSICO FINANCEIRO - CFF</t>
  </si>
  <si>
    <t>Resp. Técnico</t>
  </si>
  <si>
    <t>Evolução da Obra em dias</t>
  </si>
  <si>
    <t>30 dias</t>
  </si>
  <si>
    <t>60 dias</t>
  </si>
  <si>
    <t>90 dias</t>
  </si>
  <si>
    <t>120 dias</t>
  </si>
  <si>
    <t>150 dias</t>
  </si>
  <si>
    <t>180 dias</t>
  </si>
  <si>
    <t>COMPOSIÇÃO 11</t>
  </si>
  <si>
    <t>COMPOSIÇÃO 22</t>
  </si>
  <si>
    <t>COMPOSIÇÃO 23</t>
  </si>
  <si>
    <t>COMPOSIÇÃO 27</t>
  </si>
  <si>
    <t>COMPOSIÇÃO 28</t>
  </si>
  <si>
    <t>COMPOSIÇÃO 34</t>
  </si>
  <si>
    <t>COMPOSIÇÃO 35</t>
  </si>
  <si>
    <t>COMPOSIÇÃO 36</t>
  </si>
  <si>
    <t>COMPOSIÇÃO 37</t>
  </si>
  <si>
    <t>COMPOSIÇÃO 38</t>
  </si>
  <si>
    <t>103670</t>
  </si>
  <si>
    <t>LANÇAMENTO COM USO DE BALDES, ADENSAMENTO E ACABAMENTO DE CONCRETO EM ESTRUTURAS. AF_02/2022</t>
  </si>
  <si>
    <t>98510</t>
  </si>
  <si>
    <t>PLANTIO DE ÁRVORE ORNAMENTAL COM ALTURA DE MUDA MENOR OU IGUAL A 2,00 M. AF_05/2018</t>
  </si>
  <si>
    <t>COMPOSIÇÃO 39</t>
  </si>
  <si>
    <t>COMPOSIÇÃO 40</t>
  </si>
  <si>
    <t>COMPOSIÇÃO 41</t>
  </si>
  <si>
    <t>COMPOSIÇÃO 42</t>
  </si>
  <si>
    <t>COMPOSIÇÃO 43</t>
  </si>
  <si>
    <t>COMPOSIÇÃO 44</t>
  </si>
  <si>
    <t>COMPOSIÇÃO 45</t>
  </si>
  <si>
    <t>COMPOSIÇÃO 46</t>
  </si>
  <si>
    <t>COMPOSIÇÃO 47</t>
  </si>
  <si>
    <t>COMPOSIÇÃO 48</t>
  </si>
  <si>
    <t>COMPOSIÇÃO 49</t>
  </si>
  <si>
    <t>COMPOSIÇÃO 50</t>
  </si>
  <si>
    <t>COMPOSIÇÃO 51</t>
  </si>
  <si>
    <t>COMPOSIÇÃO 52</t>
  </si>
  <si>
    <t>www.refritron.com.br</t>
  </si>
  <si>
    <t>SINAPI FEVEREIRO 2022 - DESONERADA                                 SEDOP FEVEREIRO 2022 - DESONERADA</t>
  </si>
  <si>
    <t>96358</t>
  </si>
  <si>
    <t>PAREDE COM PLACAS DE GESSO ACARTONADO (DRYWALL), PARA USO INTERNO, COM DUAS FACES SIMPLES E ESTRUTURA METÁLICA COM GUIAS SIMPLES, SEM VÃOS. AF_06/2017_P</t>
  </si>
  <si>
    <t>87547</t>
  </si>
  <si>
    <t>MASSA ÚNICA, PARA RECEBIMENTO DE PINTURA, EM ARGAMASSA TRAÇO 1:2:8, PREPARO MECÂNICO COM BETONEIRA 400L, APLICADA MANUALMENTE EM FACES INTERNAS DE PAREDES, ESPESSURA DE 10MM, COM EXECUÇÃO DE TALISCAS. AF_06/2014</t>
  </si>
  <si>
    <t>87553</t>
  </si>
  <si>
    <t>EMBOÇO, PARA RECEBIMENTO DE CERÂMICA, EM ARGAMASSA TRAÇO 1:2:8, PREPARO MECÂNICO COM BETONEIRA 400L, APLICADO MANUALMENTE EM FACES INTERNAS DE PAREDES, PARA AMBIENTE COM ÁREA MAIOR QUE 10M2, ESPESSURA DE 10MM, COM EXECUÇÃO DE TALISCAS. AF_06/2014</t>
  </si>
  <si>
    <t>102179</t>
  </si>
  <si>
    <t>INSTALAÇÃO DE VIDRO TEMPERADO, E = 6 MM, ENCAIXADO EM PERFIL U. AF_01/2021_P</t>
  </si>
  <si>
    <t>COTAÇÃO 16</t>
  </si>
  <si>
    <t>RESPIRO SUPERIOR/INFERIOR PARA SAUNA, INCLUSO RALO TIPO ABRE E FECHA PROPRIO PARA INSTALAÇÃO EM PAREDE E TUBULAÇÃO INSTALADA COM INCLINAÇÃO MINIMA, DE MODO A EVITAR GOTEJAMENTO. FORNECIMENTO E INSTALAÇÃO.</t>
  </si>
  <si>
    <t>98504</t>
  </si>
  <si>
    <t>PLANTIO DE GRAMA EM PLACAS. AF_05/2018</t>
  </si>
  <si>
    <t>12.2.9</t>
  </si>
  <si>
    <t>12.2.10</t>
  </si>
  <si>
    <t>91959</t>
  </si>
  <si>
    <t>INTERRUPTOR SIMPLES (2 MÓDULOS), 10A/250V, INCLUINDO SUPORTE E PLACA - FORNECIMENTO E INSTALAÇÃO. AF_12/2015</t>
  </si>
  <si>
    <t>91967</t>
  </si>
  <si>
    <t>INTERRUPTOR SIMPLES (3 MÓDULOS), 10A/250V, INCLUINDO SUPORTE E PLACA - FORNECIMENTO E INSTALAÇÃO. AF_12/2015</t>
  </si>
  <si>
    <t>12.4.3</t>
  </si>
  <si>
    <t>12.4.4</t>
  </si>
  <si>
    <t>12.4.5</t>
  </si>
  <si>
    <t>12.4.6</t>
  </si>
  <si>
    <t>170930</t>
  </si>
  <si>
    <t>CURVA DE INVERSÃO PARA ELETROCALHA TIPO "C" COM TAMPA, 100X50MM.</t>
  </si>
  <si>
    <t>www.extra.com.br</t>
  </si>
  <si>
    <t>4003-3383</t>
  </si>
  <si>
    <t>EletroRastro</t>
  </si>
  <si>
    <t>www.eletrorastro.com.br</t>
  </si>
  <si>
    <t>CURVA DE INVERSÃO PARA ELETROCALHA TIPO "C" COM TAMPA, 100X50MM. FORNECIMENTO E INSTALAÇÃO.</t>
  </si>
  <si>
    <t>COTAÇÃO 17</t>
  </si>
  <si>
    <t>CURVA HORIZONTAL 90° PARA ELETROCALHA TIPO "C" COM TAMPA, 100X50MM.</t>
  </si>
  <si>
    <t>Luxtil</t>
  </si>
  <si>
    <t>luxtil.com.br</t>
  </si>
  <si>
    <t>Mercado Livre</t>
  </si>
  <si>
    <t>produto.mercadolivre.com.br</t>
  </si>
  <si>
    <t>COTAÇÃO 18</t>
  </si>
  <si>
    <t>CURVA VERTICAL INTERNA 90° PARA ELETROCALHA TIPO "C" COM TAMPA, 100X50MM.</t>
  </si>
  <si>
    <t>Central Elétrica</t>
  </si>
  <si>
    <t>www.lojacentraleletrica.com.br</t>
  </si>
  <si>
    <t>(38) 99734-0497</t>
  </si>
  <si>
    <t>CURVA VERTICAL INTERNA 90° PARA ELETROCALHA TIPO "C" COM TAMPA, 100X50MM. FORNECIMENTO E INSTALAÇÃO.</t>
  </si>
  <si>
    <t>COTAÇÃO 19</t>
  </si>
  <si>
    <t>CURVA VERTICAL EXTERNA 90° PARA ELETROCALHA TIPO "C" COM TAMPA, 100X50MM.</t>
  </si>
  <si>
    <t>COTAÇÃO 20</t>
  </si>
  <si>
    <t>Dimensional</t>
  </si>
  <si>
    <t>(19) 3446-7400</t>
  </si>
  <si>
    <t>www.dimensional.com.br</t>
  </si>
  <si>
    <t>CURVA VERTICAL EXTERNA 90° PARA ELETROCALHA TIPO "C" COM TAMPA, 100X50MM. FORNECIMENTO E INSTALAÇÃO.</t>
  </si>
  <si>
    <t>TÊ HORIZONTAL 90° PARA ELETROCALHA TIPO "C" COM TAMPA, 100X50MM.</t>
  </si>
  <si>
    <t>Ferramentas Kennedy</t>
  </si>
  <si>
    <t>www.ferramentaskennedy.com.br</t>
  </si>
  <si>
    <t>(41)3314-1853</t>
  </si>
  <si>
    <t>rceletrica.com.br</t>
  </si>
  <si>
    <t>(11) 91009-3526</t>
  </si>
  <si>
    <t>RC Elétrica</t>
  </si>
  <si>
    <t>TÊ HORIZONTAL 90° PARA ELETROCALHA TIPO "C" COM TAMPA, 100X50MM. FORNECIMENTO E INSTALAÇÃO.</t>
  </si>
  <si>
    <t>COTAÇÃO 21</t>
  </si>
  <si>
    <t>EMENDA INTERNA PARA ELETROCALHA TIPO "C", 100X50MM.</t>
  </si>
  <si>
    <t>EMENDA INTERNA PARA ELETROCALHA TIPO "C", 100X50MM. FORNECIMENTO E INSTALAÇÃO.</t>
  </si>
  <si>
    <t>171068</t>
  </si>
  <si>
    <t>SUPORTE PARA ELETROCALHAS</t>
  </si>
  <si>
    <t>ELETROCALHA DE METAL CURVE "U"PERF. 50X100 - 3M</t>
  </si>
  <si>
    <t>SAÍDA HORIZONTAL P/ ELETRODUTO Ø1", EM ELETROCALHA.</t>
  </si>
  <si>
    <t>COTAÇÃO 22</t>
  </si>
  <si>
    <t>SAÍDA HORIZONTAL P/ ELETRODUTO Ø1", EM ELETROCALHA. FORNECIMENTO E INSTALAÇÃO</t>
  </si>
  <si>
    <t>COTAÇÃO 23</t>
  </si>
  <si>
    <t>SAÍDA HORIZONTAL P/ ELETRODUTO Ø3/4", EM ELETROCALHA.</t>
  </si>
  <si>
    <t>Casa Bahia</t>
  </si>
  <si>
    <t>www.casasbahia.com.br</t>
  </si>
  <si>
    <t>4003-4336</t>
  </si>
  <si>
    <t>SAÍDA HORIZONTAL P/ ELETRODUTO Ø3/4", EM ELETROCALHA. FORNECIMENTO E INSTALAÇÃO</t>
  </si>
  <si>
    <t>170632</t>
  </si>
  <si>
    <t>ELETRODUTO PVC RÍGIDO DE 1 1/4"</t>
  </si>
  <si>
    <t>93024</t>
  </si>
  <si>
    <t>CURVA 90 GRAUS PARA ELETRODUTO, PVC, ROSCÁVEL, DN 85 MM (3"), PARA REDE ENTERRADA DE DISTRIBUIÇÃO DE ENERGIA ELÉTRICA - FORNECIMENTO E INSTALAÇÃO. AF_12/2021</t>
  </si>
  <si>
    <t>CURVA  90° P/ ELET. F°G° 3" (IE)</t>
  </si>
  <si>
    <t>91896</t>
  </si>
  <si>
    <t>CURVA 90 GRAUS PARA ELETRODUTO, PVC, ROSCÁVEL, DN 40 MM (1 1/4"), PARA CIRCUITOS TERMINAIS, INSTALADA EM FORRO - FORNECIMENTO E INSTALAÇÃO. AF_12/2015</t>
  </si>
  <si>
    <t>91893</t>
  </si>
  <si>
    <t>CURVA 90 GRAUS PARA ELETRODUTO, PVC, ROSCÁVEL, DN 32 MM (1"), PARA CIRCUITOS TERMINAIS, INSTALADA EM FORRO - FORNECIMENTO E INSTALAÇÃO. AF_12/2015</t>
  </si>
  <si>
    <t>91890</t>
  </si>
  <si>
    <t>CURVA 90 GRAUS PARA ELETRODUTO, PVC, ROSCÁVEL, DN 25 MM (3/4"), PARA CIRCUITOS TERMINAIS, INSTALADA EM FORRO - FORNECIMENTO E INSTALAÇÃO. AF_12/2015</t>
  </si>
  <si>
    <t>171048</t>
  </si>
  <si>
    <t>12.3.3</t>
  </si>
  <si>
    <t>12.3.4</t>
  </si>
  <si>
    <t>12.3.5</t>
  </si>
  <si>
    <t>12.3.6</t>
  </si>
  <si>
    <t>12.3.7</t>
  </si>
  <si>
    <t>12.3.8</t>
  </si>
  <si>
    <t>12.3.9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</si>
  <si>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</si>
  <si>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</si>
  <si>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</si>
  <si>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</si>
  <si>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</si>
  <si>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</si>
  <si>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</si>
  <si>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</si>
  <si>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</si>
  <si>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</si>
  <si>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</si>
  <si>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</si>
  <si>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</si>
  <si>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</si>
  <si>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</si>
  <si>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</si>
  <si>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</si>
  <si>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</si>
  <si>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</si>
  <si>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</si>
  <si>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</si>
  <si>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</si>
  <si>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</si>
  <si>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</si>
  <si>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91926</t>
  </si>
  <si>
    <t>CABO DE COBRE FLEXÍVEL ISOLADO, 2,5 MM², ANTI-CHAMA 450/750 V, PARA CIRCUITOS TERMINAIS - FORNECIMENTO E INSTALAÇÃO. AF_12/2015</t>
  </si>
  <si>
    <t>91928</t>
  </si>
  <si>
    <t>CABO DE COBRE FLEXÍVEL ISOLADO, 4 MM², ANTI-CHAMA 450/750 V, PARA CIRCUITOS TERMINAIS - FORNECIMENTO E INSTALAÇÃO. AF_12/2015</t>
  </si>
  <si>
    <t>101886</t>
  </si>
  <si>
    <t>CABO DE COBRE ISOLADO, 16 MM², ANTI-CHAMA 450/750 V, INSTALADO EM ELETROCALHA OU PERFILADO - FORNECIMENTO E INSTALAÇÃO. AF_10/2020</t>
  </si>
  <si>
    <t>101884</t>
  </si>
  <si>
    <t>CABO DE COBRE ISOLADO, 10 MM², ANTI-CHAMA 450/750 V, INSTALADO EM ELETROCALHA OU PERFILADO - FORNECIMENTO E INSTALAÇÃO. AF_10/2020</t>
  </si>
  <si>
    <t>101888</t>
  </si>
  <si>
    <t>CABO DE COBRE ISOLADO, 25 MM², ANTI-CHAMA 450/750 V, INSTALADO EM ELETROCALHA OU PERFILADO - FORNECIMENTO E INSTALAÇÃO. AF_10/2020</t>
  </si>
  <si>
    <t>101563</t>
  </si>
  <si>
    <t>CABO DE COBRE FLEXÍVEL ISOLADO, 35 MM², 0,6/1,0 KV, PARA REDE AÉREA DE DISTRIBUIÇÃO DE ENERGIA ELÉTRICA DE BAIXA TENSÃO - FORNECIMENTO E INSTALAÇÃO. AF_07/2020</t>
  </si>
  <si>
    <t>171271</t>
  </si>
  <si>
    <t>101946</t>
  </si>
  <si>
    <t>QUADRO DE MEDIÇÃO GERAL DE ENERGIA PARA 1 MEDIDOR DE SOBREPOR - FORNECIMENTO E INSTALAÇÃO. AF_10/2020</t>
  </si>
  <si>
    <t>Quadros, Caixas e Disjuntores</t>
  </si>
  <si>
    <t>12.4.7</t>
  </si>
  <si>
    <t>12.4.8</t>
  </si>
  <si>
    <t>12.4.9</t>
  </si>
  <si>
    <t>12.4.10</t>
  </si>
  <si>
    <t>12.4.11</t>
  </si>
  <si>
    <t>12.4.12</t>
  </si>
  <si>
    <t>12.4.13</t>
  </si>
  <si>
    <t>12.4.14</t>
  </si>
  <si>
    <t>12.4.15</t>
  </si>
  <si>
    <t>12.4.16</t>
  </si>
  <si>
    <t>CABO DE COBRE NÚ 25MM²</t>
  </si>
  <si>
    <t>LUVA P/ ELET. FºGº DE 3" (IE)</t>
  </si>
  <si>
    <t>LUVA P/ ELET. PVC DE 1 1/4" (IE)</t>
  </si>
  <si>
    <t>101881</t>
  </si>
  <si>
    <t>QUADRO DE DISTRIBUIÇÃO DE ENERGIA EM CHAPA DE AÇO GALVANIZADO, DE EMBUTIR, COM BARRAMENTO TRIFÁSICO, PARA 40 DISJUNTORES DIN 100A - FORNECIMENTO E INSTALAÇÃO. AF_10/2020</t>
  </si>
  <si>
    <t>CENTRO DE DISTRIBUIÇÃO DE EMBUTIR COM BARRAMENTO TRIFÁSICO PARA 225A, BARRA DE NEUTRO E TERRA, COM CAPACIDADE PARA 56 DISJUNTORES MONOPOLARES DIN PADRÃO IEC, FAB. CEMAR OU SIMILAR. (QFAC)</t>
  </si>
  <si>
    <t>Anhanguera III</t>
  </si>
  <si>
    <t>www.anhangueraferramentas.com.br</t>
  </si>
  <si>
    <t>(19) 3116-4000</t>
  </si>
  <si>
    <t>87367</t>
  </si>
  <si>
    <t>ARGAMASSA TRAÇO 1:1:6 (EM VOLUME DE CIMENTO, CAL E AREIA MÉDIA ÚMIDA) PARA EMBOÇO/MASSA ÚNICA/ASSENTAMENTO DE ALVENARIA DE VEDAÇÃO, PREPARO MANUAL. AF_08/2019</t>
  </si>
  <si>
    <t>CENTRO DE DISTRIBUIÇÃO DE EMBUTIR COM BARRAMENTO TRIFÁSICO PARA 225A, BARRA DE NEUTRO E TERRA, COM CAPACIDADE PARA 56 DISJUNTORES MONOPOLARES DIN PADRÃO IEC, FAB. CEMAR OU SIMILAR. (QFAC). FORNECIMENTO E INSTALAÇÃO.</t>
  </si>
  <si>
    <t>DISJUNTOR MONOPOLAR TIPO DIN, CORRENTE NOMINAL DE 16A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</si>
  <si>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</si>
  <si>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</si>
  <si>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</si>
  <si>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</si>
  <si>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</si>
  <si>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</si>
  <si>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93668</t>
  </si>
  <si>
    <t>DISJUNTOR TRIPOLAR TIPO DIN, CORRENTE NOMINAL DE 16A - FORNECIMENTO E INSTALAÇÃO. AF_10/2020</t>
  </si>
  <si>
    <t>93672</t>
  </si>
  <si>
    <t>DISJUNTOR TRIPOLAR TIPO DIN, CORRENTE NOMINAL DE 40A - FORNECIMENTO E INSTALAÇÃO. AF_10/2020</t>
  </si>
  <si>
    <t>FORRO DE PVC, LISO, PARA AMBIENTES COMERCIAIS, INCLUSIVE ESTRUTURA DE FIXAÇÃO. AF_05/2017_P</t>
  </si>
  <si>
    <t>171469</t>
  </si>
  <si>
    <t>171419</t>
  </si>
  <si>
    <t>INTERRUPTOR DIFERENCIAL RESIDUAL 40A/30MA-4P</t>
  </si>
  <si>
    <t>SUPRESSOR DE TRANSIENTES TIPO VARISTOR 20KA-175V.</t>
  </si>
  <si>
    <t xml:space="preserve">UNID </t>
  </si>
  <si>
    <t>150 A</t>
  </si>
  <si>
    <t>171070</t>
  </si>
  <si>
    <t>SUPRESSOR CONTRA SURTO CLAMPER 45KA</t>
  </si>
  <si>
    <t>COTAÇÃO 24</t>
  </si>
  <si>
    <t>RALO ABRE E FECHA REDONDO DE PAREDE PARA RESPIRO DE SAUNA</t>
  </si>
  <si>
    <t>Instalações Elétricas para Casa de Bomba</t>
  </si>
  <si>
    <t>170682</t>
  </si>
  <si>
    <t>PONTO ELÉTRICO ESTABILIZADO (INCL. ELETR.,CX.,FIAÇÃO E TOMADA)</t>
  </si>
  <si>
    <t>ponto</t>
  </si>
  <si>
    <t>2.8</t>
  </si>
  <si>
    <t>10000</t>
  </si>
  <si>
    <t>LICENÇAS E TAXAS DA OBRA (ACIMA DE 500M2)</t>
  </si>
  <si>
    <t>cj</t>
  </si>
  <si>
    <t>COMPOSIÇÃO 53</t>
  </si>
  <si>
    <t>COMPOSIÇÃO 54</t>
  </si>
  <si>
    <t>COMPOSIÇÃO 55</t>
  </si>
  <si>
    <t>COMPOSIÇÃO 56</t>
  </si>
  <si>
    <t>COMPOSIÇÃO 57</t>
  </si>
  <si>
    <t>COMPOSIÇÃO 58</t>
  </si>
  <si>
    <t>COMPOSIÇÃO 59</t>
  </si>
  <si>
    <t>COMPOSIÇÃO 60</t>
  </si>
  <si>
    <t>COMPOSIÇÃO 61</t>
  </si>
  <si>
    <t>COMPOSIÇÃO 62</t>
  </si>
  <si>
    <t>COTAÇÃO REALIZADA EM MARÇO/2022</t>
  </si>
  <si>
    <t>97084</t>
  </si>
  <si>
    <t>COMPACTAÇÃO MECÂNICA DE SOLO PARA EXECUÇÃO DE RADIER, PISO DE CONCRETO OU LAJE SOBRE SOLO, COM COMPACTADOR DE SOLOS TIPO PLACA VIBRATÓRIA. AF_09/2021</t>
  </si>
  <si>
    <t>(Possui parte do muro construido)</t>
  </si>
  <si>
    <t>87879</t>
  </si>
  <si>
    <t>CHAPISCO APLICADO EM ALVENARIAS E ESTRUTURAS DE CONCRETO INTERNAS, COM COLHER DE PEDREIRO.  ARGAMASSA TRAÇO 1:3 COM PREPARO EM BETONEIRA 400L. AF_06/2014</t>
  </si>
  <si>
    <t>OBS: Com base no relatório fotográfico, é possível identificar que no meio do terreno, há um trecho em quem não há vegetação, por este motivo não está sendo considerada toda a largura do terreno.</t>
  </si>
  <si>
    <t>Entendendo que se um triângulo retângulo for duplicado, de mesmas medidas, teremos um retângulo onde a mediana dos dois se intercepta na metade do retângulo. Com base nesta análise, foi calculada como figura geométrica retangular, a área de inclinação nas duas faces da parede, com perímetro de 5m (cinco metros).</t>
  </si>
  <si>
    <t>97881</t>
  </si>
  <si>
    <t>CAIXA ENTERRADA RETANGULAR, EM CONCRETO PRÉ-MOLDADO, FUNDO COM BRITA, DIMENSÕES INTERNAS: 0,3X0,3X0,3 M. AF_12/2020</t>
  </si>
  <si>
    <t>CURVA 90 GRAUS, PVC, SOLDÁVEL, DN  25 MM, INSTALADO EM RESERVAÇÃO DE ÁGUA DE EDIFICAÇÃO QUE POSSUA RESERVATÓRIO DE FIBRA/FIBROCIMENTO FORNECIMENTO E INSTALAÇÃO. AF_06/2016</t>
  </si>
  <si>
    <t>Fachada</t>
  </si>
  <si>
    <t>CHUMBADOR, DIAMETRO 1/4" COM PARAFUSO 1/4" X 40 MM</t>
  </si>
  <si>
    <t>170393</t>
  </si>
  <si>
    <t>Disjuntor 3P - 63 a 100A - PADRÃO DIN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</si>
</sst>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7" formatCode="&quot;R$&quot;\ #,##0.00;\-&quot;R$&quot;\ #,##0.00"/>
    <numFmt numFmtId="8" formatCode="&quot;R$&quot;\ #,##0.00;[Red]\-&quot;R$&quot;\ #,##0.00"/>
    <numFmt numFmtId="44" formatCode="_-&quot;R$&quot;\ * #,##0.00_-;\-&quot;R$&quot;\ * #,##0.00_-;_-&quot;R$&quot;\ * &quot;-&quot;??_-;_-@_-"/>
    <numFmt numFmtId="43" formatCode="_-* #,##0.00_-;\-* #,##0.00_-;_-* &quot;-&quot;??_-;_-@_-"/>
    <numFmt numFmtId="164" formatCode="_(* #,##0.00_);_(* \(#,##0.00\);_(* &quot;-&quot;??_);_(@_)"/>
    <numFmt numFmtId="165" formatCode="[$-416]mmmm\-yy;@"/>
    <numFmt numFmtId="166" formatCode="&quot;R$ &quot;#,##0.00;[Red]&quot;-R$ &quot;#,##0.00"/>
    <numFmt numFmtId="167" formatCode="_(&quot;R$ &quot;* #,##0.00_);_(&quot;R$ &quot;* \(#,##0.00\);_(&quot;R$ &quot;* &quot;-&quot;??_);_(@_)"/>
    <numFmt numFmtId="168" formatCode="&quot;R$&quot;\ #,##0.00"/>
    <numFmt numFmtId="169" formatCode="_-[$R$-416]\ * #,##0.00_-;\-[$R$-416]\ * #,##0.00_-;_-[$R$-416]\ * &quot;-&quot;??_-;_-@_-"/>
    <numFmt numFmtId="170" formatCode="#,##0.00;[Red]#,##0.00"/>
    <numFmt numFmtId="171" formatCode="0.000"/>
    <numFmt numFmtId="172" formatCode="0.0000"/>
    <numFmt numFmtId="173" formatCode="&quot;R$&quot;#,##0.00_);[Red]\(&quot;R$&quot;#,##0.00\)"/>
    <numFmt numFmtId="174" formatCode="#,##0.00_ ;[Red]\-#,##0.00\ "/>
    <numFmt numFmtId="175" formatCode="_(&quot;R$&quot;* #,##0.00_);_(&quot;R$&quot;* \(#,##0.00\);_(&quot;R$&quot;* &quot;-&quot;??_);_(@_)"/>
    <numFmt numFmtId="176" formatCode="#,##0.000;[Red]\-#,##0.0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1"/>
      <name val="Arial"/>
      <family val="2"/>
    </font>
    <font>
      <sz val="10"/>
      <name val="Arial"/>
      <family val="2"/>
    </font>
    <font>
      <b/>
      <sz val="8"/>
      <name val="Arial"/>
      <family val="2"/>
    </font>
    <font>
      <sz val="10"/>
      <name val="Times New Roman"/>
      <family val="1"/>
    </font>
    <font>
      <sz val="11"/>
      <color rgb="FF000000"/>
      <name val="Calibri"/>
      <family val="2"/>
      <charset val="204"/>
    </font>
    <font>
      <b/>
      <sz val="10"/>
      <color indexed="8"/>
      <name val="Arial"/>
      <family val="2"/>
    </font>
    <font>
      <b/>
      <sz val="10"/>
      <name val="Calibri"/>
      <family val="2"/>
      <scheme val="minor"/>
    </font>
    <font>
      <sz val="10"/>
      <name val="Arial Narrow"/>
      <family val="2"/>
    </font>
    <font>
      <sz val="10"/>
      <color rgb="FF000000"/>
      <name val="Arial Narrow"/>
      <family val="2"/>
    </font>
    <font>
      <b/>
      <sz val="9"/>
      <name val="Arial"/>
      <family val="2"/>
    </font>
    <font>
      <b/>
      <sz val="10"/>
      <color indexed="9"/>
      <name val="Arial"/>
      <family val="2"/>
    </font>
    <font>
      <b/>
      <sz val="11"/>
      <color theme="1"/>
      <name val="Calibri"/>
      <family val="2"/>
      <scheme val="minor"/>
    </font>
    <font>
      <sz val="11"/>
      <name val="Arial"/>
      <family val="2"/>
    </font>
    <font>
      <sz val="10"/>
      <color rgb="FF000000"/>
      <name val="Arial"/>
      <family val="2"/>
    </font>
    <font>
      <b/>
      <sz val="10"/>
      <color rgb="FF000000"/>
      <name val="Arial"/>
      <family val="2"/>
    </font>
    <font>
      <sz val="8"/>
      <name val="Arial"/>
      <family val="2"/>
    </font>
    <font>
      <sz val="10"/>
      <name val="Arial"/>
      <family val="2"/>
    </font>
    <font>
      <sz val="10"/>
      <color theme="1"/>
      <name val="Arial"/>
      <family val="2"/>
    </font>
    <font>
      <sz val="9"/>
      <color indexed="81"/>
      <name val="Segoe UI"/>
      <family val="2"/>
    </font>
    <font>
      <b/>
      <sz val="9"/>
      <color indexed="81"/>
      <name val="Segoe UI"/>
      <family val="2"/>
    </font>
    <font>
      <sz val="10"/>
      <color rgb="FFFF0000"/>
      <name val="Arial"/>
      <family val="2"/>
    </font>
    <font>
      <sz val="10"/>
      <color rgb="FF00B050"/>
      <name val="Arial"/>
      <family val="2"/>
    </font>
    <font>
      <b/>
      <sz val="10"/>
      <color rgb="FF7030A0"/>
      <name val="Arial"/>
      <family val="2"/>
    </font>
    <font>
      <sz val="10"/>
      <color rgb="FF7030A0"/>
      <name val="Arial"/>
      <family val="2"/>
    </font>
    <font>
      <sz val="10"/>
      <color theme="1"/>
      <name val="Calibri"/>
      <family val="2"/>
      <scheme val="minor"/>
    </font>
    <font>
      <b/>
      <sz val="10"/>
      <color rgb="FF00B050"/>
      <name val="Arial"/>
      <family val="2"/>
    </font>
    <font>
      <u/>
      <sz val="10"/>
      <color theme="10"/>
      <name val="Arial"/>
      <family val="2"/>
    </font>
    <font>
      <b/>
      <sz val="12"/>
      <name val="Arial"/>
      <family val="2"/>
    </font>
    <font>
      <sz val="12"/>
      <name val="Arial"/>
      <family val="2"/>
    </font>
    <font>
      <sz val="9"/>
      <name val="Arial"/>
      <family val="2"/>
    </font>
    <font>
      <sz val="10"/>
      <name val="Calibri"/>
      <family val="2"/>
    </font>
    <font>
      <sz val="11"/>
      <name val="Calibri"/>
      <family val="2"/>
    </font>
    <font>
      <sz val="11"/>
      <name val="Symbol"/>
      <family val="1"/>
      <charset val="2"/>
    </font>
    <font>
      <sz val="7"/>
      <name val="Times New Roman"/>
      <family val="1"/>
    </font>
    <font>
      <sz val="11"/>
      <name val="Courier New"/>
      <family val="3"/>
    </font>
    <font>
      <sz val="10"/>
      <color rgb="FFFFC000"/>
      <name val="Arial"/>
      <family val="2"/>
    </font>
    <font>
      <b/>
      <sz val="10"/>
      <color rgb="FFFFC000"/>
      <name val="Arial"/>
      <family val="2"/>
    </font>
    <font>
      <b/>
      <sz val="9"/>
      <color rgb="FFFFC000"/>
      <name val="Arial"/>
      <family val="2"/>
    </font>
  </fonts>
  <fills count="27">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31"/>
        <bgColor indexed="22"/>
      </patternFill>
    </fill>
    <fill>
      <patternFill patternType="solid">
        <fgColor indexed="44"/>
        <bgColor indexed="31"/>
      </patternFill>
    </fill>
    <fill>
      <patternFill patternType="solid">
        <fgColor indexed="9"/>
        <bgColor indexed="26"/>
      </patternFill>
    </fill>
    <fill>
      <patternFill patternType="solid">
        <fgColor theme="0"/>
        <bgColor indexed="26"/>
      </patternFill>
    </fill>
    <fill>
      <patternFill patternType="solid">
        <fgColor theme="0"/>
        <bgColor indexed="22"/>
      </patternFill>
    </fill>
    <fill>
      <patternFill patternType="solid">
        <fgColor theme="0" tint="-0.14999847407452621"/>
        <bgColor indexed="26"/>
      </patternFill>
    </fill>
    <fill>
      <patternFill patternType="solid">
        <fgColor theme="4" tint="0.59999389629810485"/>
        <bgColor indexed="26"/>
      </patternFill>
    </fill>
    <fill>
      <patternFill patternType="solid">
        <fgColor theme="0"/>
        <bgColor indexed="31"/>
      </patternFill>
    </fill>
    <fill>
      <patternFill patternType="solid">
        <fgColor indexed="23"/>
        <bgColor indexed="55"/>
      </patternFill>
    </fill>
    <fill>
      <patternFill patternType="solid">
        <fgColor theme="3" tint="0.79998168889431442"/>
        <bgColor indexed="31"/>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26"/>
      </patternFill>
    </fill>
    <fill>
      <patternFill patternType="solid">
        <fgColor theme="0" tint="-0.14999847407452621"/>
        <bgColor indexed="31"/>
      </patternFill>
    </fill>
    <fill>
      <patternFill patternType="solid">
        <fgColor theme="4" tint="0.39997558519241921"/>
        <bgColor indexed="64"/>
      </patternFill>
    </fill>
    <fill>
      <patternFill patternType="solid">
        <fgColor theme="0" tint="-0.249977111117893"/>
        <bgColor indexed="55"/>
      </patternFill>
    </fill>
    <fill>
      <patternFill patternType="solid">
        <fgColor theme="4" tint="0.59999389629810485"/>
        <bgColor indexed="64"/>
      </patternFill>
    </fill>
    <fill>
      <patternFill patternType="solid">
        <fgColor theme="4" tint="0.79998168889431442"/>
        <bgColor indexed="26"/>
      </patternFill>
    </fill>
    <fill>
      <patternFill patternType="solid">
        <fgColor theme="0" tint="-4.9989318521683403E-2"/>
        <bgColor indexed="64"/>
      </patternFill>
    </fill>
    <fill>
      <patternFill patternType="solid">
        <fgColor rgb="FFFFC000"/>
        <bgColor indexed="64"/>
      </patternFill>
    </fill>
    <fill>
      <patternFill patternType="solid">
        <fgColor theme="4" tint="0.79998168889431442"/>
        <bgColor indexed="64"/>
      </patternFill>
    </fill>
  </fills>
  <borders count="1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medium">
        <color indexed="8"/>
      </right>
      <top style="thin">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right/>
      <top style="thin">
        <color indexed="8"/>
      </top>
      <bottom style="hair">
        <color indexed="8"/>
      </bottom>
      <diagonal/>
    </border>
    <border>
      <left/>
      <right style="medium">
        <color indexed="8"/>
      </right>
      <top style="medium">
        <color indexed="8"/>
      </top>
      <bottom style="medium">
        <color indexed="8"/>
      </bottom>
      <diagonal/>
    </border>
    <border>
      <left/>
      <right/>
      <top style="thin">
        <color indexed="8"/>
      </top>
      <bottom style="thin">
        <color indexed="8"/>
      </bottom>
      <diagonal/>
    </border>
    <border>
      <left style="thin">
        <color indexed="8"/>
      </left>
      <right style="thin">
        <color indexed="8"/>
      </right>
      <top/>
      <bottom style="medium">
        <color indexed="8"/>
      </bottom>
      <diagonal/>
    </border>
    <border>
      <left style="medium">
        <color indexed="8"/>
      </left>
      <right/>
      <top/>
      <bottom style="thin">
        <color indexed="8"/>
      </bottom>
      <diagonal/>
    </border>
    <border>
      <left style="thin">
        <color indexed="8"/>
      </left>
      <right style="thin">
        <color indexed="8"/>
      </right>
      <top style="hair">
        <color indexed="8"/>
      </top>
      <bottom/>
      <diagonal/>
    </border>
    <border>
      <left/>
      <right/>
      <top style="hair">
        <color indexed="8"/>
      </top>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right style="medium">
        <color indexed="8"/>
      </right>
      <top/>
      <bottom style="medium">
        <color indexed="8"/>
      </bottom>
      <diagonal/>
    </border>
    <border>
      <left/>
      <right/>
      <top style="medium">
        <color indexed="8"/>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top style="medium">
        <color indexed="8"/>
      </top>
      <bottom style="medium">
        <color indexed="8"/>
      </bottom>
      <diagonal/>
    </border>
    <border>
      <left style="medium">
        <color indexed="64"/>
      </left>
      <right/>
      <top/>
      <bottom style="medium">
        <color indexed="8"/>
      </bottom>
      <diagonal/>
    </border>
    <border>
      <left/>
      <right style="medium">
        <color indexed="64"/>
      </right>
      <top/>
      <bottom style="medium">
        <color indexed="8"/>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8"/>
      </left>
      <right style="thin">
        <color indexed="8"/>
      </right>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right style="medium">
        <color indexed="8"/>
      </right>
      <top/>
      <bottom style="thin">
        <color indexed="8"/>
      </bottom>
      <diagonal/>
    </border>
    <border>
      <left style="thin">
        <color indexed="8"/>
      </left>
      <right style="thin">
        <color indexed="8"/>
      </right>
      <top/>
      <bottom style="hair">
        <color indexed="8"/>
      </bottom>
      <diagonal/>
    </border>
    <border>
      <left style="thin">
        <color indexed="64"/>
      </left>
      <right/>
      <top style="hair">
        <color indexed="8"/>
      </top>
      <bottom style="thin">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64"/>
      </left>
      <right style="thin">
        <color indexed="8"/>
      </right>
      <top/>
      <bottom style="hair">
        <color indexed="8"/>
      </bottom>
      <diagonal/>
    </border>
    <border>
      <left style="thin">
        <color indexed="8"/>
      </left>
      <right style="thin">
        <color indexed="64"/>
      </right>
      <top/>
      <bottom style="hair">
        <color indexed="8"/>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8"/>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5">
    <xf numFmtId="0" fontId="0" fillId="0" borderId="0"/>
    <xf numFmtId="164" fontId="4" fillId="0" borderId="0" applyFont="0" applyFill="0" applyBorder="0" applyAlignment="0" applyProtection="0"/>
    <xf numFmtId="9" fontId="8" fillId="0" borderId="0" applyFont="0" applyFill="0" applyBorder="0" applyAlignment="0" applyProtection="0"/>
    <xf numFmtId="0" fontId="4" fillId="0" borderId="0"/>
    <xf numFmtId="167" fontId="4" fillId="0" borderId="0" applyFont="0" applyFill="0" applyBorder="0" applyAlignment="0" applyProtection="0"/>
    <xf numFmtId="0" fontId="4" fillId="0" borderId="0"/>
    <xf numFmtId="0" fontId="10" fillId="0" borderId="0"/>
    <xf numFmtId="0" fontId="11" fillId="0" borderId="0"/>
    <xf numFmtId="9" fontId="4"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3" fillId="0" borderId="0"/>
    <xf numFmtId="164"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44" fontId="23" fillId="0" borderId="0" applyFont="0" applyFill="0" applyBorder="0" applyAlignment="0" applyProtection="0"/>
    <xf numFmtId="0" fontId="4" fillId="0" borderId="0"/>
    <xf numFmtId="0" fontId="33" fillId="0" borderId="0" applyNumberFormat="0" applyFill="0" applyBorder="0" applyAlignment="0" applyProtection="0"/>
  </cellStyleXfs>
  <cellXfs count="1916">
    <xf numFmtId="0" fontId="0" fillId="0" borderId="0" xfId="0"/>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3" borderId="4" xfId="0" applyFont="1" applyFill="1" applyBorder="1" applyAlignment="1">
      <alignment horizontal="left" vertical="center" wrapText="1"/>
    </xf>
    <xf numFmtId="0" fontId="0" fillId="7" borderId="0" xfId="0" applyFill="1"/>
    <xf numFmtId="40" fontId="5" fillId="7" borderId="0" xfId="0" applyNumberFormat="1" applyFont="1" applyFill="1" applyAlignment="1">
      <alignment horizontal="left" vertical="center"/>
    </xf>
    <xf numFmtId="40" fontId="5" fillId="7" borderId="0" xfId="0" applyNumberFormat="1" applyFont="1" applyFill="1" applyAlignment="1">
      <alignment vertical="center"/>
    </xf>
    <xf numFmtId="40" fontId="5" fillId="7" borderId="0" xfId="0" applyNumberFormat="1" applyFont="1" applyFill="1" applyAlignment="1">
      <alignment horizontal="left"/>
    </xf>
    <xf numFmtId="40" fontId="5" fillId="7" borderId="0" xfId="0" applyNumberFormat="1" applyFont="1" applyFill="1" applyAlignment="1">
      <alignment horizontal="center"/>
    </xf>
    <xf numFmtId="40" fontId="0" fillId="7" borderId="0" xfId="0" applyNumberFormat="1" applyFill="1" applyAlignment="1">
      <alignment horizontal="center"/>
    </xf>
    <xf numFmtId="40" fontId="0" fillId="7" borderId="0" xfId="0" applyNumberFormat="1" applyFont="1" applyFill="1" applyAlignment="1">
      <alignment horizontal="center"/>
    </xf>
    <xf numFmtId="40" fontId="0" fillId="7" borderId="0" xfId="0" applyNumberFormat="1" applyFill="1" applyBorder="1" applyAlignment="1">
      <alignment horizontal="center"/>
    </xf>
    <xf numFmtId="40" fontId="9" fillId="7" borderId="0" xfId="0" applyNumberFormat="1" applyFont="1" applyFill="1" applyAlignment="1">
      <alignment horizontal="left"/>
    </xf>
    <xf numFmtId="40" fontId="0" fillId="12" borderId="0" xfId="0" applyNumberFormat="1" applyFont="1" applyFill="1" applyBorder="1" applyAlignment="1">
      <alignment horizontal="center"/>
    </xf>
    <xf numFmtId="40" fontId="0" fillId="12" borderId="0" xfId="0" applyNumberFormat="1" applyFill="1" applyBorder="1" applyAlignment="1">
      <alignment horizontal="center"/>
    </xf>
    <xf numFmtId="40" fontId="0" fillId="8" borderId="0" xfId="0" applyNumberFormat="1" applyFill="1" applyBorder="1" applyAlignment="1">
      <alignment horizontal="center"/>
    </xf>
    <xf numFmtId="40" fontId="0" fillId="7" borderId="0" xfId="0" applyNumberFormat="1" applyFill="1" applyAlignment="1">
      <alignment horizontal="center"/>
    </xf>
    <xf numFmtId="0" fontId="5" fillId="0" borderId="0" xfId="0" applyFont="1" applyFill="1" applyAlignment="1">
      <alignment vertical="center"/>
    </xf>
    <xf numFmtId="0" fontId="5" fillId="7" borderId="0" xfId="0" applyFont="1" applyFill="1"/>
    <xf numFmtId="0" fontId="0" fillId="7" borderId="0" xfId="0" applyFill="1" applyAlignment="1">
      <alignment horizontal="left"/>
    </xf>
    <xf numFmtId="40" fontId="0" fillId="8" borderId="0" xfId="0" applyNumberFormat="1" applyFill="1" applyAlignment="1">
      <alignment horizontal="center"/>
    </xf>
    <xf numFmtId="0" fontId="4" fillId="0" borderId="0" xfId="0" applyFont="1"/>
    <xf numFmtId="40" fontId="4" fillId="12" borderId="0" xfId="0" applyNumberFormat="1" applyFont="1" applyFill="1" applyBorder="1" applyAlignment="1">
      <alignment horizontal="center"/>
    </xf>
    <xf numFmtId="40" fontId="5" fillId="8" borderId="0" xfId="0" applyNumberFormat="1" applyFont="1" applyFill="1" applyAlignment="1">
      <alignment horizontal="left"/>
    </xf>
    <xf numFmtId="40" fontId="0" fillId="7" borderId="0" xfId="0" applyNumberFormat="1" applyFill="1" applyAlignment="1">
      <alignment horizontal="center"/>
    </xf>
    <xf numFmtId="40" fontId="5" fillId="7" borderId="0" xfId="0" applyNumberFormat="1" applyFont="1" applyFill="1" applyAlignment="1">
      <alignment horizontal="left"/>
    </xf>
    <xf numFmtId="2" fontId="0" fillId="7" borderId="0" xfId="0" applyNumberFormat="1" applyFill="1"/>
    <xf numFmtId="0" fontId="0" fillId="3" borderId="0" xfId="0" applyFill="1"/>
    <xf numFmtId="40" fontId="0" fillId="7" borderId="0" xfId="0" applyNumberFormat="1" applyFill="1" applyAlignment="1">
      <alignment horizontal="center"/>
    </xf>
    <xf numFmtId="40" fontId="0" fillId="7" borderId="0" xfId="0" applyNumberFormat="1" applyFill="1" applyAlignment="1">
      <alignment horizontal="center"/>
    </xf>
    <xf numFmtId="38" fontId="5" fillId="7" borderId="0" xfId="0" applyNumberFormat="1" applyFont="1" applyFill="1" applyAlignment="1">
      <alignment horizontal="center"/>
    </xf>
    <xf numFmtId="40" fontId="5" fillId="7" borderId="0" xfId="0" applyNumberFormat="1" applyFont="1" applyFill="1" applyAlignment="1">
      <alignment horizontal="left"/>
    </xf>
    <xf numFmtId="40" fontId="5" fillId="7" borderId="0" xfId="0" applyNumberFormat="1" applyFont="1" applyFill="1" applyBorder="1" applyAlignment="1">
      <alignment horizontal="center" vertical="top" wrapText="1"/>
    </xf>
    <xf numFmtId="0" fontId="0" fillId="0" borderId="0" xfId="0" applyAlignment="1">
      <alignment horizontal="center" vertical="center"/>
    </xf>
    <xf numFmtId="0" fontId="0" fillId="7" borderId="0" xfId="0" applyFill="1" applyBorder="1"/>
    <xf numFmtId="40" fontId="0" fillId="7" borderId="0" xfId="0" applyNumberFormat="1" applyFill="1" applyAlignment="1">
      <alignment horizontal="center"/>
    </xf>
    <xf numFmtId="40" fontId="5" fillId="7" borderId="0" xfId="0" applyNumberFormat="1" applyFont="1" applyFill="1" applyAlignment="1">
      <alignment horizontal="center"/>
    </xf>
    <xf numFmtId="40" fontId="5" fillId="7" borderId="0" xfId="0" applyNumberFormat="1" applyFont="1" applyFill="1" applyAlignment="1">
      <alignment horizontal="left"/>
    </xf>
    <xf numFmtId="0" fontId="4" fillId="3" borderId="4" xfId="0" applyFont="1" applyFill="1" applyBorder="1" applyAlignment="1">
      <alignment horizontal="center" vertical="center" wrapText="1"/>
    </xf>
    <xf numFmtId="164" fontId="4" fillId="3" borderId="4" xfId="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64" fontId="5" fillId="4" borderId="3" xfId="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164" fontId="5" fillId="4" borderId="16"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4" xfId="0" applyFont="1" applyBorder="1" applyAlignment="1">
      <alignment horizontal="center" vertical="center" wrapText="1"/>
    </xf>
    <xf numFmtId="40" fontId="5" fillId="7" borderId="0" xfId="0" applyNumberFormat="1" applyFont="1" applyFill="1" applyAlignment="1"/>
    <xf numFmtId="40" fontId="5" fillId="7" borderId="0" xfId="0" applyNumberFormat="1" applyFont="1" applyFill="1" applyAlignment="1">
      <alignment horizontal="left"/>
    </xf>
    <xf numFmtId="0" fontId="0" fillId="0" borderId="0" xfId="0" applyBorder="1"/>
    <xf numFmtId="0" fontId="5" fillId="0" borderId="0" xfId="0" applyFont="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7" xfId="0" applyBorder="1"/>
    <xf numFmtId="0" fontId="0" fillId="0" borderId="28" xfId="0" applyBorder="1"/>
    <xf numFmtId="0" fontId="0" fillId="0" borderId="70" xfId="0" applyBorder="1"/>
    <xf numFmtId="0" fontId="0" fillId="0" borderId="71" xfId="0" applyFont="1" applyBorder="1"/>
    <xf numFmtId="0" fontId="4" fillId="0" borderId="22" xfId="0" applyFont="1" applyBorder="1"/>
    <xf numFmtId="0" fontId="0" fillId="0" borderId="25" xfId="0" applyFont="1" applyBorder="1"/>
    <xf numFmtId="0" fontId="6" fillId="0" borderId="0" xfId="0" applyFont="1" applyBorder="1"/>
    <xf numFmtId="168" fontId="5" fillId="0" borderId="4" xfId="0" applyNumberFormat="1" applyFont="1" applyFill="1" applyBorder="1" applyAlignment="1">
      <alignment horizontal="right" vertical="center" wrapText="1"/>
    </xf>
    <xf numFmtId="7" fontId="5" fillId="4" borderId="61" xfId="1" applyNumberFormat="1" applyFont="1" applyFill="1" applyBorder="1" applyAlignment="1">
      <alignment vertical="center" wrapText="1"/>
    </xf>
    <xf numFmtId="169" fontId="13" fillId="3" borderId="0" xfId="0" applyNumberFormat="1" applyFont="1" applyFill="1" applyBorder="1" applyAlignment="1" applyProtection="1">
      <alignment vertical="center" wrapText="1"/>
    </xf>
    <xf numFmtId="0" fontId="0" fillId="0" borderId="0" xfId="0" applyAlignment="1">
      <alignment horizontal="right"/>
    </xf>
    <xf numFmtId="10" fontId="0" fillId="0" borderId="0" xfId="0" applyNumberFormat="1"/>
    <xf numFmtId="168" fontId="4" fillId="0" borderId="4" xfId="1" applyNumberFormat="1" applyFont="1" applyFill="1" applyBorder="1" applyAlignment="1">
      <alignment horizontal="right" vertical="center" wrapText="1"/>
    </xf>
    <xf numFmtId="40" fontId="5" fillId="7" borderId="0" xfId="0" applyNumberFormat="1" applyFont="1" applyFill="1" applyBorder="1" applyAlignment="1">
      <alignment vertical="center"/>
    </xf>
    <xf numFmtId="40" fontId="0" fillId="7" borderId="0" xfId="0" applyNumberFormat="1" applyFill="1" applyAlignment="1">
      <alignment horizontal="center"/>
    </xf>
    <xf numFmtId="0" fontId="4" fillId="0" borderId="0" xfId="0" applyFont="1" applyAlignment="1">
      <alignment vertical="center" wrapText="1"/>
    </xf>
    <xf numFmtId="40" fontId="0" fillId="14" borderId="63" xfId="0" applyNumberFormat="1" applyFont="1" applyFill="1" applyBorder="1" applyAlignment="1">
      <alignment horizontal="center"/>
    </xf>
    <xf numFmtId="40" fontId="0" fillId="14" borderId="53" xfId="0" applyNumberFormat="1" applyFill="1" applyBorder="1" applyAlignment="1">
      <alignment horizontal="center"/>
    </xf>
    <xf numFmtId="40" fontId="0" fillId="14" borderId="64" xfId="0" applyNumberFormat="1" applyFont="1" applyFill="1" applyBorder="1" applyAlignment="1">
      <alignment horizontal="center"/>
    </xf>
    <xf numFmtId="40" fontId="5" fillId="7" borderId="0" xfId="0" applyNumberFormat="1" applyFont="1" applyFill="1" applyBorder="1" applyAlignment="1">
      <alignment horizontal="center" vertical="top" wrapText="1"/>
    </xf>
    <xf numFmtId="40" fontId="0" fillId="7" borderId="0" xfId="0" applyNumberFormat="1" applyFill="1" applyAlignment="1">
      <alignment horizontal="center"/>
    </xf>
    <xf numFmtId="40" fontId="5" fillId="7" borderId="0" xfId="0" applyNumberFormat="1" applyFont="1" applyFill="1" applyAlignment="1">
      <alignment horizontal="center"/>
    </xf>
    <xf numFmtId="40" fontId="5" fillId="7" borderId="0" xfId="0" applyNumberFormat="1" applyFont="1" applyFill="1" applyAlignment="1">
      <alignment horizontal="left"/>
    </xf>
    <xf numFmtId="38" fontId="5" fillId="7" borderId="0" xfId="0" applyNumberFormat="1" applyFont="1" applyFill="1" applyAlignment="1">
      <alignment horizontal="left"/>
    </xf>
    <xf numFmtId="0" fontId="4" fillId="0" borderId="4" xfId="0" applyFont="1" applyBorder="1"/>
    <xf numFmtId="10" fontId="4" fillId="0" borderId="4" xfId="0" applyNumberFormat="1" applyFont="1" applyBorder="1"/>
    <xf numFmtId="0" fontId="5" fillId="2" borderId="4" xfId="0" applyFont="1" applyFill="1" applyBorder="1" applyAlignment="1">
      <alignment horizontal="center"/>
    </xf>
    <xf numFmtId="10" fontId="5" fillId="2" borderId="4" xfId="0" applyNumberFormat="1" applyFont="1" applyFill="1" applyBorder="1"/>
    <xf numFmtId="0" fontId="5" fillId="2" borderId="20" xfId="0" applyFont="1" applyFill="1" applyBorder="1" applyAlignment="1">
      <alignment horizontal="center"/>
    </xf>
    <xf numFmtId="0" fontId="4" fillId="0" borderId="12" xfId="0" applyFont="1" applyBorder="1"/>
    <xf numFmtId="0" fontId="4" fillId="0" borderId="4" xfId="0" applyFont="1" applyBorder="1" applyAlignment="1">
      <alignment wrapText="1"/>
    </xf>
    <xf numFmtId="0" fontId="0" fillId="0" borderId="8" xfId="0" applyBorder="1"/>
    <xf numFmtId="0" fontId="4" fillId="0" borderId="77" xfId="0" applyFont="1" applyBorder="1" applyAlignment="1">
      <alignment horizontal="center" vertical="center" wrapText="1"/>
    </xf>
    <xf numFmtId="0" fontId="4" fillId="0" borderId="80" xfId="0" applyFont="1" applyBorder="1" applyAlignment="1">
      <alignment horizontal="center"/>
    </xf>
    <xf numFmtId="0" fontId="4" fillId="0" borderId="0" xfId="0" applyFont="1" applyBorder="1"/>
    <xf numFmtId="10" fontId="4" fillId="0" borderId="77" xfId="0" applyNumberFormat="1" applyFont="1" applyBorder="1"/>
    <xf numFmtId="0" fontId="5" fillId="2" borderId="80" xfId="0" applyFont="1" applyFill="1" applyBorder="1" applyAlignment="1">
      <alignment horizontal="center"/>
    </xf>
    <xf numFmtId="10" fontId="5" fillId="2" borderId="77" xfId="0" applyNumberFormat="1" applyFont="1" applyFill="1" applyBorder="1"/>
    <xf numFmtId="0" fontId="5" fillId="2" borderId="84" xfId="0" applyFont="1" applyFill="1" applyBorder="1" applyAlignment="1">
      <alignment horizontal="center"/>
    </xf>
    <xf numFmtId="0" fontId="4" fillId="0" borderId="86" xfId="0" applyFont="1" applyBorder="1" applyAlignment="1">
      <alignment horizontal="center"/>
    </xf>
    <xf numFmtId="40" fontId="0" fillId="7" borderId="0" xfId="0" applyNumberFormat="1" applyFill="1" applyAlignment="1">
      <alignment horizontal="center"/>
    </xf>
    <xf numFmtId="40" fontId="5" fillId="7" borderId="0" xfId="0" applyNumberFormat="1" applyFont="1" applyFill="1" applyAlignment="1">
      <alignment vertical="center" wrapText="1"/>
    </xf>
    <xf numFmtId="40" fontId="0" fillId="7" borderId="0" xfId="0" applyNumberFormat="1" applyFill="1" applyAlignment="1">
      <alignment horizontal="center"/>
    </xf>
    <xf numFmtId="40" fontId="5" fillId="7" borderId="0" xfId="0" applyNumberFormat="1" applyFont="1" applyFill="1" applyAlignment="1">
      <alignment horizontal="left"/>
    </xf>
    <xf numFmtId="0" fontId="12" fillId="0" borderId="0" xfId="0" applyFont="1" applyBorder="1" applyAlignment="1">
      <alignment horizontal="center"/>
    </xf>
    <xf numFmtId="40" fontId="4" fillId="7" borderId="0" xfId="0" applyNumberFormat="1" applyFont="1" applyFill="1" applyAlignment="1">
      <alignment horizontal="left"/>
    </xf>
    <xf numFmtId="0" fontId="0" fillId="0" borderId="7" xfId="0" applyBorder="1"/>
    <xf numFmtId="0" fontId="5" fillId="0" borderId="7" xfId="0" applyFont="1" applyBorder="1" applyAlignment="1">
      <alignment horizontal="center"/>
    </xf>
    <xf numFmtId="2" fontId="0" fillId="0" borderId="8" xfId="0" applyNumberFormat="1" applyBorder="1"/>
    <xf numFmtId="0" fontId="0" fillId="0" borderId="90" xfId="0" applyBorder="1" applyAlignment="1">
      <alignment horizontal="center"/>
    </xf>
    <xf numFmtId="10" fontId="0" fillId="0" borderId="91" xfId="8" applyNumberFormat="1" applyFont="1" applyFill="1" applyBorder="1" applyAlignment="1" applyProtection="1">
      <alignment horizontal="center"/>
    </xf>
    <xf numFmtId="0" fontId="0" fillId="0" borderId="92" xfId="0" applyBorder="1" applyAlignment="1">
      <alignment horizontal="center"/>
    </xf>
    <xf numFmtId="10" fontId="0" fillId="0" borderId="93" xfId="8" applyNumberFormat="1" applyFont="1" applyFill="1" applyBorder="1" applyAlignment="1" applyProtection="1">
      <alignment horizontal="center"/>
    </xf>
    <xf numFmtId="0" fontId="0" fillId="0" borderId="92" xfId="0" applyFont="1" applyBorder="1" applyAlignment="1">
      <alignment horizontal="center"/>
    </xf>
    <xf numFmtId="10" fontId="0" fillId="0" borderId="93" xfId="0" applyNumberFormat="1" applyBorder="1" applyAlignment="1">
      <alignment horizontal="center"/>
    </xf>
    <xf numFmtId="0" fontId="0" fillId="0" borderId="94" xfId="0" applyBorder="1" applyAlignment="1">
      <alignment horizontal="center"/>
    </xf>
    <xf numFmtId="0" fontId="0" fillId="0" borderId="7" xfId="0" applyBorder="1" applyAlignment="1">
      <alignment horizontal="center"/>
    </xf>
    <xf numFmtId="10" fontId="0" fillId="0" borderId="8" xfId="0" applyNumberFormat="1" applyBorder="1"/>
    <xf numFmtId="10" fontId="4" fillId="0" borderId="91" xfId="8" applyNumberFormat="1" applyFont="1" applyFill="1" applyBorder="1" applyAlignment="1" applyProtection="1">
      <alignment horizontal="center"/>
    </xf>
    <xf numFmtId="10" fontId="0" fillId="0" borderId="95" xfId="8" applyNumberFormat="1" applyFont="1" applyFill="1" applyBorder="1" applyAlignment="1" applyProtection="1">
      <alignment horizontal="center"/>
    </xf>
    <xf numFmtId="0" fontId="0" fillId="0" borderId="7" xfId="0" applyFont="1" applyBorder="1"/>
    <xf numFmtId="10" fontId="5" fillId="0" borderId="8" xfId="0" applyNumberFormat="1" applyFont="1" applyBorder="1" applyAlignment="1">
      <alignment horizontal="center"/>
    </xf>
    <xf numFmtId="0" fontId="9" fillId="0" borderId="7" xfId="0" applyFont="1" applyBorder="1"/>
    <xf numFmtId="0" fontId="6" fillId="0" borderId="8" xfId="0" applyFont="1" applyBorder="1"/>
    <xf numFmtId="0" fontId="0" fillId="0" borderId="98" xfId="0" applyBorder="1"/>
    <xf numFmtId="0" fontId="0" fillId="0" borderId="99" xfId="0" applyBorder="1"/>
    <xf numFmtId="0" fontId="0" fillId="0" borderId="0" xfId="0" applyBorder="1" applyAlignment="1">
      <alignment horizontal="center"/>
    </xf>
    <xf numFmtId="10" fontId="4" fillId="3" borderId="0" xfId="0" applyNumberFormat="1" applyFont="1" applyFill="1" applyBorder="1" applyAlignment="1">
      <alignment horizontal="center" vertical="center"/>
    </xf>
    <xf numFmtId="2" fontId="14" fillId="0" borderId="0" xfId="13" applyNumberFormat="1" applyFont="1" applyBorder="1" applyAlignment="1">
      <alignment vertical="center"/>
    </xf>
    <xf numFmtId="2" fontId="15" fillId="0" borderId="0" xfId="8" applyNumberFormat="1" applyFont="1" applyFill="1" applyBorder="1" applyAlignment="1" applyProtection="1">
      <alignment horizontal="center" vertical="center"/>
    </xf>
    <xf numFmtId="2" fontId="14" fillId="0" borderId="0" xfId="13" applyNumberFormat="1" applyFont="1" applyBorder="1" applyAlignment="1">
      <alignment horizontal="center" vertical="center"/>
    </xf>
    <xf numFmtId="2" fontId="15" fillId="0" borderId="0" xfId="8" applyNumberFormat="1" applyFont="1" applyFill="1" applyBorder="1" applyAlignment="1" applyProtection="1">
      <alignment horizontal="right" vertical="center"/>
    </xf>
    <xf numFmtId="40" fontId="5" fillId="7" borderId="0" xfId="0" applyNumberFormat="1" applyFont="1" applyFill="1" applyBorder="1" applyAlignment="1">
      <alignment vertical="top" wrapText="1"/>
    </xf>
    <xf numFmtId="168" fontId="4" fillId="0" borderId="12" xfId="1" applyNumberFormat="1" applyFont="1" applyFill="1" applyBorder="1" applyAlignment="1">
      <alignment horizontal="right" vertical="center" wrapText="1"/>
    </xf>
    <xf numFmtId="40" fontId="0" fillId="7" borderId="0" xfId="0" applyNumberFormat="1" applyFill="1" applyAlignment="1">
      <alignment horizontal="center"/>
    </xf>
    <xf numFmtId="40" fontId="5" fillId="7" borderId="0" xfId="0" applyNumberFormat="1" applyFont="1" applyFill="1" applyAlignment="1">
      <alignment horizontal="left"/>
    </xf>
    <xf numFmtId="168" fontId="4" fillId="0" borderId="14" xfId="1" applyNumberFormat="1" applyFont="1" applyFill="1" applyBorder="1" applyAlignment="1">
      <alignment horizontal="right" vertical="center" wrapText="1"/>
    </xf>
    <xf numFmtId="164" fontId="4" fillId="0" borderId="12" xfId="1" applyFont="1" applyFill="1" applyBorder="1" applyAlignment="1">
      <alignment horizontal="center" vertical="center" wrapText="1"/>
    </xf>
    <xf numFmtId="164" fontId="4" fillId="0" borderId="4" xfId="1" applyFont="1" applyFill="1" applyBorder="1" applyAlignment="1">
      <alignment horizontal="center" vertical="center" wrapText="1"/>
    </xf>
    <xf numFmtId="40" fontId="0" fillId="7" borderId="0" xfId="0" applyNumberFormat="1" applyFill="1" applyAlignment="1">
      <alignment horizontal="center"/>
    </xf>
    <xf numFmtId="0" fontId="4" fillId="7" borderId="0" xfId="0" applyFont="1" applyFill="1" applyAlignment="1">
      <alignment horizontal="center"/>
    </xf>
    <xf numFmtId="40" fontId="4" fillId="7" borderId="0" xfId="0" applyNumberFormat="1" applyFont="1" applyFill="1" applyAlignment="1">
      <alignment horizontal="center"/>
    </xf>
    <xf numFmtId="40" fontId="5" fillId="7" borderId="0" xfId="0" applyNumberFormat="1" applyFont="1" applyFill="1" applyAlignment="1">
      <alignment horizontal="left"/>
    </xf>
    <xf numFmtId="0" fontId="0" fillId="7" borderId="0" xfId="0" applyFill="1" applyAlignment="1">
      <alignment horizontal="center"/>
    </xf>
    <xf numFmtId="0" fontId="7" fillId="4" borderId="80" xfId="12" applyFont="1" applyFill="1" applyBorder="1" applyAlignment="1">
      <alignment horizontal="left" vertical="center" wrapText="1"/>
    </xf>
    <xf numFmtId="0" fontId="0" fillId="0" borderId="0" xfId="0" applyAlignment="1">
      <alignment vertical="center"/>
    </xf>
    <xf numFmtId="0" fontId="4" fillId="0" borderId="0" xfId="0" applyFont="1" applyAlignment="1">
      <alignment vertical="center"/>
    </xf>
    <xf numFmtId="4" fontId="7" fillId="4" borderId="4" xfId="12" applyNumberFormat="1" applyFont="1" applyFill="1" applyBorder="1" applyAlignment="1">
      <alignment horizontal="left" vertical="center" wrapText="1"/>
    </xf>
    <xf numFmtId="10" fontId="5" fillId="0" borderId="96" xfId="8" applyNumberFormat="1" applyFont="1" applyFill="1" applyBorder="1" applyAlignment="1" applyProtection="1">
      <alignment horizontal="center"/>
    </xf>
    <xf numFmtId="10" fontId="5" fillId="0" borderId="96" xfId="0" applyNumberFormat="1" applyFont="1" applyFill="1" applyBorder="1" applyAlignment="1">
      <alignment horizontal="center" vertical="center"/>
    </xf>
    <xf numFmtId="0" fontId="4" fillId="17" borderId="0" xfId="0" applyFont="1" applyFill="1" applyAlignment="1">
      <alignment vertical="center"/>
    </xf>
    <xf numFmtId="40" fontId="5" fillId="7" borderId="0" xfId="0" applyNumberFormat="1" applyFont="1" applyFill="1" applyAlignment="1">
      <alignment horizontal="left"/>
    </xf>
    <xf numFmtId="0" fontId="4" fillId="0" borderId="0" xfId="12"/>
    <xf numFmtId="0" fontId="5" fillId="0" borderId="0" xfId="12" applyFont="1"/>
    <xf numFmtId="0" fontId="5" fillId="0" borderId="0" xfId="12" applyFont="1" applyAlignment="1">
      <alignment horizontal="center" vertical="center"/>
    </xf>
    <xf numFmtId="0" fontId="4" fillId="0" borderId="0" xfId="12" applyBorder="1"/>
    <xf numFmtId="0" fontId="4" fillId="3" borderId="0" xfId="12" applyFill="1"/>
    <xf numFmtId="40" fontId="5" fillId="7" borderId="0" xfId="12" applyNumberFormat="1" applyFont="1" applyFill="1" applyAlignment="1">
      <alignment vertical="center"/>
    </xf>
    <xf numFmtId="40" fontId="5" fillId="7" borderId="0" xfId="12" applyNumberFormat="1" applyFont="1" applyFill="1" applyAlignment="1">
      <alignment horizontal="left" vertical="center"/>
    </xf>
    <xf numFmtId="40" fontId="5" fillId="7" borderId="0" xfId="0" applyNumberFormat="1" applyFont="1" applyFill="1" applyAlignment="1">
      <alignment horizontal="center"/>
    </xf>
    <xf numFmtId="0" fontId="5" fillId="4" borderId="3" xfId="0" applyFont="1" applyFill="1" applyBorder="1" applyAlignment="1">
      <alignment vertical="center" wrapText="1"/>
    </xf>
    <xf numFmtId="0" fontId="5" fillId="4" borderId="2" xfId="0" applyFont="1" applyFill="1" applyBorder="1" applyAlignment="1">
      <alignment vertical="center" wrapText="1"/>
    </xf>
    <xf numFmtId="40" fontId="5" fillId="7" borderId="0" xfId="0" applyNumberFormat="1" applyFont="1" applyFill="1" applyAlignment="1">
      <alignment horizontal="center"/>
    </xf>
    <xf numFmtId="40" fontId="4" fillId="7" borderId="0" xfId="0" applyNumberFormat="1" applyFont="1" applyFill="1" applyAlignment="1">
      <alignment horizontal="center"/>
    </xf>
    <xf numFmtId="40" fontId="5" fillId="2" borderId="13" xfId="3" applyNumberFormat="1" applyFont="1" applyFill="1" applyBorder="1" applyAlignment="1">
      <alignment horizontal="center"/>
    </xf>
    <xf numFmtId="40" fontId="5" fillId="2" borderId="14" xfId="3" applyNumberFormat="1" applyFont="1" applyFill="1" applyBorder="1" applyAlignment="1">
      <alignment horizontal="center"/>
    </xf>
    <xf numFmtId="40" fontId="5" fillId="2" borderId="15" xfId="3" applyNumberFormat="1" applyFont="1" applyFill="1" applyBorder="1" applyAlignment="1">
      <alignment horizontal="center"/>
    </xf>
    <xf numFmtId="0" fontId="4" fillId="0" borderId="0" xfId="12" applyFill="1"/>
    <xf numFmtId="40" fontId="4" fillId="7" borderId="0" xfId="0" applyNumberFormat="1" applyFont="1" applyFill="1" applyAlignment="1">
      <alignment horizontal="center" vertical="center"/>
    </xf>
    <xf numFmtId="40" fontId="0" fillId="7" borderId="0" xfId="0" applyNumberFormat="1" applyFill="1" applyAlignment="1">
      <alignment horizontal="center"/>
    </xf>
    <xf numFmtId="38" fontId="5" fillId="7" borderId="0" xfId="0" applyNumberFormat="1" applyFont="1" applyFill="1" applyBorder="1" applyAlignment="1">
      <alignment horizontal="center" vertical="center" wrapText="1"/>
    </xf>
    <xf numFmtId="40" fontId="0" fillId="7" borderId="0" xfId="0" applyNumberFormat="1" applyFill="1" applyAlignment="1">
      <alignment horizontal="center"/>
    </xf>
    <xf numFmtId="40" fontId="4" fillId="7" borderId="0" xfId="0" applyNumberFormat="1" applyFont="1" applyFill="1" applyAlignment="1">
      <alignment horizontal="center"/>
    </xf>
    <xf numFmtId="0" fontId="4" fillId="7" borderId="0" xfId="0" applyFont="1" applyFill="1" applyAlignment="1">
      <alignment horizontal="center"/>
    </xf>
    <xf numFmtId="0" fontId="5" fillId="0" borderId="14" xfId="12" applyFont="1" applyBorder="1" applyAlignment="1">
      <alignment vertical="center"/>
    </xf>
    <xf numFmtId="0" fontId="4" fillId="0" borderId="9" xfId="0" applyFont="1" applyBorder="1"/>
    <xf numFmtId="0" fontId="4" fillId="0" borderId="10" xfId="0" applyFont="1" applyBorder="1"/>
    <xf numFmtId="0" fontId="4" fillId="0" borderId="11" xfId="0" applyFont="1" applyBorder="1"/>
    <xf numFmtId="40" fontId="0" fillId="7" borderId="0" xfId="0" applyNumberFormat="1" applyFill="1" applyAlignment="1">
      <alignment horizontal="center"/>
    </xf>
    <xf numFmtId="40" fontId="5" fillId="7" borderId="0" xfId="0" applyNumberFormat="1" applyFont="1" applyFill="1" applyAlignment="1">
      <alignment horizontal="center"/>
    </xf>
    <xf numFmtId="40" fontId="4" fillId="7" borderId="0" xfId="0" applyNumberFormat="1" applyFont="1" applyFill="1" applyBorder="1" applyAlignment="1">
      <alignment horizontal="center"/>
    </xf>
    <xf numFmtId="40" fontId="4" fillId="7" borderId="0" xfId="0" applyNumberFormat="1" applyFont="1" applyFill="1" applyAlignment="1">
      <alignment horizontal="center"/>
    </xf>
    <xf numFmtId="40" fontId="4" fillId="12" borderId="0" xfId="0" applyNumberFormat="1" applyFont="1" applyFill="1" applyBorder="1" applyAlignment="1">
      <alignment horizontal="left" wrapText="1"/>
    </xf>
    <xf numFmtId="40" fontId="5" fillId="7" borderId="0" xfId="0" applyNumberFormat="1" applyFont="1" applyFill="1" applyBorder="1" applyAlignment="1">
      <alignment horizontal="left"/>
    </xf>
    <xf numFmtId="0" fontId="4" fillId="7" borderId="0" xfId="0" applyFont="1" applyFill="1" applyBorder="1" applyAlignment="1">
      <alignment horizontal="center"/>
    </xf>
    <xf numFmtId="0" fontId="4" fillId="3" borderId="12" xfId="0" applyFont="1" applyFill="1" applyBorder="1" applyAlignment="1">
      <alignment horizontal="right" vertical="center" wrapText="1"/>
    </xf>
    <xf numFmtId="168" fontId="4" fillId="3" borderId="12" xfId="0" applyNumberFormat="1" applyFont="1" applyFill="1" applyBorder="1" applyAlignment="1">
      <alignment horizontal="right" vertical="center" wrapText="1"/>
    </xf>
    <xf numFmtId="40" fontId="5" fillId="8" borderId="0" xfId="0" applyNumberFormat="1" applyFont="1" applyFill="1" applyBorder="1" applyAlignment="1">
      <alignment horizontal="left"/>
    </xf>
    <xf numFmtId="0" fontId="5" fillId="0" borderId="0" xfId="0" applyFont="1" applyFill="1" applyBorder="1" applyAlignment="1">
      <alignment vertical="center" wrapText="1"/>
    </xf>
    <xf numFmtId="40" fontId="5" fillId="7" borderId="0" xfId="0" applyNumberFormat="1" applyFont="1" applyFill="1" applyAlignment="1">
      <alignment horizontal="center"/>
    </xf>
    <xf numFmtId="40" fontId="0" fillId="8" borderId="0" xfId="0" applyNumberFormat="1" applyFont="1" applyFill="1" applyBorder="1" applyAlignment="1">
      <alignment horizontal="center"/>
    </xf>
    <xf numFmtId="40" fontId="4" fillId="8" borderId="0" xfId="0" applyNumberFormat="1" applyFont="1" applyFill="1" applyBorder="1" applyAlignment="1">
      <alignment horizontal="center"/>
    </xf>
    <xf numFmtId="0" fontId="4" fillId="3" borderId="0" xfId="0" applyFont="1" applyFill="1" applyBorder="1" applyAlignment="1">
      <alignment horizontal="center"/>
    </xf>
    <xf numFmtId="2" fontId="0" fillId="3" borderId="0" xfId="0" applyNumberFormat="1" applyFill="1" applyBorder="1" applyAlignment="1">
      <alignment horizontal="center"/>
    </xf>
    <xf numFmtId="40" fontId="5" fillId="8" borderId="0" xfId="0" applyNumberFormat="1" applyFont="1" applyFill="1" applyBorder="1" applyAlignment="1">
      <alignment horizontal="left" wrapText="1"/>
    </xf>
    <xf numFmtId="0" fontId="0" fillId="8" borderId="0" xfId="0" applyFill="1" applyBorder="1"/>
    <xf numFmtId="40" fontId="5" fillId="8" borderId="0" xfId="0" applyNumberFormat="1" applyFont="1" applyFill="1" applyBorder="1" applyAlignment="1">
      <alignment horizontal="center"/>
    </xf>
    <xf numFmtId="0" fontId="0" fillId="3" borderId="0" xfId="0" applyFill="1" applyBorder="1"/>
    <xf numFmtId="0" fontId="5" fillId="3" borderId="0" xfId="0" applyFont="1" applyFill="1" applyAlignment="1">
      <alignment vertical="center" wrapText="1"/>
    </xf>
    <xf numFmtId="40" fontId="5" fillId="8" borderId="0" xfId="0" applyNumberFormat="1" applyFont="1" applyFill="1" applyAlignment="1"/>
    <xf numFmtId="168" fontId="4" fillId="0" borderId="4" xfId="0" applyNumberFormat="1" applyFont="1" applyFill="1" applyBorder="1" applyAlignment="1">
      <alignment vertical="center" wrapText="1"/>
    </xf>
    <xf numFmtId="2" fontId="4" fillId="3" borderId="4" xfId="0" applyNumberFormat="1" applyFont="1" applyFill="1" applyBorder="1" applyAlignment="1">
      <alignment horizontal="right" vertical="center" wrapText="1"/>
    </xf>
    <xf numFmtId="40" fontId="4" fillId="7" borderId="0" xfId="0" applyNumberFormat="1" applyFont="1" applyFill="1" applyAlignment="1">
      <alignment horizontal="center"/>
    </xf>
    <xf numFmtId="40" fontId="5" fillId="8" borderId="0" xfId="0" applyNumberFormat="1" applyFont="1" applyFill="1" applyAlignment="1">
      <alignment horizontal="center"/>
    </xf>
    <xf numFmtId="40" fontId="0" fillId="7" borderId="0" xfId="0" applyNumberFormat="1" applyFill="1" applyAlignment="1">
      <alignment horizontal="center"/>
    </xf>
    <xf numFmtId="40" fontId="5" fillId="8" borderId="0" xfId="0" applyNumberFormat="1" applyFont="1" applyFill="1" applyBorder="1" applyAlignment="1"/>
    <xf numFmtId="40" fontId="5" fillId="8" borderId="0" xfId="0" applyNumberFormat="1" applyFont="1" applyFill="1" applyAlignment="1">
      <alignment wrapText="1"/>
    </xf>
    <xf numFmtId="40" fontId="5" fillId="8" borderId="0" xfId="0" applyNumberFormat="1" applyFont="1" applyFill="1" applyBorder="1" applyAlignment="1">
      <alignment horizontal="center" vertical="top" wrapText="1"/>
    </xf>
    <xf numFmtId="40" fontId="5" fillId="8" borderId="0" xfId="12" applyNumberFormat="1" applyFont="1" applyFill="1" applyBorder="1" applyAlignment="1">
      <alignment vertical="top" wrapText="1"/>
    </xf>
    <xf numFmtId="40" fontId="5" fillId="3" borderId="0" xfId="3" applyNumberFormat="1" applyFont="1" applyFill="1" applyBorder="1" applyAlignment="1">
      <alignment horizontal="center"/>
    </xf>
    <xf numFmtId="40" fontId="5" fillId="8" borderId="0" xfId="0" applyNumberFormat="1" applyFont="1" applyFill="1" applyBorder="1" applyAlignment="1">
      <alignment wrapText="1"/>
    </xf>
    <xf numFmtId="40" fontId="4" fillId="8" borderId="0" xfId="0" applyNumberFormat="1" applyFont="1" applyFill="1" applyAlignment="1"/>
    <xf numFmtId="0" fontId="5" fillId="0" borderId="0" xfId="12" applyFont="1" applyBorder="1" applyAlignment="1">
      <alignment vertical="center"/>
    </xf>
    <xf numFmtId="0" fontId="5" fillId="0" borderId="0" xfId="12" applyFont="1" applyBorder="1" applyAlignment="1">
      <alignment horizontal="center" vertical="center"/>
    </xf>
    <xf numFmtId="40" fontId="5" fillId="7" borderId="0" xfId="0" applyNumberFormat="1" applyFont="1" applyFill="1" applyAlignment="1">
      <alignment wrapText="1"/>
    </xf>
    <xf numFmtId="38" fontId="5" fillId="7" borderId="0" xfId="0" applyNumberFormat="1" applyFont="1" applyFill="1" applyBorder="1" applyAlignment="1">
      <alignment horizontal="center" vertical="top" wrapText="1"/>
    </xf>
    <xf numFmtId="40" fontId="0" fillId="3" borderId="0" xfId="0" applyNumberFormat="1" applyFont="1" applyFill="1" applyBorder="1" applyAlignment="1">
      <alignment horizontal="center"/>
    </xf>
    <xf numFmtId="40" fontId="0" fillId="3" borderId="0" xfId="0" applyNumberFormat="1" applyFill="1" applyBorder="1" applyAlignment="1">
      <alignment horizontal="center"/>
    </xf>
    <xf numFmtId="40" fontId="4" fillId="3" borderId="0" xfId="0" applyNumberFormat="1" applyFont="1" applyFill="1" applyBorder="1" applyAlignment="1">
      <alignment horizontal="center"/>
    </xf>
    <xf numFmtId="0" fontId="5" fillId="0" borderId="13" xfId="12" applyFont="1" applyBorder="1" applyAlignment="1">
      <alignment vertical="center"/>
    </xf>
    <xf numFmtId="0" fontId="5" fillId="0" borderId="15" xfId="12" applyFont="1" applyBorder="1" applyAlignment="1">
      <alignment vertical="center"/>
    </xf>
    <xf numFmtId="0" fontId="5" fillId="0" borderId="18" xfId="0" applyFont="1" applyBorder="1" applyAlignment="1">
      <alignment horizontal="center" vertical="center" wrapText="1"/>
    </xf>
    <xf numFmtId="0" fontId="7" fillId="3" borderId="13" xfId="12" applyNumberFormat="1" applyFont="1" applyFill="1" applyBorder="1" applyAlignment="1">
      <alignment horizontal="left" vertical="center"/>
    </xf>
    <xf numFmtId="0" fontId="7" fillId="3" borderId="13" xfId="12" applyNumberFormat="1"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xf>
    <xf numFmtId="44" fontId="7" fillId="3" borderId="0" xfId="12" applyNumberFormat="1" applyFont="1" applyFill="1" applyBorder="1" applyAlignment="1">
      <alignment vertical="center"/>
    </xf>
    <xf numFmtId="0" fontId="7" fillId="3" borderId="0" xfId="12" applyNumberFormat="1" applyFont="1" applyFill="1" applyBorder="1" applyAlignment="1">
      <alignment vertical="center" wrapText="1"/>
    </xf>
    <xf numFmtId="165" fontId="7" fillId="3" borderId="0" xfId="12" applyNumberFormat="1" applyFont="1" applyFill="1" applyBorder="1" applyAlignment="1">
      <alignment vertical="center" wrapText="1"/>
    </xf>
    <xf numFmtId="169" fontId="7" fillId="3" borderId="0" xfId="0" applyNumberFormat="1" applyFont="1" applyFill="1" applyBorder="1" applyAlignment="1" applyProtection="1">
      <alignment vertical="center" wrapText="1"/>
    </xf>
    <xf numFmtId="0" fontId="7" fillId="4" borderId="4" xfId="12" applyFont="1" applyFill="1" applyBorder="1" applyAlignment="1">
      <alignment horizontal="left" vertical="center" wrapText="1"/>
    </xf>
    <xf numFmtId="40" fontId="5" fillId="8" borderId="0" xfId="0" applyNumberFormat="1" applyFont="1" applyFill="1" applyAlignment="1">
      <alignment horizontal="center" vertical="center"/>
    </xf>
    <xf numFmtId="38" fontId="5" fillId="7" borderId="0" xfId="0" applyNumberFormat="1" applyFont="1" applyFill="1" applyAlignment="1">
      <alignment horizontal="center" vertical="center"/>
    </xf>
    <xf numFmtId="40" fontId="5" fillId="7" borderId="0" xfId="0" applyNumberFormat="1" applyFont="1" applyFill="1" applyAlignment="1">
      <alignment horizontal="center" vertical="center"/>
    </xf>
    <xf numFmtId="38" fontId="5" fillId="8" borderId="0" xfId="0" applyNumberFormat="1" applyFont="1" applyFill="1" applyAlignment="1">
      <alignment horizontal="center" vertical="center"/>
    </xf>
    <xf numFmtId="40" fontId="5" fillId="7" borderId="0" xfId="12" applyNumberFormat="1" applyFont="1" applyFill="1" applyAlignment="1">
      <alignment horizontal="center" vertical="center" wrapText="1"/>
    </xf>
    <xf numFmtId="10" fontId="5" fillId="0" borderId="14" xfId="2" applyNumberFormat="1" applyFont="1" applyBorder="1" applyAlignment="1">
      <alignment horizontal="left" vertical="center" wrapText="1"/>
    </xf>
    <xf numFmtId="0" fontId="7" fillId="4" borderId="76" xfId="12" applyFont="1" applyFill="1" applyBorder="1" applyAlignment="1">
      <alignment vertical="center" wrapText="1"/>
    </xf>
    <xf numFmtId="0" fontId="7" fillId="4" borderId="15" xfId="12" applyFont="1" applyFill="1" applyBorder="1" applyAlignment="1">
      <alignment vertical="center" wrapText="1"/>
    </xf>
    <xf numFmtId="40" fontId="4" fillId="7" borderId="4" xfId="0" applyNumberFormat="1" applyFont="1" applyFill="1" applyBorder="1" applyAlignment="1">
      <alignment horizontal="center"/>
    </xf>
    <xf numFmtId="0" fontId="5" fillId="0" borderId="0" xfId="0" applyFont="1"/>
    <xf numFmtId="40" fontId="4" fillId="18" borderId="15" xfId="0" applyNumberFormat="1" applyFont="1" applyFill="1" applyBorder="1" applyAlignment="1">
      <alignment horizontal="center" vertical="center"/>
    </xf>
    <xf numFmtId="40" fontId="5" fillId="7" borderId="0" xfId="0" applyNumberFormat="1" applyFont="1" applyFill="1" applyAlignment="1">
      <alignment horizontal="left"/>
    </xf>
    <xf numFmtId="40" fontId="5" fillId="7" borderId="0" xfId="0" applyNumberFormat="1" applyFont="1" applyFill="1" applyAlignment="1">
      <alignment horizontal="left"/>
    </xf>
    <xf numFmtId="40" fontId="5" fillId="8" borderId="0" xfId="0" applyNumberFormat="1" applyFont="1" applyFill="1" applyAlignment="1">
      <alignment horizontal="center"/>
    </xf>
    <xf numFmtId="40" fontId="5" fillId="7" borderId="4" xfId="0" applyNumberFormat="1" applyFont="1" applyFill="1" applyBorder="1" applyAlignment="1">
      <alignment horizontal="center" vertical="center" wrapText="1"/>
    </xf>
    <xf numFmtId="40" fontId="5" fillId="8" borderId="0" xfId="0" applyNumberFormat="1" applyFont="1" applyFill="1" applyAlignment="1">
      <alignment horizontal="left" wrapText="1"/>
    </xf>
    <xf numFmtId="0" fontId="5" fillId="0" borderId="0" xfId="12" applyFont="1" applyAlignment="1">
      <alignment horizontal="center"/>
    </xf>
    <xf numFmtId="0" fontId="18" fillId="0" borderId="0" xfId="0" applyFont="1" applyBorder="1" applyAlignment="1"/>
    <xf numFmtId="0" fontId="0" fillId="0" borderId="0" xfId="0" applyAlignment="1"/>
    <xf numFmtId="0" fontId="4" fillId="7" borderId="0" xfId="0" applyFont="1" applyFill="1" applyAlignment="1"/>
    <xf numFmtId="0" fontId="5" fillId="0" borderId="0" xfId="0" applyFont="1" applyAlignment="1">
      <alignment horizontal="center"/>
    </xf>
    <xf numFmtId="0" fontId="5" fillId="0" borderId="0" xfId="0" applyFont="1" applyAlignment="1">
      <alignment horizontal="center" vertical="center"/>
    </xf>
    <xf numFmtId="0" fontId="4" fillId="0" borderId="4" xfId="0" applyFont="1" applyBorder="1" applyAlignment="1">
      <alignment vertical="center" wrapText="1"/>
    </xf>
    <xf numFmtId="0" fontId="18" fillId="0" borderId="0" xfId="0" applyFont="1" applyBorder="1" applyAlignment="1">
      <alignment vertical="center"/>
    </xf>
    <xf numFmtId="40" fontId="4" fillId="14" borderId="63" xfId="0" applyNumberFormat="1" applyFont="1" applyFill="1" applyBorder="1" applyAlignment="1">
      <alignment horizontal="center"/>
    </xf>
    <xf numFmtId="40" fontId="5" fillId="8" borderId="0" xfId="0" applyNumberFormat="1" applyFont="1" applyFill="1" applyBorder="1" applyAlignment="1">
      <alignment horizontal="left" wrapText="1"/>
    </xf>
    <xf numFmtId="40" fontId="0" fillId="8" borderId="0" xfId="0" applyNumberFormat="1" applyFill="1" applyBorder="1" applyAlignment="1">
      <alignment horizontal="center"/>
    </xf>
    <xf numFmtId="40" fontId="5" fillId="7" borderId="0" xfId="0" applyNumberFormat="1" applyFont="1" applyFill="1" applyAlignment="1">
      <alignment horizontal="left"/>
    </xf>
    <xf numFmtId="40" fontId="5" fillId="7" borderId="0" xfId="0" applyNumberFormat="1" applyFont="1" applyFill="1" applyAlignment="1">
      <alignment horizontal="center" vertical="center" wrapText="1"/>
    </xf>
    <xf numFmtId="40" fontId="5" fillId="8" borderId="0" xfId="12" applyNumberFormat="1" applyFont="1" applyFill="1" applyBorder="1" applyAlignment="1">
      <alignment horizontal="center" vertical="center" wrapText="1"/>
    </xf>
    <xf numFmtId="2" fontId="18" fillId="3" borderId="0" xfId="0" applyNumberFormat="1" applyFont="1" applyFill="1" applyBorder="1" applyAlignment="1">
      <alignment horizontal="center" vertical="center"/>
    </xf>
    <xf numFmtId="0" fontId="18" fillId="3" borderId="0" xfId="0" applyFont="1" applyFill="1" applyBorder="1" applyAlignment="1">
      <alignment horizontal="right" vertical="center"/>
    </xf>
    <xf numFmtId="171" fontId="19" fillId="3" borderId="4" xfId="16" applyNumberFormat="1" applyFont="1" applyFill="1" applyBorder="1" applyAlignment="1" applyProtection="1">
      <alignment horizontal="center" vertical="center" wrapText="1"/>
    </xf>
    <xf numFmtId="44" fontId="19" fillId="0" borderId="4" xfId="16" applyNumberFormat="1" applyFont="1" applyFill="1" applyBorder="1" applyAlignment="1">
      <alignment horizontal="center" vertical="center" wrapText="1"/>
    </xf>
    <xf numFmtId="44" fontId="19" fillId="0" borderId="4" xfId="0" applyNumberFormat="1" applyFont="1" applyFill="1" applyBorder="1" applyAlignment="1" applyProtection="1">
      <alignment horizontal="center" vertical="center" wrapText="1"/>
    </xf>
    <xf numFmtId="2" fontId="19" fillId="3" borderId="4" xfId="16" applyNumberFormat="1" applyFont="1" applyFill="1" applyBorder="1" applyAlignment="1" applyProtection="1">
      <alignment horizontal="center" vertical="center" wrapText="1"/>
    </xf>
    <xf numFmtId="0" fontId="20" fillId="0" borderId="0" xfId="12" applyFont="1" applyFill="1"/>
    <xf numFmtId="0" fontId="21" fillId="0" borderId="0" xfId="12" applyFont="1" applyFill="1"/>
    <xf numFmtId="0" fontId="20" fillId="0" borderId="0" xfId="12" applyFont="1" applyAlignment="1">
      <alignment horizontal="center"/>
    </xf>
    <xf numFmtId="0" fontId="20" fillId="0" borderId="0" xfId="12" applyFont="1" applyFill="1" applyAlignment="1">
      <alignment horizontal="center"/>
    </xf>
    <xf numFmtId="0" fontId="20" fillId="0" borderId="20" xfId="12" applyFont="1" applyFill="1" applyBorder="1" applyAlignment="1">
      <alignment horizontal="center"/>
    </xf>
    <xf numFmtId="0" fontId="4" fillId="0" borderId="0" xfId="12" applyFont="1"/>
    <xf numFmtId="2" fontId="20" fillId="0" borderId="0" xfId="12" applyNumberFormat="1" applyFont="1" applyFill="1" applyAlignment="1">
      <alignment horizontal="center"/>
    </xf>
    <xf numFmtId="2" fontId="20" fillId="0" borderId="12" xfId="12" applyNumberFormat="1" applyFont="1" applyFill="1" applyBorder="1" applyAlignment="1">
      <alignment horizontal="center"/>
    </xf>
    <xf numFmtId="0" fontId="4" fillId="0" borderId="0" xfId="12" applyFont="1" applyAlignment="1">
      <alignment horizontal="center"/>
    </xf>
    <xf numFmtId="0" fontId="20" fillId="0" borderId="0" xfId="12" applyFont="1"/>
    <xf numFmtId="0" fontId="4" fillId="0" borderId="0" xfId="0" applyFont="1" applyFill="1" applyBorder="1" applyAlignment="1">
      <alignment horizontal="center" vertical="center" wrapText="1"/>
    </xf>
    <xf numFmtId="40" fontId="5" fillId="8" borderId="0" xfId="12" applyNumberFormat="1" applyFont="1" applyFill="1" applyBorder="1" applyAlignment="1">
      <alignment horizontal="left" vertical="center" wrapText="1"/>
    </xf>
    <xf numFmtId="40" fontId="5" fillId="7" borderId="0" xfId="0" applyNumberFormat="1" applyFont="1" applyFill="1" applyAlignment="1">
      <alignment horizontal="left" wrapText="1"/>
    </xf>
    <xf numFmtId="40" fontId="5" fillId="7" borderId="0" xfId="0" applyNumberFormat="1" applyFont="1" applyFill="1" applyAlignment="1">
      <alignment horizontal="center" vertical="center"/>
    </xf>
    <xf numFmtId="40" fontId="5" fillId="7" borderId="0" xfId="0" applyNumberFormat="1" applyFont="1" applyFill="1" applyAlignment="1">
      <alignment horizontal="left"/>
    </xf>
    <xf numFmtId="0" fontId="5" fillId="4" borderId="13" xfId="12" applyFont="1" applyFill="1" applyBorder="1" applyAlignment="1">
      <alignment horizontal="center" vertical="center"/>
    </xf>
    <xf numFmtId="40" fontId="5" fillId="7" borderId="0" xfId="0" applyNumberFormat="1" applyFont="1" applyFill="1" applyAlignment="1">
      <alignment horizontal="left"/>
    </xf>
    <xf numFmtId="0" fontId="5" fillId="4" borderId="13" xfId="12" applyFont="1" applyFill="1" applyBorder="1" applyAlignment="1">
      <alignment vertical="center"/>
    </xf>
    <xf numFmtId="44" fontId="5" fillId="0" borderId="4" xfId="12" applyNumberFormat="1" applyFont="1" applyBorder="1" applyAlignment="1">
      <alignment vertical="center" wrapText="1"/>
    </xf>
    <xf numFmtId="0" fontId="4" fillId="0" borderId="109" xfId="0" applyFont="1" applyBorder="1"/>
    <xf numFmtId="0" fontId="0" fillId="0" borderId="109" xfId="0" applyBorder="1"/>
    <xf numFmtId="169" fontId="5" fillId="3" borderId="0" xfId="0" applyNumberFormat="1" applyFont="1" applyFill="1" applyBorder="1" applyAlignment="1" applyProtection="1">
      <alignment horizontal="center" vertical="center" wrapText="1"/>
    </xf>
    <xf numFmtId="169" fontId="5" fillId="3" borderId="0" xfId="0" applyNumberFormat="1" applyFont="1" applyFill="1" applyBorder="1" applyAlignment="1" applyProtection="1">
      <alignment horizontal="left" vertical="center" wrapText="1"/>
    </xf>
    <xf numFmtId="0" fontId="5" fillId="3" borderId="0" xfId="12" applyFont="1" applyFill="1" applyBorder="1" applyAlignment="1">
      <alignment horizontal="left" vertical="center" wrapText="1"/>
    </xf>
    <xf numFmtId="0" fontId="5" fillId="3" borderId="0" xfId="12" applyFont="1" applyFill="1" applyBorder="1" applyAlignment="1">
      <alignment vertical="center" wrapText="1"/>
    </xf>
    <xf numFmtId="0" fontId="5" fillId="3" borderId="7" xfId="12" applyFont="1" applyFill="1" applyBorder="1" applyAlignment="1">
      <alignment horizontal="left" vertical="center" wrapText="1"/>
    </xf>
    <xf numFmtId="40" fontId="5" fillId="7" borderId="0" xfId="0" applyNumberFormat="1" applyFont="1" applyFill="1" applyAlignment="1">
      <alignment horizontal="center" vertical="center"/>
    </xf>
    <xf numFmtId="40" fontId="5" fillId="7" borderId="0" xfId="0" applyNumberFormat="1" applyFont="1" applyFill="1" applyAlignment="1">
      <alignment horizontal="left" vertical="center" wrapText="1"/>
    </xf>
    <xf numFmtId="0" fontId="4" fillId="3" borderId="13" xfId="0" applyFont="1" applyFill="1" applyBorder="1" applyAlignment="1">
      <alignment horizontal="center" vertical="center" wrapText="1"/>
    </xf>
    <xf numFmtId="0" fontId="5" fillId="0" borderId="4" xfId="12" applyFont="1" applyBorder="1" applyAlignment="1">
      <alignment horizontal="center" vertical="center"/>
    </xf>
    <xf numFmtId="40" fontId="5" fillId="7" borderId="0" xfId="0" applyNumberFormat="1" applyFont="1" applyFill="1" applyAlignment="1">
      <alignment horizontal="left"/>
    </xf>
    <xf numFmtId="40" fontId="5" fillId="7" borderId="0" xfId="0" applyNumberFormat="1" applyFont="1" applyFill="1" applyAlignment="1">
      <alignment horizontal="left"/>
    </xf>
    <xf numFmtId="40" fontId="5" fillId="7" borderId="0" xfId="0" applyNumberFormat="1" applyFont="1" applyFill="1" applyAlignment="1">
      <alignment horizontal="center" vertical="center"/>
    </xf>
    <xf numFmtId="40" fontId="0" fillId="12" borderId="0" xfId="0" applyNumberFormat="1" applyFont="1" applyFill="1" applyBorder="1" applyAlignment="1"/>
    <xf numFmtId="0" fontId="0" fillId="3" borderId="0" xfId="0" applyFill="1" applyAlignment="1">
      <alignment vertical="center"/>
    </xf>
    <xf numFmtId="40" fontId="5" fillId="8" borderId="0" xfId="12" applyNumberFormat="1" applyFont="1" applyFill="1" applyBorder="1" applyAlignment="1">
      <alignment horizontal="left" vertical="center" wrapText="1"/>
    </xf>
    <xf numFmtId="164" fontId="4" fillId="3" borderId="12" xfId="1" applyFont="1" applyFill="1" applyBorder="1" applyAlignment="1">
      <alignment horizontal="center" vertical="center" wrapText="1"/>
    </xf>
    <xf numFmtId="0" fontId="5" fillId="0" borderId="0" xfId="12" applyFont="1" applyBorder="1" applyAlignment="1">
      <alignment vertical="center" wrapText="1"/>
    </xf>
    <xf numFmtId="0" fontId="4" fillId="0" borderId="111" xfId="0" applyFont="1" applyFill="1" applyBorder="1" applyAlignment="1">
      <alignment horizontal="center" vertical="center" wrapText="1"/>
    </xf>
    <xf numFmtId="40" fontId="5" fillId="7" borderId="0" xfId="0" applyNumberFormat="1" applyFont="1" applyFill="1" applyAlignment="1">
      <alignment horizontal="left"/>
    </xf>
    <xf numFmtId="40" fontId="5" fillId="7" borderId="0" xfId="0" applyNumberFormat="1" applyFont="1" applyFill="1" applyAlignment="1">
      <alignment horizontal="left" wrapText="1"/>
    </xf>
    <xf numFmtId="40" fontId="5" fillId="7" borderId="0" xfId="0" applyNumberFormat="1" applyFont="1" applyFill="1" applyAlignment="1">
      <alignment horizontal="left"/>
    </xf>
    <xf numFmtId="40" fontId="4" fillId="7" borderId="4" xfId="0" applyNumberFormat="1" applyFont="1" applyFill="1" applyBorder="1" applyAlignment="1">
      <alignment horizontal="center" vertical="center"/>
    </xf>
    <xf numFmtId="0" fontId="5" fillId="0" borderId="65" xfId="12" applyFont="1" applyFill="1" applyBorder="1" applyAlignment="1">
      <alignment horizontal="left" vertical="center" wrapText="1"/>
    </xf>
    <xf numFmtId="0" fontId="5" fillId="0" borderId="65" xfId="12" applyFont="1" applyFill="1" applyBorder="1" applyAlignment="1">
      <alignment vertical="center" wrapText="1"/>
    </xf>
    <xf numFmtId="169" fontId="5" fillId="0" borderId="65" xfId="0" applyNumberFormat="1" applyFont="1" applyFill="1" applyBorder="1" applyAlignment="1" applyProtection="1">
      <alignment horizontal="center" vertical="center" wrapText="1"/>
    </xf>
    <xf numFmtId="0" fontId="0" fillId="0" borderId="0" xfId="0" applyFill="1"/>
    <xf numFmtId="0" fontId="5" fillId="8" borderId="0" xfId="0" applyFont="1" applyFill="1" applyBorder="1" applyAlignment="1">
      <alignment horizontal="center" vertical="center"/>
    </xf>
    <xf numFmtId="10" fontId="7" fillId="17" borderId="0" xfId="2" applyNumberFormat="1" applyFont="1" applyFill="1" applyBorder="1" applyAlignment="1">
      <alignment horizontal="center" vertical="center" wrapText="1"/>
    </xf>
    <xf numFmtId="40" fontId="5" fillId="7" borderId="0" xfId="0" applyNumberFormat="1" applyFont="1" applyFill="1" applyAlignment="1">
      <alignment horizontal="left"/>
    </xf>
    <xf numFmtId="40" fontId="5" fillId="8" borderId="0" xfId="0" applyNumberFormat="1" applyFont="1" applyFill="1" applyBorder="1" applyAlignment="1">
      <alignment horizontal="left" vertical="center" wrapText="1"/>
    </xf>
    <xf numFmtId="0" fontId="19" fillId="3" borderId="13" xfId="0" applyFont="1" applyFill="1" applyBorder="1" applyAlignment="1">
      <alignment vertical="center"/>
    </xf>
    <xf numFmtId="0" fontId="4" fillId="3" borderId="15" xfId="0" applyFont="1" applyFill="1" applyBorder="1" applyAlignment="1">
      <alignment horizontal="center" vertical="center" wrapText="1"/>
    </xf>
    <xf numFmtId="0" fontId="4" fillId="0" borderId="19" xfId="0" applyFont="1" applyFill="1" applyBorder="1" applyAlignment="1">
      <alignment horizontal="center" vertical="center" wrapText="1"/>
    </xf>
    <xf numFmtId="164" fontId="4" fillId="0" borderId="20" xfId="1" applyFont="1" applyFill="1" applyBorder="1" applyAlignment="1">
      <alignment horizontal="center" vertical="center" wrapText="1"/>
    </xf>
    <xf numFmtId="168" fontId="4" fillId="0" borderId="20" xfId="1" applyNumberFormat="1" applyFont="1" applyFill="1" applyBorder="1" applyAlignment="1">
      <alignment horizontal="right" vertical="center" wrapText="1"/>
    </xf>
    <xf numFmtId="40" fontId="5" fillId="2" borderId="15" xfId="3" applyNumberFormat="1" applyFont="1" applyFill="1" applyBorder="1" applyAlignment="1">
      <alignment horizontal="center"/>
    </xf>
    <xf numFmtId="0" fontId="5" fillId="8" borderId="0" xfId="12" applyNumberFormat="1" applyFont="1" applyFill="1" applyAlignment="1">
      <alignment horizontal="center" vertical="top"/>
    </xf>
    <xf numFmtId="40" fontId="5" fillId="8" borderId="0" xfId="12" applyNumberFormat="1" applyFont="1" applyFill="1" applyAlignment="1">
      <alignment vertical="top"/>
    </xf>
    <xf numFmtId="0" fontId="19" fillId="3" borderId="4" xfId="21" applyFont="1" applyFill="1" applyBorder="1" applyAlignment="1">
      <alignment horizontal="center" vertical="center" wrapText="1"/>
    </xf>
    <xf numFmtId="4" fontId="19" fillId="3" borderId="4" xfId="21" applyNumberFormat="1" applyFont="1" applyFill="1" applyBorder="1" applyAlignment="1">
      <alignment horizontal="center" vertical="center" wrapText="1"/>
    </xf>
    <xf numFmtId="8" fontId="19" fillId="3" borderId="4" xfId="21" applyNumberFormat="1" applyFont="1" applyFill="1" applyBorder="1" applyAlignment="1">
      <alignment horizontal="right" vertical="center" wrapText="1"/>
    </xf>
    <xf numFmtId="4" fontId="4" fillId="0" borderId="4" xfId="0" applyNumberFormat="1" applyFont="1" applyFill="1" applyBorder="1" applyAlignment="1">
      <alignment horizontal="left" vertical="center" wrapText="1"/>
    </xf>
    <xf numFmtId="0" fontId="0" fillId="0" borderId="4" xfId="0" applyBorder="1"/>
    <xf numFmtId="0" fontId="0" fillId="0" borderId="0" xfId="0" applyAlignment="1">
      <alignment horizontal="center"/>
    </xf>
    <xf numFmtId="40" fontId="7" fillId="19" borderId="13" xfId="0" applyNumberFormat="1" applyFont="1" applyFill="1" applyBorder="1" applyAlignment="1">
      <alignment horizontal="center"/>
    </xf>
    <xf numFmtId="40" fontId="7" fillId="10" borderId="14" xfId="0" applyNumberFormat="1" applyFont="1" applyFill="1" applyBorder="1" applyAlignment="1">
      <alignment horizontal="center"/>
    </xf>
    <xf numFmtId="40" fontId="7" fillId="10" borderId="15" xfId="0" applyNumberFormat="1" applyFont="1" applyFill="1" applyBorder="1" applyAlignment="1">
      <alignment horizontal="center"/>
    </xf>
    <xf numFmtId="0" fontId="5" fillId="0" borderId="0" xfId="0" applyFont="1" applyAlignment="1">
      <alignment horizontal="center" vertical="center" wrapText="1"/>
    </xf>
    <xf numFmtId="4" fontId="5" fillId="0" borderId="0" xfId="0" applyNumberFormat="1" applyFont="1"/>
    <xf numFmtId="0" fontId="5" fillId="0" borderId="0" xfId="0" applyFont="1" applyAlignment="1">
      <alignment vertical="center" wrapText="1"/>
    </xf>
    <xf numFmtId="0" fontId="5" fillId="0" borderId="18" xfId="0" applyFont="1" applyBorder="1" applyAlignment="1">
      <alignment horizontal="center" vertical="center" wrapText="1"/>
    </xf>
    <xf numFmtId="0" fontId="5" fillId="4" borderId="13" xfId="12" applyFont="1" applyFill="1" applyBorder="1" applyAlignment="1">
      <alignment horizontal="center" vertical="center"/>
    </xf>
    <xf numFmtId="0" fontId="4" fillId="0" borderId="4" xfId="0" applyFont="1" applyBorder="1" applyAlignment="1">
      <alignment horizontal="center" vertical="center"/>
    </xf>
    <xf numFmtId="40" fontId="0" fillId="8" borderId="0" xfId="0" applyNumberFormat="1" applyFill="1" applyBorder="1" applyAlignment="1">
      <alignment horizontal="center"/>
    </xf>
    <xf numFmtId="40" fontId="5" fillId="7" borderId="0" xfId="0" applyNumberFormat="1" applyFont="1" applyFill="1" applyAlignment="1">
      <alignment horizontal="left"/>
    </xf>
    <xf numFmtId="40" fontId="5" fillId="7" borderId="0" xfId="0" applyNumberFormat="1" applyFont="1" applyFill="1" applyAlignment="1">
      <alignment horizontal="center" vertical="center"/>
    </xf>
    <xf numFmtId="40" fontId="5" fillId="8" borderId="0" xfId="0" applyNumberFormat="1" applyFont="1" applyFill="1" applyAlignment="1">
      <alignment horizontal="left" vertical="center" wrapText="1"/>
    </xf>
    <xf numFmtId="0" fontId="5" fillId="3" borderId="0" xfId="0" applyFont="1" applyFill="1" applyAlignment="1">
      <alignment horizontal="left" vertical="center" wrapText="1"/>
    </xf>
    <xf numFmtId="40" fontId="4" fillId="12" borderId="0" xfId="0" applyNumberFormat="1" applyFont="1" applyFill="1" applyBorder="1" applyAlignment="1">
      <alignment horizontal="center"/>
    </xf>
    <xf numFmtId="40" fontId="5" fillId="8" borderId="0" xfId="0" applyNumberFormat="1" applyFont="1" applyFill="1" applyBorder="1" applyAlignment="1">
      <alignment horizontal="center" vertical="center"/>
    </xf>
    <xf numFmtId="40" fontId="16" fillId="3" borderId="0" xfId="3" applyNumberFormat="1" applyFont="1" applyFill="1" applyAlignment="1">
      <alignment horizontal="left" wrapText="1"/>
    </xf>
    <xf numFmtId="40" fontId="5" fillId="8" borderId="0" xfId="12" applyNumberFormat="1" applyFont="1" applyFill="1" applyAlignment="1">
      <alignment horizontal="center" vertical="top" wrapText="1"/>
    </xf>
    <xf numFmtId="10" fontId="5" fillId="2" borderId="20" xfId="0" applyNumberFormat="1" applyFont="1" applyFill="1" applyBorder="1"/>
    <xf numFmtId="10" fontId="5" fillId="2" borderId="85" xfId="0" applyNumberFormat="1" applyFont="1" applyFill="1" applyBorder="1"/>
    <xf numFmtId="10" fontId="4" fillId="0" borderId="12" xfId="0" applyNumberFormat="1" applyFont="1" applyBorder="1"/>
    <xf numFmtId="10" fontId="4" fillId="0" borderId="4" xfId="0" applyNumberFormat="1" applyFont="1" applyBorder="1" applyAlignment="1">
      <alignment vertical="center"/>
    </xf>
    <xf numFmtId="10" fontId="5" fillId="15" borderId="88" xfId="0" applyNumberFormat="1" applyFont="1" applyFill="1" applyBorder="1"/>
    <xf numFmtId="10" fontId="5" fillId="15" borderId="89" xfId="0" applyNumberFormat="1" applyFont="1" applyFill="1" applyBorder="1"/>
    <xf numFmtId="10" fontId="4" fillId="0" borderId="4" xfId="0" applyNumberFormat="1" applyFont="1" applyBorder="1" applyAlignment="1">
      <alignment horizontal="right"/>
    </xf>
    <xf numFmtId="10" fontId="4" fillId="0" borderId="83" xfId="0" applyNumberFormat="1" applyFont="1" applyBorder="1"/>
    <xf numFmtId="10" fontId="4" fillId="0" borderId="77" xfId="0" applyNumberFormat="1" applyFont="1" applyBorder="1" applyAlignment="1">
      <alignment vertical="center"/>
    </xf>
    <xf numFmtId="10" fontId="4" fillId="0" borderId="77" xfId="0" applyNumberFormat="1" applyFont="1" applyBorder="1" applyAlignment="1">
      <alignment horizontal="right"/>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0" fontId="4" fillId="0" borderId="13" xfId="0" applyFont="1" applyBorder="1" applyAlignment="1">
      <alignment vertical="center" wrapText="1"/>
    </xf>
    <xf numFmtId="0" fontId="4" fillId="0" borderId="86" xfId="0" applyFont="1" applyBorder="1" applyAlignment="1">
      <alignment horizontal="center" vertical="center" wrapText="1"/>
    </xf>
    <xf numFmtId="49" fontId="4" fillId="3" borderId="12" xfId="0" applyNumberFormat="1" applyFont="1" applyFill="1" applyBorder="1" applyAlignment="1">
      <alignment horizontal="center" vertical="center" wrapText="1"/>
    </xf>
    <xf numFmtId="44" fontId="4" fillId="0" borderId="4" xfId="22" applyFont="1" applyFill="1" applyBorder="1" applyAlignment="1">
      <alignment horizontal="right" vertical="center" wrapText="1"/>
    </xf>
    <xf numFmtId="49" fontId="4" fillId="3" borderId="4" xfId="0" applyNumberFormat="1" applyFont="1" applyFill="1" applyBorder="1" applyAlignment="1">
      <alignment horizontal="center" vertical="center" wrapText="1"/>
    </xf>
    <xf numFmtId="0" fontId="4" fillId="3" borderId="12" xfId="21" applyFont="1" applyFill="1" applyBorder="1" applyAlignment="1">
      <alignment horizontal="center" vertical="center" wrapText="1"/>
    </xf>
    <xf numFmtId="168" fontId="4" fillId="0" borderId="12" xfId="21" applyNumberFormat="1" applyFont="1" applyBorder="1" applyAlignment="1">
      <alignment vertical="center" wrapText="1"/>
    </xf>
    <xf numFmtId="0" fontId="4" fillId="3" borderId="4" xfId="21" applyFont="1" applyFill="1" applyBorder="1" applyAlignment="1">
      <alignment horizontal="center" vertical="center" wrapText="1"/>
    </xf>
    <xf numFmtId="168" fontId="4" fillId="0" borderId="4" xfId="21" applyNumberFormat="1" applyFont="1" applyBorder="1" applyAlignment="1">
      <alignment vertical="center" wrapText="1"/>
    </xf>
    <xf numFmtId="40" fontId="4" fillId="0" borderId="63" xfId="0" applyNumberFormat="1" applyFont="1" applyFill="1" applyBorder="1" applyAlignment="1">
      <alignment horizontal="center"/>
    </xf>
    <xf numFmtId="40" fontId="4" fillId="0" borderId="53" xfId="0" applyNumberFormat="1" applyFont="1" applyFill="1" applyBorder="1" applyAlignment="1">
      <alignment horizontal="center"/>
    </xf>
    <xf numFmtId="40" fontId="4" fillId="0" borderId="64" xfId="0" applyNumberFormat="1" applyFont="1" applyFill="1" applyBorder="1" applyAlignment="1">
      <alignment horizontal="center"/>
    </xf>
    <xf numFmtId="40" fontId="4" fillId="0" borderId="0" xfId="0" applyNumberFormat="1" applyFont="1" applyFill="1" applyBorder="1" applyAlignment="1">
      <alignment horizontal="center"/>
    </xf>
    <xf numFmtId="40" fontId="4" fillId="2" borderId="67" xfId="0" applyNumberFormat="1" applyFont="1" applyFill="1" applyBorder="1" applyAlignment="1">
      <alignment horizontal="center"/>
    </xf>
    <xf numFmtId="40" fontId="4" fillId="2" borderId="65" xfId="0" applyNumberFormat="1" applyFont="1" applyFill="1" applyBorder="1" applyAlignment="1">
      <alignment horizontal="center"/>
    </xf>
    <xf numFmtId="40" fontId="4" fillId="2" borderId="66" xfId="0" applyNumberFormat="1" applyFont="1" applyFill="1" applyBorder="1" applyAlignment="1">
      <alignment horizontal="center"/>
    </xf>
    <xf numFmtId="40" fontId="4" fillId="2" borderId="17" xfId="0" applyNumberFormat="1" applyFont="1" applyFill="1" applyBorder="1" applyAlignment="1">
      <alignment horizontal="center"/>
    </xf>
    <xf numFmtId="40" fontId="4" fillId="2" borderId="18" xfId="0" applyNumberFormat="1" applyFont="1" applyFill="1" applyBorder="1" applyAlignment="1">
      <alignment horizontal="center"/>
    </xf>
    <xf numFmtId="40" fontId="4" fillId="2" borderId="21" xfId="0" applyNumberFormat="1" applyFont="1" applyFill="1" applyBorder="1" applyAlignment="1">
      <alignment horizontal="center"/>
    </xf>
    <xf numFmtId="40" fontId="4" fillId="0" borderId="4" xfId="0" applyNumberFormat="1" applyFont="1" applyFill="1" applyBorder="1" applyAlignment="1">
      <alignment horizontal="center"/>
    </xf>
    <xf numFmtId="40" fontId="4" fillId="2" borderId="67" xfId="0" applyNumberFormat="1" applyFont="1" applyFill="1" applyBorder="1" applyAlignment="1">
      <alignment horizontal="center" vertical="center"/>
    </xf>
    <xf numFmtId="40" fontId="4" fillId="2" borderId="65" xfId="0" applyNumberFormat="1" applyFont="1" applyFill="1" applyBorder="1" applyAlignment="1">
      <alignment horizontal="center" vertical="center" wrapText="1"/>
    </xf>
    <xf numFmtId="40" fontId="4" fillId="2" borderId="65" xfId="0" applyNumberFormat="1" applyFont="1" applyFill="1" applyBorder="1" applyAlignment="1">
      <alignment horizontal="center" vertical="center"/>
    </xf>
    <xf numFmtId="40" fontId="4" fillId="2" borderId="66" xfId="0" applyNumberFormat="1" applyFont="1" applyFill="1" applyBorder="1" applyAlignment="1">
      <alignment horizontal="center" vertical="center"/>
    </xf>
    <xf numFmtId="40" fontId="4" fillId="2" borderId="17" xfId="0" applyNumberFormat="1" applyFont="1" applyFill="1" applyBorder="1" applyAlignment="1">
      <alignment horizontal="center" vertical="center" wrapText="1"/>
    </xf>
    <xf numFmtId="40" fontId="4" fillId="2" borderId="18" xfId="0" applyNumberFormat="1" applyFont="1" applyFill="1" applyBorder="1" applyAlignment="1">
      <alignment horizontal="center" vertical="center"/>
    </xf>
    <xf numFmtId="40" fontId="4" fillId="2" borderId="21" xfId="0" applyNumberFormat="1" applyFont="1" applyFill="1" applyBorder="1" applyAlignment="1">
      <alignment horizontal="center" vertical="center"/>
    </xf>
    <xf numFmtId="40" fontId="4" fillId="18" borderId="13" xfId="0" applyNumberFormat="1" applyFont="1" applyFill="1" applyBorder="1" applyAlignment="1">
      <alignment horizontal="center" vertical="center" wrapText="1"/>
    </xf>
    <xf numFmtId="40" fontId="4" fillId="18" borderId="14" xfId="0" applyNumberFormat="1" applyFont="1" applyFill="1" applyBorder="1" applyAlignment="1">
      <alignment horizontal="center" vertical="center"/>
    </xf>
    <xf numFmtId="40" fontId="5" fillId="8" borderId="0" xfId="0" applyNumberFormat="1" applyFont="1" applyFill="1" applyBorder="1" applyAlignment="1">
      <alignment horizontal="left" wrapText="1"/>
    </xf>
    <xf numFmtId="40" fontId="5" fillId="7" borderId="0" xfId="0" applyNumberFormat="1" applyFont="1" applyFill="1" applyAlignment="1">
      <alignment horizontal="left"/>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ill="1" applyBorder="1" applyAlignment="1">
      <alignment horizontal="center" vertical="center"/>
    </xf>
    <xf numFmtId="40" fontId="0" fillId="3" borderId="4" xfId="0" applyNumberFormat="1" applyFill="1" applyBorder="1" applyAlignment="1">
      <alignment horizontal="center" vertical="center" wrapText="1"/>
    </xf>
    <xf numFmtId="40" fontId="0" fillId="3" borderId="4" xfId="0" applyNumberFormat="1" applyFill="1" applyBorder="1" applyAlignment="1">
      <alignment horizontal="center" vertical="center"/>
    </xf>
    <xf numFmtId="2" fontId="0" fillId="3" borderId="4" xfId="0" applyNumberFormat="1" applyFill="1" applyBorder="1" applyAlignment="1">
      <alignment horizontal="center" vertical="center"/>
    </xf>
    <xf numFmtId="40" fontId="0" fillId="3" borderId="4" xfId="0" applyNumberFormat="1" applyFill="1" applyBorder="1" applyAlignment="1">
      <alignment horizontal="center" vertical="center" wrapText="1"/>
    </xf>
    <xf numFmtId="40" fontId="5" fillId="0" borderId="0" xfId="0" applyNumberFormat="1" applyFont="1" applyFill="1" applyBorder="1" applyAlignment="1">
      <alignment horizontal="center" vertical="center"/>
    </xf>
    <xf numFmtId="40" fontId="0" fillId="0" borderId="0" xfId="0" applyNumberFormat="1" applyFill="1" applyBorder="1" applyAlignment="1">
      <alignment horizontal="center"/>
    </xf>
    <xf numFmtId="40" fontId="0" fillId="0" borderId="0" xfId="0" applyNumberFormat="1" applyFont="1" applyFill="1" applyBorder="1" applyAlignment="1">
      <alignment horizontal="center"/>
    </xf>
    <xf numFmtId="40" fontId="5" fillId="0" borderId="0" xfId="0" applyNumberFormat="1" applyFont="1" applyFill="1" applyBorder="1" applyAlignment="1">
      <alignment horizontal="left" vertical="center" wrapText="1"/>
    </xf>
    <xf numFmtId="40" fontId="5" fillId="0" borderId="0" xfId="0" applyNumberFormat="1" applyFont="1" applyFill="1" applyBorder="1" applyAlignment="1"/>
    <xf numFmtId="40" fontId="4" fillId="0" borderId="0" xfId="0" applyNumberFormat="1" applyFont="1" applyFill="1" applyAlignment="1">
      <alignment horizontal="center" vertical="center"/>
    </xf>
    <xf numFmtId="40" fontId="4" fillId="8" borderId="0" xfId="0" applyNumberFormat="1" applyFont="1" applyFill="1" applyBorder="1" applyAlignment="1"/>
    <xf numFmtId="40" fontId="0" fillId="0" borderId="53" xfId="0" applyNumberFormat="1" applyFill="1" applyBorder="1" applyAlignment="1">
      <alignment horizontal="center"/>
    </xf>
    <xf numFmtId="40" fontId="0" fillId="0" borderId="64" xfId="0" applyNumberFormat="1" applyFont="1" applyFill="1" applyBorder="1" applyAlignment="1">
      <alignment horizontal="center"/>
    </xf>
    <xf numFmtId="40" fontId="5" fillId="8" borderId="0" xfId="0" applyNumberFormat="1" applyFont="1" applyFill="1" applyBorder="1" applyAlignment="1">
      <alignment vertical="center"/>
    </xf>
    <xf numFmtId="40" fontId="4" fillId="8" borderId="0" xfId="0" applyNumberFormat="1" applyFont="1" applyFill="1" applyBorder="1" applyAlignment="1">
      <alignment horizontal="center" wrapText="1"/>
    </xf>
    <xf numFmtId="40" fontId="4" fillId="14" borderId="64" xfId="0" applyNumberFormat="1" applyFont="1" applyFill="1" applyBorder="1" applyAlignment="1">
      <alignment horizontal="center"/>
    </xf>
    <xf numFmtId="40" fontId="5" fillId="0" borderId="0" xfId="0" applyNumberFormat="1" applyFont="1" applyFill="1" applyBorder="1" applyAlignment="1">
      <alignment horizontal="left" wrapText="1"/>
    </xf>
    <xf numFmtId="0" fontId="5" fillId="3" borderId="13" xfId="12" applyFont="1" applyFill="1" applyBorder="1" applyAlignment="1">
      <alignment vertical="center" wrapText="1"/>
    </xf>
    <xf numFmtId="0" fontId="5" fillId="3" borderId="14" xfId="12" applyFont="1" applyFill="1" applyBorder="1" applyAlignment="1">
      <alignment vertical="center" wrapText="1"/>
    </xf>
    <xf numFmtId="40" fontId="0" fillId="8" borderId="0" xfId="0" applyNumberFormat="1" applyFill="1" applyBorder="1" applyAlignment="1">
      <alignment horizontal="center"/>
    </xf>
    <xf numFmtId="40" fontId="5" fillId="7" borderId="0" xfId="0" applyNumberFormat="1" applyFont="1" applyFill="1" applyAlignment="1">
      <alignment horizontal="left"/>
    </xf>
    <xf numFmtId="40" fontId="5" fillId="8" borderId="0" xfId="0" applyNumberFormat="1" applyFont="1" applyFill="1" applyBorder="1" applyAlignment="1">
      <alignment horizontal="left"/>
    </xf>
    <xf numFmtId="0" fontId="5" fillId="0" borderId="0" xfId="12" applyFont="1" applyFill="1" applyBorder="1" applyAlignment="1">
      <alignment horizontal="center" vertical="center" wrapText="1"/>
    </xf>
    <xf numFmtId="169" fontId="5" fillId="0" borderId="0" xfId="0" applyNumberFormat="1" applyFont="1" applyFill="1" applyBorder="1" applyAlignment="1" applyProtection="1">
      <alignment horizontal="center" vertical="center" wrapText="1"/>
    </xf>
    <xf numFmtId="169" fontId="5" fillId="0" borderId="0" xfId="0" applyNumberFormat="1" applyFont="1" applyFill="1" applyBorder="1" applyAlignment="1" applyProtection="1">
      <alignment horizontal="left" vertical="center" wrapText="1"/>
    </xf>
    <xf numFmtId="169" fontId="13" fillId="0" borderId="0" xfId="0" applyNumberFormat="1" applyFont="1" applyFill="1" applyBorder="1" applyAlignment="1" applyProtection="1">
      <alignment vertical="center" wrapText="1"/>
    </xf>
    <xf numFmtId="40" fontId="4" fillId="7" borderId="0" xfId="0" applyNumberFormat="1" applyFont="1" applyFill="1" applyAlignment="1">
      <alignment horizontal="center" wrapText="1"/>
    </xf>
    <xf numFmtId="40" fontId="0" fillId="7" borderId="0" xfId="0" applyNumberFormat="1" applyFill="1" applyAlignment="1">
      <alignment horizontal="center" vertical="center"/>
    </xf>
    <xf numFmtId="40" fontId="4" fillId="7" borderId="0" xfId="0" applyNumberFormat="1" applyFont="1" applyFill="1" applyAlignment="1">
      <alignment horizontal="left" vertical="center"/>
    </xf>
    <xf numFmtId="40" fontId="4" fillId="7" borderId="4" xfId="0" applyNumberFormat="1" applyFont="1" applyFill="1" applyBorder="1" applyAlignment="1">
      <alignment horizontal="left"/>
    </xf>
    <xf numFmtId="40" fontId="4" fillId="7" borderId="20" xfId="0" applyNumberFormat="1" applyFont="1" applyFill="1" applyBorder="1" applyAlignment="1">
      <alignment vertical="center"/>
    </xf>
    <xf numFmtId="40" fontId="5" fillId="7" borderId="4" xfId="0" applyNumberFormat="1" applyFont="1" applyFill="1" applyBorder="1" applyAlignment="1">
      <alignment horizontal="center"/>
    </xf>
    <xf numFmtId="0" fontId="4" fillId="0" borderId="4" xfId="0" applyFont="1" applyBorder="1" applyAlignment="1">
      <alignment horizontal="center"/>
    </xf>
    <xf numFmtId="40" fontId="4" fillId="0" borderId="4" xfId="0" applyNumberFormat="1" applyFont="1" applyFill="1" applyBorder="1" applyAlignment="1">
      <alignment horizontal="center"/>
    </xf>
    <xf numFmtId="0" fontId="4" fillId="0" borderId="4" xfId="0" applyFont="1" applyFill="1" applyBorder="1" applyAlignment="1">
      <alignment horizontal="left"/>
    </xf>
    <xf numFmtId="0" fontId="0" fillId="0" borderId="4" xfId="0" applyFill="1" applyBorder="1" applyAlignment="1">
      <alignment horizontal="left" vertical="center"/>
    </xf>
    <xf numFmtId="40" fontId="4" fillId="0" borderId="4" xfId="0" applyNumberFormat="1" applyFont="1" applyFill="1" applyBorder="1" applyAlignment="1">
      <alignment horizontal="center" vertical="center"/>
    </xf>
    <xf numFmtId="0" fontId="0" fillId="0" borderId="13" xfId="0" applyBorder="1"/>
    <xf numFmtId="2" fontId="0" fillId="0" borderId="14" xfId="0" applyNumberFormat="1" applyBorder="1"/>
    <xf numFmtId="0" fontId="0" fillId="0" borderId="15" xfId="0" applyBorder="1" applyAlignment="1">
      <alignment horizontal="center"/>
    </xf>
    <xf numFmtId="0" fontId="4" fillId="0" borderId="20" xfId="0" applyFont="1" applyFill="1" applyBorder="1" applyAlignment="1">
      <alignment vertical="center"/>
    </xf>
    <xf numFmtId="2" fontId="0" fillId="0" borderId="4" xfId="0" applyNumberFormat="1" applyFill="1" applyBorder="1" applyAlignment="1">
      <alignment horizontal="center" vertical="center"/>
    </xf>
    <xf numFmtId="2" fontId="4" fillId="0" borderId="20" xfId="0" applyNumberFormat="1" applyFont="1" applyFill="1" applyBorder="1" applyAlignment="1">
      <alignment horizontal="center" vertical="center"/>
    </xf>
    <xf numFmtId="40" fontId="5" fillId="0" borderId="0" xfId="0" applyNumberFormat="1" applyFont="1" applyFill="1" applyAlignment="1">
      <alignment vertical="center" wrapText="1"/>
    </xf>
    <xf numFmtId="40" fontId="4" fillId="0" borderId="67" xfId="0" applyNumberFormat="1" applyFont="1" applyFill="1" applyBorder="1" applyAlignment="1">
      <alignment horizontal="center"/>
    </xf>
    <xf numFmtId="40" fontId="4" fillId="0" borderId="65" xfId="0" applyNumberFormat="1" applyFont="1" applyFill="1" applyBorder="1" applyAlignment="1">
      <alignment horizontal="center"/>
    </xf>
    <xf numFmtId="40" fontId="4" fillId="0" borderId="66" xfId="0" applyNumberFormat="1" applyFont="1" applyFill="1" applyBorder="1" applyAlignment="1">
      <alignment horizontal="center"/>
    </xf>
    <xf numFmtId="40" fontId="4" fillId="0" borderId="17" xfId="0" applyNumberFormat="1" applyFont="1" applyFill="1" applyBorder="1" applyAlignment="1">
      <alignment horizontal="center" wrapText="1"/>
    </xf>
    <xf numFmtId="40" fontId="4" fillId="0" borderId="18" xfId="0" applyNumberFormat="1" applyFont="1" applyFill="1" applyBorder="1" applyAlignment="1">
      <alignment horizontal="center" vertical="center"/>
    </xf>
    <xf numFmtId="40" fontId="4" fillId="0" borderId="21" xfId="0" applyNumberFormat="1" applyFont="1" applyFill="1" applyBorder="1" applyAlignment="1">
      <alignment horizontal="center" vertical="center"/>
    </xf>
    <xf numFmtId="0" fontId="4" fillId="0" borderId="4" xfId="0" applyFont="1" applyBorder="1" applyAlignment="1">
      <alignment horizontal="center" vertical="center"/>
    </xf>
    <xf numFmtId="40" fontId="5" fillId="7" borderId="0" xfId="0" applyNumberFormat="1" applyFont="1" applyFill="1" applyAlignment="1">
      <alignment horizontal="left"/>
    </xf>
    <xf numFmtId="40" fontId="5" fillId="7" borderId="0" xfId="0" applyNumberFormat="1" applyFont="1" applyFill="1" applyAlignment="1">
      <alignment horizontal="left"/>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13" xfId="0" applyFont="1" applyFill="1" applyBorder="1" applyAlignment="1">
      <alignment vertical="center"/>
    </xf>
    <xf numFmtId="40" fontId="4" fillId="12" borderId="4" xfId="0" applyNumberFormat="1" applyFont="1" applyFill="1" applyBorder="1" applyAlignment="1">
      <alignment horizontal="center"/>
    </xf>
    <xf numFmtId="0" fontId="5" fillId="0" borderId="4" xfId="0" applyFont="1" applyBorder="1" applyAlignment="1">
      <alignment horizontal="center"/>
    </xf>
    <xf numFmtId="40" fontId="5" fillId="12" borderId="4" xfId="0" applyNumberFormat="1" applyFont="1" applyFill="1" applyBorder="1" applyAlignment="1">
      <alignment horizontal="center"/>
    </xf>
    <xf numFmtId="40" fontId="4" fillId="12" borderId="4" xfId="0" applyNumberFormat="1" applyFont="1" applyFill="1" applyBorder="1" applyAlignment="1">
      <alignment horizontal="center" vertical="center"/>
    </xf>
    <xf numFmtId="40" fontId="4" fillId="12" borderId="0" xfId="0" applyNumberFormat="1" applyFont="1" applyFill="1" applyBorder="1" applyAlignment="1">
      <alignment horizontal="center" vertical="center"/>
    </xf>
    <xf numFmtId="0" fontId="4" fillId="0" borderId="4" xfId="0" applyFont="1" applyBorder="1" applyAlignment="1">
      <alignment vertical="center"/>
    </xf>
    <xf numFmtId="0" fontId="0" fillId="7" borderId="0" xfId="0" applyFill="1" applyAlignment="1">
      <alignment vertical="center"/>
    </xf>
    <xf numFmtId="2" fontId="4" fillId="0" borderId="4" xfId="0" applyNumberFormat="1" applyFont="1" applyBorder="1" applyAlignment="1">
      <alignment horizontal="center" vertical="center"/>
    </xf>
    <xf numFmtId="0" fontId="4" fillId="0" borderId="0" xfId="0" applyFont="1" applyFill="1" applyAlignment="1">
      <alignment vertical="center"/>
    </xf>
    <xf numFmtId="0" fontId="4" fillId="0" borderId="0" xfId="0" applyFont="1" applyFill="1"/>
    <xf numFmtId="0" fontId="4" fillId="0" borderId="4" xfId="0" applyFont="1" applyFill="1" applyBorder="1" applyAlignment="1">
      <alignment horizontal="center" vertical="center" wrapText="1"/>
    </xf>
    <xf numFmtId="40" fontId="5" fillId="8" borderId="0" xfId="0" applyNumberFormat="1" applyFont="1" applyFill="1" applyBorder="1" applyAlignment="1">
      <alignment horizontal="left" wrapText="1"/>
    </xf>
    <xf numFmtId="40" fontId="5" fillId="7" borderId="0" xfId="0" applyNumberFormat="1" applyFont="1" applyFill="1" applyAlignment="1">
      <alignment horizontal="left"/>
    </xf>
    <xf numFmtId="40" fontId="4" fillId="0" borderId="4" xfId="0" applyNumberFormat="1" applyFont="1" applyFill="1" applyBorder="1" applyAlignment="1">
      <alignment horizontal="center"/>
    </xf>
    <xf numFmtId="40" fontId="5" fillId="8" borderId="0" xfId="0" applyNumberFormat="1" applyFont="1" applyFill="1" applyBorder="1" applyAlignment="1">
      <alignment horizontal="left" vertical="center" wrapText="1"/>
    </xf>
    <xf numFmtId="40" fontId="4" fillId="3" borderId="20" xfId="0" applyNumberFormat="1" applyFont="1" applyFill="1" applyBorder="1" applyAlignment="1">
      <alignment horizontal="center" vertical="center" wrapText="1"/>
    </xf>
    <xf numFmtId="40" fontId="5" fillId="7" borderId="4" xfId="0" applyNumberFormat="1" applyFont="1" applyFill="1" applyBorder="1" applyAlignment="1">
      <alignment horizontal="center"/>
    </xf>
    <xf numFmtId="40" fontId="5" fillId="8" borderId="0" xfId="0" applyNumberFormat="1" applyFont="1" applyFill="1" applyBorder="1" applyAlignment="1">
      <alignment horizontal="center" vertical="center"/>
    </xf>
    <xf numFmtId="40" fontId="29" fillId="7" borderId="0" xfId="0" applyNumberFormat="1" applyFont="1" applyFill="1" applyAlignment="1">
      <alignment horizontal="left"/>
    </xf>
    <xf numFmtId="40" fontId="30" fillId="12" borderId="0" xfId="0" applyNumberFormat="1" applyFont="1" applyFill="1" applyBorder="1" applyAlignment="1">
      <alignment horizontal="center"/>
    </xf>
    <xf numFmtId="40" fontId="30" fillId="7" borderId="0" xfId="0" applyNumberFormat="1" applyFont="1" applyFill="1" applyAlignment="1">
      <alignment horizontal="center"/>
    </xf>
    <xf numFmtId="0" fontId="30" fillId="7" borderId="0" xfId="0" applyFont="1" applyFill="1"/>
    <xf numFmtId="0" fontId="30" fillId="0" borderId="0" xfId="0" applyFont="1"/>
    <xf numFmtId="0" fontId="4" fillId="0" borderId="4" xfId="0" applyFont="1" applyFill="1" applyBorder="1"/>
    <xf numFmtId="0" fontId="4" fillId="7" borderId="0" xfId="0" applyFont="1" applyFill="1" applyAlignment="1">
      <alignment vertical="center"/>
    </xf>
    <xf numFmtId="0" fontId="4" fillId="7" borderId="0" xfId="0" applyFont="1" applyFill="1"/>
    <xf numFmtId="40" fontId="4" fillId="7" borderId="0" xfId="0" applyNumberFormat="1" applyFont="1" applyFill="1" applyAlignment="1">
      <alignment wrapText="1"/>
    </xf>
    <xf numFmtId="40" fontId="4" fillId="7" borderId="0" xfId="0" applyNumberFormat="1" applyFont="1" applyFill="1" applyAlignment="1">
      <alignment horizontal="left" wrapText="1"/>
    </xf>
    <xf numFmtId="40" fontId="4" fillId="7" borderId="0" xfId="0" applyNumberFormat="1" applyFont="1" applyFill="1" applyAlignment="1">
      <alignment horizontal="left" vertical="center" wrapText="1"/>
    </xf>
    <xf numFmtId="40" fontId="4" fillId="7" borderId="4" xfId="0" applyNumberFormat="1" applyFont="1" applyFill="1" applyBorder="1" applyAlignment="1">
      <alignment horizontal="left" wrapText="1"/>
    </xf>
    <xf numFmtId="40" fontId="4" fillId="7" borderId="4" xfId="0" applyNumberFormat="1" applyFont="1" applyFill="1" applyBorder="1" applyAlignment="1">
      <alignment horizontal="center" wrapText="1"/>
    </xf>
    <xf numFmtId="40" fontId="4" fillId="7" borderId="4" xfId="0" applyNumberFormat="1" applyFont="1" applyFill="1" applyBorder="1" applyAlignment="1">
      <alignment horizontal="center" vertical="center" wrapText="1"/>
    </xf>
    <xf numFmtId="0" fontId="4" fillId="0" borderId="0" xfId="0" applyFont="1" applyAlignment="1">
      <alignment horizontal="center"/>
    </xf>
    <xf numFmtId="40" fontId="4" fillId="3" borderId="4" xfId="0" applyNumberFormat="1" applyFont="1" applyFill="1" applyBorder="1" applyAlignment="1">
      <alignment horizontal="center" vertical="center" wrapText="1"/>
    </xf>
    <xf numFmtId="2" fontId="4" fillId="3" borderId="0" xfId="0" applyNumberFormat="1" applyFont="1" applyFill="1" applyBorder="1" applyAlignment="1">
      <alignment horizontal="right"/>
    </xf>
    <xf numFmtId="2" fontId="4" fillId="3" borderId="0" xfId="0" applyNumberFormat="1" applyFont="1" applyFill="1" applyBorder="1"/>
    <xf numFmtId="40" fontId="4" fillId="0" borderId="0" xfId="0" applyNumberFormat="1" applyFont="1" applyFill="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Border="1" applyAlignment="1">
      <alignment vertical="center"/>
    </xf>
    <xf numFmtId="0" fontId="31" fillId="0" borderId="0" xfId="0" applyFont="1" applyBorder="1" applyAlignment="1">
      <alignmen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1" fillId="20" borderId="13" xfId="0" applyFont="1" applyFill="1" applyBorder="1" applyAlignment="1">
      <alignment horizontal="center" vertical="center"/>
    </xf>
    <xf numFmtId="2" fontId="4" fillId="0" borderId="4" xfId="0" applyNumberFormat="1" applyFont="1" applyFill="1" applyBorder="1" applyAlignment="1">
      <alignment horizontal="center" vertical="center"/>
    </xf>
    <xf numFmtId="40" fontId="29" fillId="7" borderId="0" xfId="0" applyNumberFormat="1" applyFont="1" applyFill="1" applyAlignment="1">
      <alignment vertical="center" wrapText="1"/>
    </xf>
    <xf numFmtId="40" fontId="30" fillId="0" borderId="0" xfId="0" applyNumberFormat="1" applyFont="1" applyFill="1" applyBorder="1" applyAlignment="1">
      <alignment horizontal="center"/>
    </xf>
    <xf numFmtId="44" fontId="4" fillId="3" borderId="12" xfId="22" applyFont="1" applyFill="1" applyBorder="1" applyAlignment="1">
      <alignment horizontal="right" vertical="center" wrapText="1"/>
    </xf>
    <xf numFmtId="2" fontId="4" fillId="0" borderId="4" xfId="0" applyNumberFormat="1" applyFont="1" applyFill="1" applyBorder="1" applyAlignment="1">
      <alignment horizontal="right" vertical="center" wrapText="1"/>
    </xf>
    <xf numFmtId="40" fontId="4" fillId="20" borderId="63" xfId="0" applyNumberFormat="1" applyFont="1" applyFill="1" applyBorder="1" applyAlignment="1">
      <alignment horizontal="center"/>
    </xf>
    <xf numFmtId="40" fontId="4" fillId="20" borderId="53" xfId="0" applyNumberFormat="1" applyFont="1" applyFill="1" applyBorder="1" applyAlignment="1">
      <alignment horizontal="center"/>
    </xf>
    <xf numFmtId="40" fontId="4" fillId="20" borderId="64" xfId="0" applyNumberFormat="1" applyFont="1" applyFill="1" applyBorder="1" applyAlignment="1">
      <alignment horizontal="center"/>
    </xf>
    <xf numFmtId="40" fontId="4" fillId="0" borderId="4" xfId="0" applyNumberFormat="1" applyFont="1" applyBorder="1" applyAlignment="1">
      <alignment horizontal="center"/>
    </xf>
    <xf numFmtId="40" fontId="4" fillId="8" borderId="4" xfId="0" applyNumberFormat="1" applyFont="1" applyFill="1" applyBorder="1" applyAlignment="1"/>
    <xf numFmtId="40" fontId="4" fillId="8" borderId="4" xfId="0" applyNumberFormat="1" applyFont="1" applyFill="1" applyBorder="1" applyAlignment="1">
      <alignment horizontal="center"/>
    </xf>
    <xf numFmtId="40" fontId="29" fillId="8" borderId="0" xfId="0" applyNumberFormat="1" applyFont="1" applyFill="1" applyBorder="1" applyAlignment="1">
      <alignment horizontal="center" vertical="center"/>
    </xf>
    <xf numFmtId="40" fontId="29" fillId="8" borderId="0" xfId="0" applyNumberFormat="1" applyFont="1" applyFill="1" applyBorder="1" applyAlignment="1"/>
    <xf numFmtId="40" fontId="29" fillId="0" borderId="0" xfId="0" applyNumberFormat="1" applyFont="1" applyFill="1" applyBorder="1" applyAlignment="1">
      <alignment horizontal="center" vertical="center"/>
    </xf>
    <xf numFmtId="40" fontId="29" fillId="0" borderId="0" xfId="0" applyNumberFormat="1" applyFont="1" applyFill="1" applyBorder="1" applyAlignment="1">
      <alignment horizontal="left" vertical="center" wrapText="1"/>
    </xf>
    <xf numFmtId="40" fontId="29" fillId="0" borderId="0" xfId="0" applyNumberFormat="1" applyFont="1" applyFill="1" applyBorder="1" applyAlignment="1"/>
    <xf numFmtId="0" fontId="30" fillId="0" borderId="0" xfId="0" applyFont="1" applyFill="1"/>
    <xf numFmtId="40" fontId="30" fillId="0" borderId="0" xfId="0" applyNumberFormat="1" applyFont="1" applyFill="1" applyAlignment="1">
      <alignment horizontal="center" vertical="center"/>
    </xf>
    <xf numFmtId="40" fontId="30" fillId="8" borderId="0" xfId="0" applyNumberFormat="1" applyFont="1" applyFill="1" applyBorder="1" applyAlignment="1"/>
    <xf numFmtId="40" fontId="4" fillId="8" borderId="4" xfId="0" applyNumberFormat="1" applyFont="1" applyFill="1" applyBorder="1" applyAlignment="1">
      <alignment horizontal="center" vertical="center" wrapText="1"/>
    </xf>
    <xf numFmtId="40" fontId="4" fillId="3" borderId="4" xfId="0" applyNumberFormat="1" applyFont="1" applyFill="1" applyBorder="1" applyAlignment="1">
      <alignment horizontal="center" vertical="center"/>
    </xf>
    <xf numFmtId="40" fontId="4" fillId="14" borderId="53" xfId="0" applyNumberFormat="1" applyFont="1" applyFill="1" applyBorder="1" applyAlignment="1">
      <alignment horizontal="center"/>
    </xf>
    <xf numFmtId="40" fontId="0" fillId="0" borderId="4" xfId="0" applyNumberFormat="1" applyBorder="1" applyAlignment="1">
      <alignment horizontal="left"/>
    </xf>
    <xf numFmtId="2" fontId="4" fillId="3" borderId="4" xfId="0" applyNumberFormat="1" applyFont="1" applyFill="1" applyBorder="1" applyAlignment="1">
      <alignment horizontal="center" vertical="center"/>
    </xf>
    <xf numFmtId="0" fontId="4" fillId="3" borderId="4" xfId="0" applyFont="1" applyFill="1" applyBorder="1" applyAlignment="1">
      <alignment horizontal="left" vertical="center"/>
    </xf>
    <xf numFmtId="40" fontId="4" fillId="8" borderId="0" xfId="0" applyNumberFormat="1" applyFont="1" applyFill="1" applyBorder="1" applyAlignment="1">
      <alignment horizontal="left" wrapText="1"/>
    </xf>
    <xf numFmtId="40" fontId="4" fillId="8" borderId="4" xfId="0" applyNumberFormat="1" applyFont="1" applyFill="1" applyBorder="1" applyAlignment="1">
      <alignment horizontal="center" wrapText="1"/>
    </xf>
    <xf numFmtId="40" fontId="4" fillId="8" borderId="4" xfId="0" applyNumberFormat="1" applyFont="1" applyFill="1" applyBorder="1" applyAlignment="1">
      <alignment horizontal="left" wrapText="1"/>
    </xf>
    <xf numFmtId="40" fontId="4" fillId="8" borderId="4" xfId="0" applyNumberFormat="1" applyFont="1" applyFill="1" applyBorder="1" applyAlignment="1">
      <alignment horizontal="left" vertical="center" wrapText="1"/>
    </xf>
    <xf numFmtId="40" fontId="4" fillId="8" borderId="0" xfId="0" applyNumberFormat="1" applyFont="1" applyFill="1" applyBorder="1" applyAlignment="1">
      <alignment horizontal="center" vertical="center" wrapText="1"/>
    </xf>
    <xf numFmtId="40" fontId="5" fillId="8" borderId="4" xfId="0" applyNumberFormat="1"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5" fillId="16" borderId="3" xfId="0" applyFont="1" applyFill="1" applyBorder="1" applyAlignment="1">
      <alignment horizontal="left" vertical="center" wrapText="1"/>
    </xf>
    <xf numFmtId="0" fontId="5" fillId="16" borderId="2" xfId="0" applyFont="1" applyFill="1" applyBorder="1" applyAlignment="1">
      <alignment horizontal="left" vertical="center" wrapText="1"/>
    </xf>
    <xf numFmtId="40" fontId="4" fillId="3" borderId="4" xfId="0" applyNumberFormat="1" applyFont="1" applyFill="1" applyBorder="1" applyAlignment="1">
      <alignment vertical="center" wrapText="1"/>
    </xf>
    <xf numFmtId="40" fontId="4" fillId="8" borderId="0" xfId="0" applyNumberFormat="1" applyFont="1" applyFill="1" applyAlignment="1">
      <alignment horizontal="center"/>
    </xf>
    <xf numFmtId="40" fontId="4" fillId="8" borderId="4" xfId="0" applyNumberFormat="1" applyFont="1" applyFill="1" applyBorder="1" applyAlignment="1">
      <alignment horizontal="center" vertical="center"/>
    </xf>
    <xf numFmtId="40" fontId="5" fillId="8" borderId="0" xfId="0" applyNumberFormat="1" applyFont="1" applyFill="1" applyBorder="1" applyAlignment="1">
      <alignment horizontal="left" wrapText="1"/>
    </xf>
    <xf numFmtId="40" fontId="5" fillId="7" borderId="0" xfId="0" applyNumberFormat="1" applyFont="1" applyFill="1" applyAlignment="1">
      <alignment horizontal="left"/>
    </xf>
    <xf numFmtId="40" fontId="5" fillId="7" borderId="0" xfId="0" applyNumberFormat="1" applyFont="1" applyFill="1" applyAlignment="1">
      <alignment horizontal="left" vertical="center" wrapText="1"/>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5" fillId="8" borderId="0" xfId="0" applyNumberFormat="1" applyFont="1" applyFill="1" applyAlignment="1">
      <alignment horizontal="left"/>
    </xf>
    <xf numFmtId="40" fontId="16" fillId="3" borderId="0" xfId="3" applyNumberFormat="1" applyFont="1" applyFill="1" applyAlignment="1">
      <alignment horizontal="left" wrapText="1"/>
    </xf>
    <xf numFmtId="0" fontId="4" fillId="3" borderId="0" xfId="0" applyFont="1" applyFill="1" applyAlignment="1">
      <alignment horizontal="center" vertical="center"/>
    </xf>
    <xf numFmtId="4" fontId="4" fillId="0" borderId="4" xfId="0" applyNumberFormat="1" applyFont="1" applyFill="1" applyBorder="1" applyAlignment="1">
      <alignment vertical="center" wrapText="1"/>
    </xf>
    <xf numFmtId="0" fontId="5" fillId="0" borderId="0" xfId="5" applyFont="1" applyAlignment="1">
      <alignment horizontal="center"/>
    </xf>
    <xf numFmtId="0" fontId="4" fillId="0" borderId="4" xfId="0" applyFont="1" applyBorder="1" applyAlignment="1">
      <alignment horizontal="center" vertical="center"/>
    </xf>
    <xf numFmtId="40" fontId="5" fillId="7" borderId="0" xfId="0" applyNumberFormat="1" applyFont="1" applyFill="1" applyAlignment="1">
      <alignment horizontal="left" wrapText="1"/>
    </xf>
    <xf numFmtId="40" fontId="5" fillId="8" borderId="0" xfId="0" applyNumberFormat="1" applyFont="1" applyFill="1" applyAlignment="1">
      <alignment horizontal="left" wrapText="1"/>
    </xf>
    <xf numFmtId="44" fontId="19" fillId="0" borderId="0" xfId="16" applyNumberFormat="1" applyFont="1" applyFill="1" applyBorder="1" applyAlignment="1">
      <alignment horizontal="center" vertical="center" wrapText="1"/>
    </xf>
    <xf numFmtId="44" fontId="19" fillId="0" borderId="0" xfId="0" applyNumberFormat="1" applyFont="1" applyFill="1" applyBorder="1" applyAlignment="1" applyProtection="1">
      <alignment horizontal="center" vertical="center"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2" fontId="4" fillId="0" borderId="0" xfId="5" applyNumberFormat="1" applyFont="1" applyFill="1" applyBorder="1" applyAlignment="1">
      <alignment horizontal="center" vertical="center"/>
    </xf>
    <xf numFmtId="4" fontId="4" fillId="0" borderId="0" xfId="12" applyNumberFormat="1" applyFont="1" applyFill="1" applyBorder="1" applyAlignment="1">
      <alignment horizontal="center" vertical="center" wrapText="1"/>
    </xf>
    <xf numFmtId="4" fontId="4" fillId="0" borderId="0" xfId="12" applyNumberFormat="1" applyFont="1" applyFill="1" applyBorder="1" applyAlignment="1">
      <alignment horizontal="left" vertical="center" wrapText="1"/>
    </xf>
    <xf numFmtId="0" fontId="4" fillId="0" borderId="0" xfId="5"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44" fontId="4" fillId="0" borderId="0" xfId="22" applyFont="1" applyFill="1" applyBorder="1" applyAlignment="1">
      <alignment horizontal="center" vertical="center"/>
    </xf>
    <xf numFmtId="0" fontId="0" fillId="0" borderId="0" xfId="0" applyFill="1" applyBorder="1"/>
    <xf numFmtId="0" fontId="7" fillId="0" borderId="0" xfId="12" applyFont="1" applyFill="1" applyBorder="1" applyAlignment="1">
      <alignmen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5" applyFont="1" applyFill="1" applyBorder="1" applyAlignment="1"/>
    <xf numFmtId="0" fontId="5" fillId="0" borderId="0" xfId="5" applyFont="1" applyFill="1" applyBorder="1" applyAlignment="1">
      <alignment horizontal="right"/>
    </xf>
    <xf numFmtId="0" fontId="5" fillId="0" borderId="0" xfId="5" applyFont="1" applyFill="1" applyBorder="1" applyAlignment="1">
      <alignment horizontal="center" vertical="center"/>
    </xf>
    <xf numFmtId="0" fontId="5" fillId="0" borderId="0" xfId="5" applyFont="1" applyFill="1" applyBorder="1" applyAlignment="1">
      <alignment horizontal="center"/>
    </xf>
    <xf numFmtId="8" fontId="5" fillId="0" borderId="0" xfId="5" applyNumberFormat="1" applyFont="1" applyFill="1" applyBorder="1" applyAlignment="1">
      <alignment horizontal="center"/>
    </xf>
    <xf numFmtId="171" fontId="19" fillId="0" borderId="0" xfId="16" applyNumberFormat="1" applyFont="1" applyFill="1" applyBorder="1" applyAlignment="1" applyProtection="1">
      <alignment horizontal="center" vertical="center" wrapText="1"/>
    </xf>
    <xf numFmtId="2" fontId="19" fillId="0" borderId="0" xfId="16" applyNumberFormat="1" applyFont="1" applyFill="1" applyBorder="1" applyAlignment="1" applyProtection="1">
      <alignment horizontal="center" vertical="center" wrapText="1"/>
    </xf>
    <xf numFmtId="44" fontId="5" fillId="0" borderId="0" xfId="5" applyNumberFormat="1" applyFont="1" applyFill="1" applyBorder="1" applyAlignment="1">
      <alignment horizontal="right"/>
    </xf>
    <xf numFmtId="0" fontId="0" fillId="0" borderId="0" xfId="0" applyFill="1" applyBorder="1" applyAlignment="1">
      <alignment vertical="center"/>
    </xf>
    <xf numFmtId="0" fontId="4" fillId="0" borderId="0" xfId="5" applyFont="1" applyFill="1" applyBorder="1" applyAlignment="1">
      <alignment horizontal="center" vertical="center"/>
    </xf>
    <xf numFmtId="8" fontId="5" fillId="0" borderId="0" xfId="5" applyNumberFormat="1" applyFont="1" applyFill="1" applyBorder="1" applyAlignment="1">
      <alignment horizontal="center" vertical="center"/>
    </xf>
    <xf numFmtId="8" fontId="5" fillId="0" borderId="0" xfId="5" applyNumberFormat="1" applyFont="1" applyFill="1" applyBorder="1" applyAlignment="1">
      <alignment horizontal="right"/>
    </xf>
    <xf numFmtId="0" fontId="5" fillId="0" borderId="0" xfId="5" applyFont="1" applyFill="1" applyBorder="1" applyAlignment="1">
      <alignment vertical="center"/>
    </xf>
    <xf numFmtId="0" fontId="5" fillId="0" borderId="0" xfId="5" applyFont="1" applyFill="1" applyBorder="1"/>
    <xf numFmtId="0" fontId="4" fillId="0" borderId="0" xfId="0" applyFont="1" applyFill="1" applyBorder="1"/>
    <xf numFmtId="4" fontId="4" fillId="0" borderId="0" xfId="0" applyNumberFormat="1" applyFont="1" applyFill="1" applyBorder="1" applyAlignment="1">
      <alignment horizontal="center" vertical="center" wrapText="1"/>
    </xf>
    <xf numFmtId="0" fontId="4" fillId="0" borderId="0" xfId="5" applyFont="1" applyFill="1" applyBorder="1" applyAlignment="1">
      <alignment vertical="center"/>
    </xf>
    <xf numFmtId="173" fontId="5" fillId="0" borderId="0" xfId="5" applyNumberFormat="1" applyFont="1" applyFill="1" applyBorder="1" applyAlignment="1">
      <alignment horizontal="center" vertical="center"/>
    </xf>
    <xf numFmtId="173" fontId="5" fillId="0" borderId="0" xfId="5" applyNumberFormat="1" applyFont="1" applyFill="1" applyBorder="1" applyAlignment="1">
      <alignment horizontal="center"/>
    </xf>
    <xf numFmtId="0" fontId="4" fillId="0" borderId="0" xfId="0" applyFont="1" applyFill="1" applyBorder="1" applyAlignment="1">
      <alignment vertical="center"/>
    </xf>
    <xf numFmtId="173" fontId="4" fillId="0" borderId="0" xfId="5" applyNumberFormat="1" applyFont="1" applyFill="1" applyBorder="1" applyAlignment="1">
      <alignment horizontal="right" vertical="center"/>
    </xf>
    <xf numFmtId="173" fontId="5" fillId="0" borderId="0" xfId="5" applyNumberFormat="1" applyFont="1" applyFill="1" applyBorder="1" applyAlignment="1">
      <alignment horizontal="right"/>
    </xf>
    <xf numFmtId="0" fontId="5" fillId="0" borderId="0" xfId="5" applyFont="1" applyFill="1" applyBorder="1" applyAlignment="1">
      <alignment horizontal="center" vertical="center" wrapText="1"/>
    </xf>
    <xf numFmtId="8" fontId="5" fillId="0" borderId="0" xfId="21" applyNumberFormat="1" applyFont="1" applyFill="1" applyBorder="1" applyAlignment="1">
      <alignment horizontal="center" vertical="center"/>
    </xf>
    <xf numFmtId="172" fontId="4" fillId="0" borderId="0" xfId="5" applyNumberFormat="1" applyFont="1" applyFill="1" applyBorder="1" applyAlignment="1">
      <alignment horizontal="center" vertical="center"/>
    </xf>
    <xf numFmtId="8" fontId="4" fillId="0" borderId="0" xfId="5" applyNumberFormat="1" applyFont="1" applyFill="1" applyBorder="1" applyAlignment="1">
      <alignment horizontal="right" vertical="center"/>
    </xf>
    <xf numFmtId="0" fontId="19" fillId="0" borderId="0" xfId="21" applyFont="1" applyFill="1" applyBorder="1" applyAlignment="1">
      <alignment horizontal="center" vertical="center" wrapText="1"/>
    </xf>
    <xf numFmtId="4" fontId="19" fillId="0" borderId="0" xfId="21" applyNumberFormat="1" applyFont="1" applyFill="1" applyBorder="1" applyAlignment="1">
      <alignment horizontal="center" vertical="center" wrapText="1"/>
    </xf>
    <xf numFmtId="8" fontId="19" fillId="0" borderId="0" xfId="21" applyNumberFormat="1" applyFont="1" applyFill="1" applyBorder="1" applyAlignment="1">
      <alignment horizontal="right" vertical="center" wrapText="1"/>
    </xf>
    <xf numFmtId="0" fontId="5" fillId="0" borderId="0" xfId="21" applyFont="1" applyFill="1" applyBorder="1" applyAlignment="1">
      <alignment horizontal="center" vertical="center"/>
    </xf>
    <xf numFmtId="173" fontId="5" fillId="0" borderId="0" xfId="21" applyNumberFormat="1" applyFont="1" applyFill="1" applyBorder="1" applyAlignment="1">
      <alignment horizontal="center" vertical="center"/>
    </xf>
    <xf numFmtId="173" fontId="5" fillId="0" borderId="0" xfId="21" applyNumberFormat="1" applyFont="1" applyFill="1" applyBorder="1" applyAlignment="1">
      <alignment horizontal="right" vertical="center"/>
    </xf>
    <xf numFmtId="0" fontId="5" fillId="0" borderId="0" xfId="0" applyFont="1" applyFill="1" applyBorder="1" applyAlignment="1">
      <alignment vertical="center"/>
    </xf>
    <xf numFmtId="44" fontId="5" fillId="0" borderId="0" xfId="0" applyNumberFormat="1" applyFont="1" applyFill="1" applyBorder="1" applyAlignment="1">
      <alignment vertical="center"/>
    </xf>
    <xf numFmtId="0" fontId="4" fillId="0" borderId="0" xfId="0" applyFont="1" applyFill="1" applyBorder="1" applyAlignment="1">
      <alignment vertical="center" wrapText="1"/>
    </xf>
    <xf numFmtId="0" fontId="5" fillId="0" borderId="0" xfId="21" applyFont="1" applyFill="1" applyBorder="1" applyAlignment="1">
      <alignment vertical="center"/>
    </xf>
    <xf numFmtId="4" fontId="4" fillId="0" borderId="0" xfId="12" applyNumberFormat="1" applyFont="1" applyFill="1" applyBorder="1" applyAlignment="1">
      <alignment vertical="center"/>
    </xf>
    <xf numFmtId="4" fontId="4" fillId="0" borderId="0" xfId="0" applyNumberFormat="1" applyFont="1" applyFill="1" applyBorder="1" applyAlignment="1">
      <alignment vertical="center" wrapText="1"/>
    </xf>
    <xf numFmtId="4" fontId="7" fillId="0" borderId="0" xfId="12" applyNumberFormat="1" applyFont="1" applyFill="1" applyBorder="1" applyAlignment="1">
      <alignment vertical="center" wrapText="1"/>
    </xf>
    <xf numFmtId="0" fontId="5" fillId="0" borderId="110" xfId="12" applyFont="1" applyBorder="1" applyAlignment="1">
      <alignment horizontal="center" vertical="center" wrapText="1"/>
    </xf>
    <xf numFmtId="0" fontId="5" fillId="0" borderId="0" xfId="12" applyFont="1" applyAlignment="1">
      <alignment horizontal="center" vertical="center" wrapText="1"/>
    </xf>
    <xf numFmtId="0" fontId="7" fillId="0" borderId="0" xfId="12" applyFont="1" applyAlignment="1">
      <alignment vertical="center"/>
    </xf>
    <xf numFmtId="0" fontId="5" fillId="4" borderId="4" xfId="12" applyFont="1" applyFill="1" applyBorder="1" applyAlignment="1">
      <alignment vertical="center" wrapText="1"/>
    </xf>
    <xf numFmtId="4" fontId="5" fillId="4" borderId="4" xfId="12" applyNumberFormat="1" applyFont="1" applyFill="1" applyBorder="1" applyAlignment="1">
      <alignment vertical="center" wrapText="1"/>
    </xf>
    <xf numFmtId="0" fontId="4" fillId="0" borderId="0" xfId="0" applyFont="1" applyAlignment="1">
      <alignment horizontal="center" vertical="center"/>
    </xf>
    <xf numFmtId="44" fontId="5" fillId="0" borderId="0" xfId="22" applyFont="1" applyFill="1" applyBorder="1" applyAlignment="1">
      <alignment horizontal="center"/>
    </xf>
    <xf numFmtId="173" fontId="5" fillId="0" borderId="0" xfId="5" applyNumberFormat="1" applyFont="1" applyAlignment="1">
      <alignment horizontal="center" vertical="center"/>
    </xf>
    <xf numFmtId="173" fontId="5" fillId="0" borderId="0" xfId="5" applyNumberFormat="1" applyFont="1" applyAlignment="1">
      <alignment horizontal="right"/>
    </xf>
    <xf numFmtId="169" fontId="7" fillId="0" borderId="0" xfId="0" applyNumberFormat="1" applyFont="1" applyAlignment="1">
      <alignment vertical="center"/>
    </xf>
    <xf numFmtId="0" fontId="19" fillId="0" borderId="0" xfId="0" applyFont="1"/>
    <xf numFmtId="0" fontId="7" fillId="0" borderId="4" xfId="23" applyFont="1" applyBorder="1" applyAlignment="1">
      <alignment vertical="center" wrapText="1"/>
    </xf>
    <xf numFmtId="0" fontId="7" fillId="0" borderId="4" xfId="23" applyFont="1" applyBorder="1" applyAlignment="1">
      <alignment horizontal="center" vertical="center"/>
    </xf>
    <xf numFmtId="168" fontId="19" fillId="0" borderId="4" xfId="23" applyNumberFormat="1" applyFont="1" applyBorder="1" applyAlignment="1">
      <alignment horizontal="center" vertical="center" wrapText="1"/>
    </xf>
    <xf numFmtId="2" fontId="19" fillId="0" borderId="4" xfId="23" applyNumberFormat="1" applyFont="1" applyBorder="1" applyAlignment="1">
      <alignment horizontal="center" vertical="center" wrapText="1"/>
    </xf>
    <xf numFmtId="168" fontId="4" fillId="0" borderId="0" xfId="0" applyNumberFormat="1" applyFont="1" applyAlignment="1">
      <alignment horizontal="center" vertical="center"/>
    </xf>
    <xf numFmtId="168" fontId="7" fillId="0" borderId="0" xfId="0" applyNumberFormat="1" applyFont="1" applyAlignment="1">
      <alignment horizontal="center" vertical="center"/>
    </xf>
    <xf numFmtId="0" fontId="4" fillId="3" borderId="0" xfId="12" applyFill="1" applyAlignment="1">
      <alignment vertical="center"/>
    </xf>
    <xf numFmtId="0" fontId="4" fillId="0" borderId="0" xfId="12" applyAlignment="1">
      <alignment vertical="center"/>
    </xf>
    <xf numFmtId="40" fontId="4" fillId="7" borderId="0" xfId="12" applyNumberFormat="1" applyFont="1" applyFill="1" applyAlignment="1">
      <alignment horizontal="center" vertical="center" wrapText="1"/>
    </xf>
    <xf numFmtId="40" fontId="36" fillId="3" borderId="0" xfId="3" applyNumberFormat="1" applyFont="1" applyFill="1" applyAlignment="1">
      <alignment horizontal="left" wrapText="1"/>
    </xf>
    <xf numFmtId="0" fontId="4" fillId="3" borderId="0" xfId="12" applyFont="1" applyFill="1"/>
    <xf numFmtId="40" fontId="36" fillId="3" borderId="0" xfId="3" applyNumberFormat="1" applyFont="1" applyFill="1" applyAlignment="1">
      <alignment horizontal="left" vertical="center" wrapText="1"/>
    </xf>
    <xf numFmtId="40" fontId="36" fillId="3" borderId="0" xfId="3" applyNumberFormat="1" applyFont="1" applyFill="1" applyAlignment="1">
      <alignment horizontal="center" wrapText="1"/>
    </xf>
    <xf numFmtId="40" fontId="36" fillId="3" borderId="0" xfId="3" applyNumberFormat="1" applyFont="1" applyFill="1" applyAlignment="1">
      <alignment horizontal="center" vertical="center" wrapText="1"/>
    </xf>
    <xf numFmtId="40" fontId="16" fillId="22" borderId="13" xfId="3" applyNumberFormat="1" applyFont="1" applyFill="1" applyBorder="1" applyAlignment="1">
      <alignment horizontal="left" vertical="center" wrapText="1"/>
    </xf>
    <xf numFmtId="40" fontId="16" fillId="22" borderId="14" xfId="3" applyNumberFormat="1" applyFont="1" applyFill="1" applyBorder="1" applyAlignment="1">
      <alignment horizontal="center" vertical="center" wrapText="1"/>
    </xf>
    <xf numFmtId="40" fontId="16" fillId="22" borderId="15" xfId="3" applyNumberFormat="1" applyFont="1" applyFill="1" applyBorder="1" applyAlignment="1">
      <alignment horizontal="left" vertical="center" wrapText="1"/>
    </xf>
    <xf numFmtId="40" fontId="16" fillId="3" borderId="4" xfId="3" applyNumberFormat="1" applyFont="1" applyFill="1" applyBorder="1" applyAlignment="1">
      <alignment horizontal="left" vertical="center" wrapText="1"/>
    </xf>
    <xf numFmtId="40" fontId="36" fillId="3" borderId="4" xfId="3" applyNumberFormat="1" applyFont="1" applyFill="1" applyBorder="1" applyAlignment="1">
      <alignment horizontal="left" wrapText="1"/>
    </xf>
    <xf numFmtId="40" fontId="16" fillId="3" borderId="4" xfId="3" applyNumberFormat="1" applyFont="1" applyFill="1" applyBorder="1" applyAlignment="1">
      <alignment horizontal="center" vertical="center" wrapText="1"/>
    </xf>
    <xf numFmtId="40" fontId="36" fillId="3" borderId="4" xfId="3" applyNumberFormat="1" applyFont="1" applyFill="1" applyBorder="1" applyAlignment="1">
      <alignment horizontal="left" vertical="center" wrapText="1"/>
    </xf>
    <xf numFmtId="0" fontId="4" fillId="0" borderId="0" xfId="12" applyFont="1" applyAlignment="1">
      <alignment vertical="center"/>
    </xf>
    <xf numFmtId="0" fontId="4" fillId="3" borderId="0" xfId="12" applyFont="1" applyFill="1" applyAlignment="1">
      <alignment vertical="center"/>
    </xf>
    <xf numFmtId="40" fontId="36" fillId="3" borderId="4" xfId="3" applyNumberFormat="1" applyFont="1" applyFill="1" applyBorder="1" applyAlignment="1">
      <alignment horizontal="center" vertical="center" wrapText="1"/>
    </xf>
    <xf numFmtId="40" fontId="36" fillId="3" borderId="4" xfId="3" applyNumberFormat="1" applyFont="1" applyFill="1" applyBorder="1" applyAlignment="1">
      <alignment horizontal="center" wrapText="1"/>
    </xf>
    <xf numFmtId="40" fontId="5" fillId="8" borderId="0" xfId="12" applyNumberFormat="1" applyFont="1" applyFill="1" applyBorder="1" applyAlignment="1">
      <alignment vertical="center" wrapText="1"/>
    </xf>
    <xf numFmtId="40" fontId="36" fillId="0" borderId="0" xfId="3" applyNumberFormat="1" applyFont="1" applyFill="1" applyAlignment="1">
      <alignment horizontal="left" wrapText="1"/>
    </xf>
    <xf numFmtId="0" fontId="4" fillId="0" borderId="0" xfId="12" applyFont="1" applyAlignment="1">
      <alignment horizontal="center" vertical="center"/>
    </xf>
    <xf numFmtId="0" fontId="4" fillId="3" borderId="0" xfId="12" applyFont="1" applyFill="1" applyAlignment="1">
      <alignment horizontal="center" vertical="center"/>
    </xf>
    <xf numFmtId="40" fontId="4" fillId="7" borderId="0" xfId="12" quotePrefix="1" applyNumberFormat="1" applyFont="1" applyFill="1" applyAlignment="1">
      <alignment horizontal="center" vertical="center" wrapText="1"/>
    </xf>
    <xf numFmtId="0" fontId="4" fillId="3" borderId="0" xfId="12" applyFont="1" applyFill="1" applyAlignment="1">
      <alignment horizontal="center"/>
    </xf>
    <xf numFmtId="40" fontId="36" fillId="0" borderId="0" xfId="3" applyNumberFormat="1" applyFont="1" applyFill="1" applyAlignment="1">
      <alignment horizontal="left" vertical="center" wrapText="1"/>
    </xf>
    <xf numFmtId="40" fontId="4" fillId="0" borderId="0" xfId="12" applyNumberFormat="1" applyFont="1" applyFill="1" applyAlignment="1">
      <alignment horizontal="center" vertical="center" wrapText="1"/>
    </xf>
    <xf numFmtId="40" fontId="36" fillId="0" borderId="4" xfId="3" applyNumberFormat="1" applyFont="1" applyFill="1" applyBorder="1" applyAlignment="1">
      <alignment horizontal="left" wrapText="1"/>
    </xf>
    <xf numFmtId="40" fontId="36" fillId="0" borderId="4" xfId="3" applyNumberFormat="1" applyFont="1" applyFill="1" applyBorder="1" applyAlignment="1">
      <alignment horizontal="center" wrapText="1"/>
    </xf>
    <xf numFmtId="0" fontId="4" fillId="0" borderId="0" xfId="12" applyFont="1" applyFill="1"/>
    <xf numFmtId="40" fontId="16" fillId="3" borderId="0" xfId="3" applyNumberFormat="1" applyFont="1" applyFill="1" applyAlignment="1">
      <alignment horizontal="center" wrapText="1"/>
    </xf>
    <xf numFmtId="0" fontId="5" fillId="3" borderId="0" xfId="12" applyFont="1" applyFill="1" applyAlignment="1">
      <alignment horizontal="center"/>
    </xf>
    <xf numFmtId="40" fontId="16" fillId="3" borderId="4" xfId="3" applyNumberFormat="1" applyFont="1" applyFill="1" applyBorder="1" applyAlignment="1">
      <alignment horizontal="center" wrapText="1"/>
    </xf>
    <xf numFmtId="0" fontId="5" fillId="16" borderId="9"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0" xfId="0" applyFont="1" applyFill="1" applyBorder="1" applyAlignment="1">
      <alignment horizontal="left" vertical="center" wrapText="1"/>
    </xf>
    <xf numFmtId="0" fontId="5" fillId="16" borderId="11" xfId="0" applyFont="1" applyFill="1" applyBorder="1" applyAlignment="1">
      <alignment horizontal="left" vertical="center" wrapText="1"/>
    </xf>
    <xf numFmtId="168" fontId="5" fillId="0" borderId="20" xfId="0" applyNumberFormat="1" applyFont="1" applyFill="1" applyBorder="1" applyAlignment="1">
      <alignment horizontal="right" vertical="center" wrapText="1"/>
    </xf>
    <xf numFmtId="38" fontId="4" fillId="7" borderId="0" xfId="0" applyNumberFormat="1" applyFont="1" applyFill="1" applyBorder="1" applyAlignment="1">
      <alignment horizontal="center" vertical="center" wrapText="1"/>
    </xf>
    <xf numFmtId="0" fontId="4" fillId="0" borderId="0" xfId="0" applyFont="1" applyAlignment="1"/>
    <xf numFmtId="38" fontId="5" fillId="7" borderId="0" xfId="0" applyNumberFormat="1" applyFont="1" applyFill="1" applyBorder="1" applyAlignment="1">
      <alignment horizontal="center" wrapText="1"/>
    </xf>
    <xf numFmtId="40" fontId="5" fillId="7" borderId="0" xfId="0" applyNumberFormat="1" applyFont="1" applyFill="1" applyAlignment="1">
      <alignment horizontal="center" wrapText="1"/>
    </xf>
    <xf numFmtId="0" fontId="5" fillId="7" borderId="0" xfId="0" applyFont="1" applyFill="1" applyAlignment="1">
      <alignment horizontal="center"/>
    </xf>
    <xf numFmtId="40" fontId="5" fillId="7" borderId="4" xfId="0" applyNumberFormat="1" applyFont="1" applyFill="1" applyBorder="1" applyAlignment="1">
      <alignment horizontal="center" wrapText="1"/>
    </xf>
    <xf numFmtId="40" fontId="4" fillId="7" borderId="4" xfId="0" applyNumberFormat="1" applyFont="1" applyFill="1" applyBorder="1" applyAlignment="1">
      <alignment horizontal="left" vertical="center" wrapText="1"/>
    </xf>
    <xf numFmtId="40" fontId="4" fillId="11" borderId="13" xfId="0" applyNumberFormat="1" applyFont="1" applyFill="1" applyBorder="1" applyAlignment="1">
      <alignment horizontal="left" vertical="center" wrapText="1"/>
    </xf>
    <xf numFmtId="40" fontId="4" fillId="11" borderId="15" xfId="0" applyNumberFormat="1" applyFont="1" applyFill="1" applyBorder="1" applyAlignment="1">
      <alignment horizontal="center" vertical="center" wrapText="1"/>
    </xf>
    <xf numFmtId="40" fontId="4" fillId="11" borderId="14" xfId="0" applyNumberFormat="1" applyFont="1" applyFill="1" applyBorder="1" applyAlignment="1">
      <alignment horizontal="center" vertical="center" wrapText="1"/>
    </xf>
    <xf numFmtId="40" fontId="0" fillId="3" borderId="0" xfId="0" applyNumberFormat="1" applyFill="1" applyBorder="1" applyAlignment="1">
      <alignment horizontal="center" vertical="center"/>
    </xf>
    <xf numFmtId="40" fontId="4" fillId="3" borderId="0" xfId="0" applyNumberFormat="1" applyFont="1" applyFill="1" applyBorder="1" applyAlignment="1">
      <alignment horizontal="center" vertical="center"/>
    </xf>
    <xf numFmtId="40" fontId="0" fillId="8" borderId="0" xfId="0" applyNumberFormat="1" applyFill="1" applyAlignment="1">
      <alignment horizontal="center" vertical="center"/>
    </xf>
    <xf numFmtId="0" fontId="0" fillId="7" borderId="0" xfId="0" applyFill="1" applyBorder="1" applyAlignment="1">
      <alignment vertical="center"/>
    </xf>
    <xf numFmtId="0" fontId="4" fillId="0" borderId="12" xfId="0" applyFont="1" applyFill="1" applyBorder="1" applyAlignment="1">
      <alignment vertical="center" wrapText="1"/>
    </xf>
    <xf numFmtId="40" fontId="4" fillId="14" borderId="63" xfId="0" applyNumberFormat="1" applyFont="1" applyFill="1" applyBorder="1" applyAlignment="1">
      <alignment horizontal="center" vertical="center"/>
    </xf>
    <xf numFmtId="40" fontId="4" fillId="14" borderId="53" xfId="0" applyNumberFormat="1" applyFont="1" applyFill="1" applyBorder="1" applyAlignment="1">
      <alignment horizontal="center" vertical="center"/>
    </xf>
    <xf numFmtId="40" fontId="4" fillId="14" borderId="64" xfId="0" applyNumberFormat="1" applyFont="1" applyFill="1" applyBorder="1" applyAlignment="1">
      <alignment horizontal="center" vertical="center"/>
    </xf>
    <xf numFmtId="40" fontId="4" fillId="8" borderId="0" xfId="0" applyNumberFormat="1" applyFont="1" applyFill="1" applyAlignment="1">
      <alignment horizontal="left" wrapText="1"/>
    </xf>
    <xf numFmtId="40" fontId="4" fillId="8" borderId="0" xfId="0" applyNumberFormat="1" applyFont="1" applyFill="1" applyAlignment="1">
      <alignment horizontal="center" vertical="center"/>
    </xf>
    <xf numFmtId="40" fontId="4" fillId="8" borderId="0" xfId="0" applyNumberFormat="1" applyFont="1" applyFill="1" applyAlignment="1">
      <alignment horizontal="left" vertical="center" wrapText="1"/>
    </xf>
    <xf numFmtId="0" fontId="4" fillId="0" borderId="20" xfId="0" applyFont="1" applyBorder="1" applyAlignment="1">
      <alignment horizontal="left" vertical="center" wrapText="1"/>
    </xf>
    <xf numFmtId="40" fontId="4" fillId="8" borderId="0" xfId="0" applyNumberFormat="1" applyFont="1" applyFill="1" applyAlignment="1">
      <alignment horizontal="left" vertical="center"/>
    </xf>
    <xf numFmtId="0" fontId="5" fillId="0" borderId="20" xfId="0" applyFont="1" applyFill="1" applyBorder="1" applyAlignment="1">
      <alignment vertical="center" wrapText="1"/>
    </xf>
    <xf numFmtId="0" fontId="5" fillId="0" borderId="66" xfId="0" applyFont="1" applyFill="1" applyBorder="1" applyAlignment="1">
      <alignment vertical="center" wrapText="1"/>
    </xf>
    <xf numFmtId="168" fontId="4" fillId="0" borderId="18" xfId="1" applyNumberFormat="1" applyFont="1" applyFill="1" applyBorder="1" applyAlignment="1">
      <alignment horizontal="right" vertical="center" wrapText="1"/>
    </xf>
    <xf numFmtId="40" fontId="4" fillId="0" borderId="4" xfId="0" applyNumberFormat="1" applyFont="1" applyFill="1" applyBorder="1" applyAlignment="1">
      <alignment horizontal="center" vertical="center" wrapText="1"/>
    </xf>
    <xf numFmtId="40" fontId="30" fillId="8" borderId="0" xfId="0" applyNumberFormat="1" applyFont="1" applyFill="1" applyAlignment="1">
      <alignment horizontal="center"/>
    </xf>
    <xf numFmtId="40" fontId="30" fillId="8" borderId="0" xfId="0" applyNumberFormat="1" applyFont="1" applyFill="1" applyAlignment="1">
      <alignment horizontal="left" wrapText="1"/>
    </xf>
    <xf numFmtId="40" fontId="4" fillId="23" borderId="4" xfId="0" applyNumberFormat="1" applyFont="1" applyFill="1" applyBorder="1" applyAlignment="1">
      <alignment horizontal="center" vertical="center" wrapText="1"/>
    </xf>
    <xf numFmtId="40" fontId="4" fillId="8" borderId="0" xfId="0" applyNumberFormat="1" applyFont="1" applyFill="1" applyBorder="1" applyAlignment="1">
      <alignment horizontal="center" vertical="center"/>
    </xf>
    <xf numFmtId="176" fontId="4" fillId="8" borderId="4" xfId="0" applyNumberFormat="1" applyFont="1" applyFill="1" applyBorder="1" applyAlignment="1">
      <alignment horizontal="center" vertical="center" wrapText="1"/>
    </xf>
    <xf numFmtId="40" fontId="4" fillId="8" borderId="0" xfId="0" applyNumberFormat="1" applyFont="1" applyFill="1" applyBorder="1" applyAlignment="1">
      <alignment horizontal="left" vertical="center" wrapText="1"/>
    </xf>
    <xf numFmtId="0" fontId="4" fillId="0" borderId="0" xfId="0" applyFont="1" applyBorder="1" applyAlignment="1">
      <alignment vertical="center"/>
    </xf>
    <xf numFmtId="40" fontId="37" fillId="0" borderId="4" xfId="0" applyNumberFormat="1" applyFont="1" applyFill="1" applyBorder="1" applyAlignment="1">
      <alignment horizontal="center" vertical="center" wrapText="1"/>
    </xf>
    <xf numFmtId="0" fontId="27" fillId="0" borderId="0" xfId="0" applyFont="1"/>
    <xf numFmtId="2" fontId="4" fillId="0" borderId="4" xfId="0" applyNumberFormat="1" applyFont="1" applyBorder="1" applyAlignment="1">
      <alignment horizontal="center" vertical="center" wrapText="1"/>
    </xf>
    <xf numFmtId="0" fontId="4" fillId="0" borderId="0" xfId="0" applyFont="1" applyBorder="1" applyAlignment="1">
      <alignment vertical="center" wrapText="1"/>
    </xf>
    <xf numFmtId="40" fontId="4" fillId="0" borderId="13" xfId="0" applyNumberFormat="1" applyFont="1" applyFill="1" applyBorder="1" applyAlignment="1">
      <alignment horizontal="left" vertical="center" wrapText="1"/>
    </xf>
    <xf numFmtId="40" fontId="4" fillId="0" borderId="14" xfId="0" applyNumberFormat="1" applyFont="1" applyFill="1" applyBorder="1" applyAlignment="1">
      <alignment horizontal="center" vertical="center" wrapText="1"/>
    </xf>
    <xf numFmtId="40" fontId="4" fillId="0" borderId="15" xfId="0" applyNumberFormat="1" applyFont="1" applyFill="1" applyBorder="1" applyAlignment="1">
      <alignment horizontal="center" vertical="center" wrapText="1"/>
    </xf>
    <xf numFmtId="0" fontId="4" fillId="0" borderId="20" xfId="0" applyFont="1" applyFill="1" applyBorder="1" applyAlignment="1">
      <alignment horizontal="center"/>
    </xf>
    <xf numFmtId="0" fontId="4" fillId="0" borderId="20" xfId="0" applyFont="1" applyBorder="1" applyAlignment="1">
      <alignment horizontal="center"/>
    </xf>
    <xf numFmtId="0" fontId="4" fillId="0" borderId="0" xfId="0" applyFont="1" applyAlignment="1">
      <alignment horizontal="center" vertical="center" wrapText="1"/>
    </xf>
    <xf numFmtId="40" fontId="4" fillId="0" borderId="4" xfId="0" applyNumberFormat="1" applyFont="1" applyBorder="1" applyAlignment="1">
      <alignment horizontal="center" vertical="center"/>
    </xf>
    <xf numFmtId="40" fontId="28" fillId="8" borderId="0" xfId="0" applyNumberFormat="1" applyFont="1" applyFill="1" applyAlignment="1">
      <alignment horizontal="left" vertical="center" wrapText="1"/>
    </xf>
    <xf numFmtId="40" fontId="28" fillId="8" borderId="0" xfId="0" applyNumberFormat="1" applyFont="1" applyFill="1" applyBorder="1" applyAlignment="1">
      <alignment horizontal="left" vertical="center" wrapText="1"/>
    </xf>
    <xf numFmtId="40" fontId="28" fillId="8" borderId="0" xfId="0" applyNumberFormat="1" applyFont="1" applyFill="1" applyAlignment="1">
      <alignment horizontal="right" vertical="center" wrapText="1"/>
    </xf>
    <xf numFmtId="0" fontId="5" fillId="0" borderId="18"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40" fontId="5" fillId="8" borderId="0" xfId="0" applyNumberFormat="1" applyFont="1" applyFill="1" applyBorder="1" applyAlignment="1">
      <alignment horizontal="left" wrapText="1"/>
    </xf>
    <xf numFmtId="40" fontId="5" fillId="7" borderId="0" xfId="0" applyNumberFormat="1" applyFont="1" applyFill="1" applyAlignment="1">
      <alignment horizontal="left"/>
    </xf>
    <xf numFmtId="0" fontId="5" fillId="0" borderId="0" xfId="12" applyFont="1" applyBorder="1" applyAlignment="1">
      <alignment horizontal="left" vertical="center"/>
    </xf>
    <xf numFmtId="40" fontId="4" fillId="7" borderId="4" xfId="0" applyNumberFormat="1" applyFont="1" applyFill="1" applyBorder="1" applyAlignment="1">
      <alignment horizontal="center" vertical="center" wrapText="1"/>
    </xf>
    <xf numFmtId="40" fontId="5" fillId="7" borderId="4" xfId="0" applyNumberFormat="1" applyFont="1" applyFill="1" applyBorder="1" applyAlignment="1">
      <alignment horizontal="center"/>
    </xf>
    <xf numFmtId="40" fontId="4" fillId="7" borderId="4" xfId="0" applyNumberFormat="1" applyFont="1" applyFill="1" applyBorder="1" applyAlignment="1">
      <alignment horizontal="center"/>
    </xf>
    <xf numFmtId="40" fontId="5" fillId="8" borderId="0" xfId="0" applyNumberFormat="1" applyFont="1" applyFill="1" applyAlignment="1">
      <alignment horizontal="left"/>
    </xf>
    <xf numFmtId="40" fontId="4" fillId="8" borderId="0" xfId="0" applyNumberFormat="1" applyFont="1" applyFill="1" applyAlignment="1">
      <alignment horizontal="left" wrapText="1"/>
    </xf>
    <xf numFmtId="40" fontId="24" fillId="8" borderId="0" xfId="0" applyNumberFormat="1" applyFont="1" applyFill="1" applyAlignment="1">
      <alignment horizontal="center" vertical="center"/>
    </xf>
    <xf numFmtId="40" fontId="24" fillId="8" borderId="4" xfId="0" applyNumberFormat="1" applyFont="1" applyFill="1" applyBorder="1" applyAlignment="1">
      <alignment horizontal="center" vertical="center" wrapText="1"/>
    </xf>
    <xf numFmtId="40" fontId="24" fillId="8" borderId="0" xfId="0" applyNumberFormat="1" applyFont="1" applyFill="1" applyBorder="1" applyAlignment="1">
      <alignment horizontal="center" vertical="center" wrapText="1"/>
    </xf>
    <xf numFmtId="0" fontId="24" fillId="0" borderId="0" xfId="0" applyFont="1" applyAlignment="1">
      <alignment horizontal="center" vertical="center"/>
    </xf>
    <xf numFmtId="0" fontId="24" fillId="0" borderId="4" xfId="0" applyFont="1" applyBorder="1" applyAlignment="1">
      <alignment vertical="center" wrapText="1"/>
    </xf>
    <xf numFmtId="0" fontId="24" fillId="0" borderId="0" xfId="0" applyFont="1" applyAlignment="1">
      <alignment vertical="center"/>
    </xf>
    <xf numFmtId="0" fontId="4" fillId="0" borderId="0" xfId="12" applyFont="1" applyAlignment="1"/>
    <xf numFmtId="40" fontId="4" fillId="0" borderId="0" xfId="0" applyNumberFormat="1" applyFont="1" applyAlignment="1">
      <alignment horizontal="center" vertical="center"/>
    </xf>
    <xf numFmtId="0" fontId="4" fillId="0" borderId="111" xfId="12" applyFont="1" applyFill="1" applyBorder="1"/>
    <xf numFmtId="0" fontId="4" fillId="0" borderId="0" xfId="12" applyFont="1" applyBorder="1"/>
    <xf numFmtId="164" fontId="4" fillId="0" borderId="0" xfId="1" applyFont="1" applyAlignment="1">
      <alignment horizontal="center" vertical="center" wrapText="1"/>
    </xf>
    <xf numFmtId="164" fontId="4" fillId="0" borderId="0" xfId="1" applyFont="1" applyAlignment="1">
      <alignment vertical="center" wrapText="1"/>
    </xf>
    <xf numFmtId="10" fontId="4" fillId="0" borderId="0" xfId="0" applyNumberFormat="1" applyFont="1" applyAlignment="1">
      <alignment vertical="center" wrapText="1"/>
    </xf>
    <xf numFmtId="10" fontId="4" fillId="4" borderId="2" xfId="2" applyNumberFormat="1" applyFont="1" applyFill="1" applyBorder="1" applyAlignment="1">
      <alignment vertical="center" wrapText="1"/>
    </xf>
    <xf numFmtId="10" fontId="4" fillId="4" borderId="0" xfId="2" applyNumberFormat="1" applyFont="1" applyFill="1" applyBorder="1" applyAlignment="1">
      <alignment horizontal="center" vertical="center" wrapText="1"/>
    </xf>
    <xf numFmtId="168" fontId="4" fillId="0" borderId="19" xfId="1" applyNumberFormat="1" applyFont="1" applyFill="1" applyBorder="1" applyAlignment="1">
      <alignment horizontal="right" vertical="center" wrapText="1"/>
    </xf>
    <xf numFmtId="10" fontId="4" fillId="3" borderId="0" xfId="2" applyNumberFormat="1" applyFont="1" applyFill="1" applyBorder="1" applyAlignment="1">
      <alignment vertical="center" wrapText="1"/>
    </xf>
    <xf numFmtId="0" fontId="4" fillId="0" borderId="0" xfId="0" applyFont="1" applyFill="1" applyAlignment="1">
      <alignment vertical="center" wrapText="1"/>
    </xf>
    <xf numFmtId="168" fontId="4" fillId="0" borderId="0" xfId="0" applyNumberFormat="1" applyFont="1" applyFill="1" applyAlignment="1">
      <alignment vertical="center" wrapText="1"/>
    </xf>
    <xf numFmtId="40" fontId="4" fillId="3" borderId="4" xfId="0" applyNumberFormat="1" applyFont="1" applyFill="1" applyBorder="1" applyAlignment="1">
      <alignment horizontal="right" vertical="center" wrapText="1"/>
    </xf>
    <xf numFmtId="168" fontId="4" fillId="3" borderId="4" xfId="0" applyNumberFormat="1" applyFont="1" applyFill="1" applyBorder="1" applyAlignment="1">
      <alignment horizontal="right" vertical="center" wrapText="1"/>
    </xf>
    <xf numFmtId="10" fontId="4" fillId="4" borderId="1" xfId="2" applyNumberFormat="1" applyFont="1" applyFill="1" applyBorder="1" applyAlignment="1">
      <alignment vertical="center" wrapText="1"/>
    </xf>
    <xf numFmtId="10" fontId="4" fillId="3" borderId="110" xfId="2" applyNumberFormat="1" applyFont="1" applyFill="1" applyBorder="1" applyAlignment="1">
      <alignment vertical="center" wrapText="1"/>
    </xf>
    <xf numFmtId="40" fontId="4" fillId="0" borderId="4" xfId="0" applyNumberFormat="1" applyFont="1" applyFill="1" applyBorder="1" applyAlignment="1">
      <alignment horizontal="right" vertical="center" wrapText="1"/>
    </xf>
    <xf numFmtId="168" fontId="4" fillId="3" borderId="18" xfId="0" applyNumberFormat="1" applyFont="1" applyFill="1" applyBorder="1" applyAlignment="1">
      <alignment horizontal="right" vertical="center" wrapText="1"/>
    </xf>
    <xf numFmtId="10" fontId="4" fillId="0" borderId="0" xfId="2" applyNumberFormat="1" applyFont="1" applyFill="1" applyBorder="1" applyAlignment="1">
      <alignment horizontal="center" vertical="center" wrapText="1"/>
    </xf>
    <xf numFmtId="168" fontId="4" fillId="0" borderId="4" xfId="0" applyNumberFormat="1" applyFont="1" applyFill="1" applyBorder="1" applyAlignment="1">
      <alignment horizontal="right" vertical="center" wrapText="1"/>
    </xf>
    <xf numFmtId="168" fontId="4" fillId="0" borderId="18" xfId="0" applyNumberFormat="1" applyFont="1" applyFill="1" applyBorder="1" applyAlignment="1">
      <alignment horizontal="right" vertical="center" wrapText="1"/>
    </xf>
    <xf numFmtId="10" fontId="4" fillId="0" borderId="0" xfId="2" applyNumberFormat="1" applyFont="1" applyFill="1" applyBorder="1" applyAlignment="1">
      <alignment vertical="center" wrapText="1"/>
    </xf>
    <xf numFmtId="4" fontId="4" fillId="0" borderId="4" xfId="0" applyNumberFormat="1" applyFont="1" applyBorder="1" applyAlignment="1">
      <alignment horizontal="left" vertical="center" wrapText="1"/>
    </xf>
    <xf numFmtId="10" fontId="4" fillId="4" borderId="62" xfId="0" applyNumberFormat="1" applyFont="1" applyFill="1" applyBorder="1" applyAlignment="1">
      <alignment vertical="center" wrapText="1"/>
    </xf>
    <xf numFmtId="168" fontId="4" fillId="0" borderId="0" xfId="0" applyNumberFormat="1" applyFont="1" applyAlignment="1">
      <alignment vertical="center" wrapText="1"/>
    </xf>
    <xf numFmtId="43" fontId="4" fillId="0" borderId="0" xfId="0" applyNumberFormat="1" applyFont="1" applyAlignment="1">
      <alignment horizontal="center" vertical="center" wrapText="1"/>
    </xf>
    <xf numFmtId="43" fontId="4" fillId="0" borderId="0" xfId="0" applyNumberFormat="1" applyFont="1" applyAlignment="1">
      <alignment vertical="center" wrapText="1"/>
    </xf>
    <xf numFmtId="168" fontId="4" fillId="0" borderId="0" xfId="0" applyNumberFormat="1" applyFont="1" applyBorder="1" applyAlignment="1">
      <alignment vertical="center" wrapText="1"/>
    </xf>
    <xf numFmtId="7" fontId="4" fillId="0" borderId="0" xfId="0" applyNumberFormat="1" applyFont="1" applyAlignment="1">
      <alignment horizontal="center" vertical="center" wrapText="1"/>
    </xf>
    <xf numFmtId="7" fontId="4" fillId="0" borderId="0" xfId="0" applyNumberFormat="1" applyFont="1" applyAlignment="1">
      <alignment vertical="center" wrapText="1"/>
    </xf>
    <xf numFmtId="0" fontId="5" fillId="3" borderId="0" xfId="0" applyFont="1" applyFill="1" applyAlignment="1">
      <alignment horizontal="center" vertical="center"/>
    </xf>
    <xf numFmtId="0" fontId="4" fillId="0" borderId="4" xfId="0" applyFont="1" applyFill="1" applyBorder="1" applyAlignment="1">
      <alignment horizontal="center" vertical="center" wrapText="1"/>
    </xf>
    <xf numFmtId="40" fontId="5" fillId="7" borderId="0" xfId="0" applyNumberFormat="1" applyFont="1" applyFill="1" applyAlignment="1">
      <alignment horizontal="left"/>
    </xf>
    <xf numFmtId="40" fontId="4" fillId="7" borderId="4" xfId="0" applyNumberFormat="1" applyFont="1" applyFill="1" applyBorder="1" applyAlignment="1">
      <alignment horizontal="center" vertical="center" wrapText="1"/>
    </xf>
    <xf numFmtId="0" fontId="4" fillId="0" borderId="20" xfId="0" applyFont="1" applyFill="1" applyBorder="1" applyAlignment="1">
      <alignment horizontal="left" vertical="center"/>
    </xf>
    <xf numFmtId="40" fontId="5" fillId="8" borderId="0" xfId="0" applyNumberFormat="1" applyFont="1" applyFill="1" applyBorder="1" applyAlignment="1">
      <alignment horizontal="left" vertical="center" wrapText="1"/>
    </xf>
    <xf numFmtId="40" fontId="5" fillId="8" borderId="0" xfId="0" applyNumberFormat="1" applyFont="1" applyFill="1" applyAlignment="1">
      <alignment horizontal="left"/>
    </xf>
    <xf numFmtId="40" fontId="4" fillId="8" borderId="0" xfId="0" applyNumberFormat="1" applyFont="1" applyFill="1" applyAlignment="1">
      <alignment horizontal="right" vertical="center" wrapText="1"/>
    </xf>
    <xf numFmtId="0" fontId="4" fillId="0" borderId="20" xfId="0" applyFont="1" applyBorder="1" applyAlignment="1">
      <alignment vertical="center" wrapText="1"/>
    </xf>
    <xf numFmtId="40" fontId="4" fillId="0" borderId="0" xfId="0" applyNumberFormat="1" applyFont="1" applyAlignment="1">
      <alignment vertical="center"/>
    </xf>
    <xf numFmtId="0" fontId="4" fillId="0" borderId="0" xfId="12" applyFont="1" applyBorder="1" applyAlignment="1"/>
    <xf numFmtId="0" fontId="5" fillId="4" borderId="16" xfId="0" applyFont="1" applyFill="1" applyBorder="1" applyAlignment="1">
      <alignment horizontal="center" wrapText="1"/>
    </xf>
    <xf numFmtId="0" fontId="5" fillId="4" borderId="3" xfId="0" applyFont="1" applyFill="1" applyBorder="1" applyAlignment="1">
      <alignment horizontal="center" wrapText="1"/>
    </xf>
    <xf numFmtId="10" fontId="4" fillId="4" borderId="2" xfId="2" applyNumberFormat="1" applyFont="1" applyFill="1" applyBorder="1" applyAlignment="1">
      <alignment wrapText="1"/>
    </xf>
    <xf numFmtId="0" fontId="4" fillId="0" borderId="0" xfId="0" applyFont="1" applyAlignment="1">
      <alignment wrapText="1"/>
    </xf>
    <xf numFmtId="10" fontId="4" fillId="4" borderId="0" xfId="2" applyNumberFormat="1" applyFont="1" applyFill="1" applyBorder="1" applyAlignment="1">
      <alignment horizontal="center" wrapText="1"/>
    </xf>
    <xf numFmtId="40" fontId="5" fillId="0" borderId="4" xfId="3" applyNumberFormat="1" applyFont="1" applyFill="1" applyBorder="1" applyAlignment="1">
      <alignment horizontal="center" vertical="center"/>
    </xf>
    <xf numFmtId="40" fontId="5" fillId="0" borderId="4" xfId="3" applyNumberFormat="1" applyFont="1" applyFill="1" applyBorder="1" applyAlignment="1">
      <alignment horizontal="center" vertical="center" wrapText="1"/>
    </xf>
    <xf numFmtId="0" fontId="4" fillId="22" borderId="13" xfId="0" applyFont="1" applyFill="1" applyBorder="1" applyAlignment="1">
      <alignment horizontal="center" vertical="center"/>
    </xf>
    <xf numFmtId="40" fontId="0" fillId="22" borderId="15" xfId="0" applyNumberFormat="1" applyFill="1" applyBorder="1" applyAlignment="1">
      <alignment horizontal="center" vertical="center"/>
    </xf>
    <xf numFmtId="0" fontId="4" fillId="8" borderId="0" xfId="0" applyFont="1" applyFill="1" applyBorder="1" applyAlignment="1">
      <alignment horizontal="center"/>
    </xf>
    <xf numFmtId="0" fontId="4" fillId="7" borderId="0" xfId="0" applyFont="1" applyFill="1" applyBorder="1" applyAlignment="1">
      <alignment vertical="center"/>
    </xf>
    <xf numFmtId="40" fontId="4" fillId="0" borderId="4" xfId="0" applyNumberFormat="1" applyFont="1" applyFill="1" applyBorder="1" applyAlignment="1">
      <alignment horizontal="left" vertical="center" wrapText="1"/>
    </xf>
    <xf numFmtId="0" fontId="4" fillId="7" borderId="0" xfId="0" applyFont="1" applyFill="1" applyBorder="1"/>
    <xf numFmtId="4" fontId="4" fillId="0" borderId="12" xfId="0" applyNumberFormat="1" applyFont="1" applyFill="1" applyBorder="1" applyAlignment="1">
      <alignment vertical="center" wrapText="1"/>
    </xf>
    <xf numFmtId="0" fontId="5" fillId="0" borderId="4" xfId="0" applyFont="1" applyBorder="1" applyAlignment="1">
      <alignment horizontal="center" vertical="center"/>
    </xf>
    <xf numFmtId="0" fontId="4" fillId="0" borderId="4" xfId="0" applyFont="1" applyFill="1" applyBorder="1" applyAlignment="1">
      <alignment horizontal="center" vertical="center" wrapText="1"/>
    </xf>
    <xf numFmtId="40" fontId="5" fillId="7" borderId="0" xfId="0" applyNumberFormat="1" applyFont="1" applyFill="1" applyAlignment="1">
      <alignment horizontal="left"/>
    </xf>
    <xf numFmtId="40" fontId="16" fillId="3" borderId="0" xfId="3" applyNumberFormat="1" applyFont="1" applyFill="1" applyAlignment="1">
      <alignment horizontal="left" wrapText="1"/>
    </xf>
    <xf numFmtId="40" fontId="36" fillId="3" borderId="0" xfId="3" applyNumberFormat="1" applyFont="1" applyFill="1" applyAlignment="1">
      <alignment horizontal="left" wrapText="1"/>
    </xf>
    <xf numFmtId="171" fontId="19" fillId="0" borderId="4" xfId="16" applyNumberFormat="1" applyFont="1" applyFill="1" applyBorder="1" applyAlignment="1" applyProtection="1">
      <alignment horizontal="center" vertical="center" wrapText="1"/>
    </xf>
    <xf numFmtId="0" fontId="0" fillId="3" borderId="0" xfId="0" applyFill="1" applyAlignment="1">
      <alignment horizontal="center" vertical="center"/>
    </xf>
    <xf numFmtId="2" fontId="19" fillId="0" borderId="4" xfId="16" applyNumberFormat="1" applyFont="1" applyFill="1" applyBorder="1" applyAlignment="1" applyProtection="1">
      <alignment horizontal="center" vertical="center" wrapText="1"/>
    </xf>
    <xf numFmtId="40" fontId="4" fillId="7" borderId="0" xfId="0" applyNumberFormat="1" applyFont="1" applyFill="1" applyAlignment="1">
      <alignment horizontal="center" vertical="center" wrapText="1"/>
    </xf>
    <xf numFmtId="40" fontId="4" fillId="0" borderId="12" xfId="0" applyNumberFormat="1" applyFont="1" applyFill="1" applyBorder="1" applyAlignment="1">
      <alignment horizontal="right" vertical="center" wrapText="1"/>
    </xf>
    <xf numFmtId="0" fontId="5" fillId="3" borderId="4" xfId="0" applyFont="1" applyFill="1" applyBorder="1" applyAlignment="1">
      <alignment horizontal="center" vertical="center"/>
    </xf>
    <xf numFmtId="0" fontId="0" fillId="3" borderId="4" xfId="0" applyFill="1" applyBorder="1" applyAlignment="1">
      <alignment horizontal="center"/>
    </xf>
    <xf numFmtId="0" fontId="4" fillId="3" borderId="4" xfId="0" applyFont="1" applyFill="1" applyBorder="1" applyAlignment="1">
      <alignment vertical="center" wrapText="1"/>
    </xf>
    <xf numFmtId="0" fontId="4" fillId="22" borderId="13" xfId="0" applyFont="1" applyFill="1" applyBorder="1"/>
    <xf numFmtId="0" fontId="4" fillId="22" borderId="15" xfId="0" applyFont="1" applyFill="1" applyBorder="1" applyAlignment="1">
      <alignment horizontal="center" vertical="center"/>
    </xf>
    <xf numFmtId="38" fontId="5" fillId="7" borderId="0" xfId="0" applyNumberFormat="1" applyFont="1" applyFill="1" applyAlignment="1">
      <alignment horizontal="center" vertical="center" wrapText="1"/>
    </xf>
    <xf numFmtId="40" fontId="5" fillId="7" borderId="0" xfId="0" applyNumberFormat="1" applyFont="1" applyFill="1" applyAlignment="1">
      <alignment horizontal="left" vertical="center"/>
    </xf>
    <xf numFmtId="0" fontId="0" fillId="0" borderId="0" xfId="0" applyAlignment="1">
      <alignment vertical="center" wrapText="1"/>
    </xf>
    <xf numFmtId="38" fontId="4" fillId="7" borderId="0" xfId="0" applyNumberFormat="1" applyFont="1" applyFill="1" applyAlignment="1">
      <alignment horizontal="center"/>
    </xf>
    <xf numFmtId="40" fontId="4" fillId="0" borderId="0" xfId="3" applyNumberFormat="1" applyFont="1" applyFill="1" applyBorder="1" applyAlignment="1">
      <alignment horizontal="center"/>
    </xf>
    <xf numFmtId="0" fontId="4" fillId="0" borderId="0" xfId="0" applyFont="1" applyFill="1" applyBorder="1" applyAlignment="1">
      <alignment horizontal="center"/>
    </xf>
    <xf numFmtId="2" fontId="4" fillId="0" borderId="0" xfId="0" applyNumberFormat="1" applyFont="1" applyFill="1" applyBorder="1" applyAlignment="1">
      <alignment horizontal="center"/>
    </xf>
    <xf numFmtId="0" fontId="4" fillId="22" borderId="13" xfId="0" applyFont="1" applyFill="1" applyBorder="1" applyAlignment="1">
      <alignment vertical="center" wrapText="1"/>
    </xf>
    <xf numFmtId="0" fontId="4" fillId="22" borderId="15" xfId="0" applyFont="1" applyFill="1" applyBorder="1" applyAlignment="1">
      <alignment vertical="center" wrapText="1"/>
    </xf>
    <xf numFmtId="2" fontId="4" fillId="22" borderId="14" xfId="0" applyNumberFormat="1" applyFont="1" applyFill="1" applyBorder="1" applyAlignment="1">
      <alignment horizontal="center" vertical="center" wrapText="1"/>
    </xf>
    <xf numFmtId="2" fontId="4" fillId="0" borderId="4" xfId="0" applyNumberFormat="1" applyFont="1" applyFill="1" applyBorder="1" applyAlignment="1">
      <alignment horizontal="center"/>
    </xf>
    <xf numFmtId="2" fontId="4" fillId="0" borderId="4" xfId="3" applyNumberFormat="1" applyFont="1" applyFill="1" applyBorder="1" applyAlignment="1">
      <alignment horizontal="center"/>
    </xf>
    <xf numFmtId="40" fontId="4" fillId="0" borderId="4" xfId="3" applyNumberFormat="1" applyFont="1" applyFill="1" applyBorder="1" applyAlignment="1">
      <alignment horizontal="left"/>
    </xf>
    <xf numFmtId="0" fontId="4" fillId="0" borderId="4" xfId="0" applyFont="1" applyFill="1" applyBorder="1" applyAlignment="1">
      <alignment horizontal="center"/>
    </xf>
    <xf numFmtId="0" fontId="4" fillId="22" borderId="15" xfId="0" applyFont="1" applyFill="1" applyBorder="1" applyAlignment="1">
      <alignment horizontal="center"/>
    </xf>
    <xf numFmtId="2" fontId="4" fillId="22" borderId="14" xfId="0" applyNumberFormat="1" applyFont="1" applyFill="1" applyBorder="1" applyAlignment="1">
      <alignment horizontal="center"/>
    </xf>
    <xf numFmtId="0" fontId="4" fillId="0" borderId="4" xfId="0" applyFont="1" applyFill="1" applyBorder="1" applyAlignment="1">
      <alignment vertical="center"/>
    </xf>
    <xf numFmtId="0" fontId="4" fillId="0" borderId="20" xfId="0" applyFont="1" applyFill="1" applyBorder="1" applyAlignment="1">
      <alignment horizontal="center" vertical="center" wrapText="1"/>
    </xf>
    <xf numFmtId="168" fontId="4" fillId="0" borderId="65" xfId="1" applyNumberFormat="1" applyFont="1" applyFill="1" applyBorder="1" applyAlignment="1">
      <alignment horizontal="right" vertical="center" wrapText="1"/>
    </xf>
    <xf numFmtId="38" fontId="4" fillId="0" borderId="0" xfId="0" applyNumberFormat="1" applyFont="1" applyFill="1" applyBorder="1" applyAlignment="1">
      <alignment horizontal="center"/>
    </xf>
    <xf numFmtId="40" fontId="4" fillId="0" borderId="0" xfId="0" applyNumberFormat="1" applyFont="1" applyFill="1" applyBorder="1" applyAlignment="1">
      <alignment horizontal="left"/>
    </xf>
    <xf numFmtId="38" fontId="5" fillId="0" borderId="0" xfId="0" applyNumberFormat="1" applyFont="1" applyFill="1" applyBorder="1" applyAlignment="1">
      <alignment horizontal="center" vertical="center"/>
    </xf>
    <xf numFmtId="2"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40" fontId="5" fillId="8" borderId="0" xfId="0" applyNumberFormat="1" applyFont="1" applyFill="1" applyBorder="1" applyAlignment="1">
      <alignment horizontal="left" wrapText="1"/>
    </xf>
    <xf numFmtId="40" fontId="5" fillId="7" borderId="0" xfId="0" applyNumberFormat="1" applyFont="1" applyFill="1" applyAlignment="1">
      <alignment horizontal="left"/>
    </xf>
    <xf numFmtId="40" fontId="4" fillId="7" borderId="4" xfId="0" applyNumberFormat="1" applyFont="1" applyFill="1" applyBorder="1" applyAlignment="1">
      <alignment horizontal="left" vertical="center" wrapText="1"/>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5" fillId="7" borderId="0" xfId="0" applyNumberFormat="1" applyFont="1" applyFill="1" applyAlignment="1">
      <alignment horizontal="left" vertical="center"/>
    </xf>
    <xf numFmtId="3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40" fontId="5" fillId="0" borderId="0" xfId="0" applyNumberFormat="1" applyFont="1" applyFill="1" applyBorder="1" applyAlignment="1">
      <alignment horizontal="left" vertical="center"/>
    </xf>
    <xf numFmtId="40" fontId="5" fillId="0" borderId="4" xfId="0" applyNumberFormat="1" applyFont="1" applyFill="1" applyBorder="1" applyAlignment="1">
      <alignment horizontal="center" vertical="center"/>
    </xf>
    <xf numFmtId="0" fontId="4" fillId="22" borderId="15" xfId="0" applyFont="1" applyFill="1" applyBorder="1" applyAlignment="1">
      <alignment horizontal="center" vertical="center" wrapText="1"/>
    </xf>
    <xf numFmtId="2" fontId="4" fillId="0" borderId="4" xfId="0" applyNumberFormat="1" applyFont="1" applyFill="1" applyBorder="1" applyAlignment="1">
      <alignment horizontal="center" vertical="center" wrapText="1"/>
    </xf>
    <xf numFmtId="40" fontId="4" fillId="0" borderId="0" xfId="0" applyNumberFormat="1" applyFont="1" applyFill="1" applyBorder="1" applyAlignment="1">
      <alignment vertical="center" wrapText="1"/>
    </xf>
    <xf numFmtId="0" fontId="38" fillId="0" borderId="0" xfId="0" applyFont="1" applyAlignment="1">
      <alignment vertical="center"/>
    </xf>
    <xf numFmtId="0" fontId="39" fillId="0" borderId="0" xfId="0" applyFont="1" applyAlignment="1">
      <alignment horizontal="left" vertical="center" indent="4"/>
    </xf>
    <xf numFmtId="0" fontId="41" fillId="0" borderId="0" xfId="0" applyFont="1" applyAlignment="1">
      <alignment horizontal="left" vertical="center" indent="9"/>
    </xf>
    <xf numFmtId="40" fontId="4" fillId="0" borderId="0" xfId="0" applyNumberFormat="1" applyFont="1" applyFill="1" applyBorder="1" applyAlignment="1">
      <alignment vertical="top" wrapText="1"/>
    </xf>
    <xf numFmtId="40" fontId="5" fillId="0" borderId="4" xfId="0" applyNumberFormat="1" applyFont="1" applyFill="1" applyBorder="1" applyAlignment="1">
      <alignment horizontal="center" vertical="center" wrapText="1"/>
    </xf>
    <xf numFmtId="40" fontId="5" fillId="0" borderId="0" xfId="0" applyNumberFormat="1" applyFont="1" applyFill="1" applyBorder="1" applyAlignment="1">
      <alignment vertical="center"/>
    </xf>
    <xf numFmtId="40" fontId="16" fillId="3" borderId="0" xfId="3" applyNumberFormat="1" applyFont="1" applyFill="1" applyAlignment="1">
      <alignment horizontal="center" vertical="center" wrapText="1"/>
    </xf>
    <xf numFmtId="40" fontId="36" fillId="3" borderId="0" xfId="3" applyNumberFormat="1" applyFont="1" applyFill="1" applyAlignment="1">
      <alignment vertical="center" wrapText="1"/>
    </xf>
    <xf numFmtId="40" fontId="36" fillId="3" borderId="0" xfId="3" applyNumberFormat="1" applyFont="1" applyFill="1" applyBorder="1" applyAlignment="1">
      <alignment vertical="center" wrapText="1"/>
    </xf>
    <xf numFmtId="2" fontId="4" fillId="0" borderId="0" xfId="0" applyNumberFormat="1" applyFont="1" applyFill="1" applyBorder="1" applyAlignment="1">
      <alignment horizontal="center" vertical="center" wrapText="1"/>
    </xf>
    <xf numFmtId="38" fontId="5" fillId="0" borderId="0" xfId="0" applyNumberFormat="1" applyFont="1" applyFill="1" applyBorder="1" applyAlignment="1">
      <alignment horizontal="center" vertical="center" wrapText="1"/>
    </xf>
    <xf numFmtId="40" fontId="5" fillId="0" borderId="0" xfId="0" applyNumberFormat="1" applyFont="1" applyFill="1" applyBorder="1" applyAlignment="1">
      <alignment horizontal="center" vertical="center" wrapText="1"/>
    </xf>
    <xf numFmtId="4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40" fontId="5" fillId="22" borderId="4" xfId="0" applyNumberFormat="1" applyFont="1" applyFill="1" applyBorder="1" applyAlignment="1">
      <alignment horizontal="center" vertical="center" wrapText="1"/>
    </xf>
    <xf numFmtId="2" fontId="4" fillId="22" borderId="4" xfId="0" applyNumberFormat="1" applyFont="1" applyFill="1" applyBorder="1" applyAlignment="1">
      <alignment horizontal="center" vertical="center" wrapText="1"/>
    </xf>
    <xf numFmtId="2" fontId="4" fillId="0" borderId="12" xfId="0" applyNumberFormat="1" applyFont="1" applyFill="1" applyBorder="1" applyAlignment="1">
      <alignment horizontal="center" vertical="center" wrapText="1"/>
    </xf>
    <xf numFmtId="0" fontId="0" fillId="0" borderId="0" xfId="0" applyFill="1" applyAlignment="1">
      <alignment vertical="center"/>
    </xf>
    <xf numFmtId="40" fontId="0" fillId="0" borderId="4" xfId="0" applyNumberFormat="1" applyBorder="1" applyAlignment="1">
      <alignment horizontal="center" vertical="center"/>
    </xf>
    <xf numFmtId="2" fontId="4" fillId="0" borderId="0" xfId="0" applyNumberFormat="1" applyFont="1" applyFill="1" applyBorder="1"/>
    <xf numFmtId="0" fontId="5" fillId="24" borderId="16" xfId="0" applyFont="1" applyFill="1" applyBorder="1" applyAlignment="1">
      <alignment horizontal="center" vertical="center" wrapText="1"/>
    </xf>
    <xf numFmtId="0" fontId="5" fillId="24" borderId="3" xfId="0" applyFont="1" applyFill="1" applyBorder="1" applyAlignment="1">
      <alignment horizontal="center" vertical="center" wrapText="1"/>
    </xf>
    <xf numFmtId="0" fontId="5" fillId="24" borderId="3" xfId="0" applyFont="1" applyFill="1" applyBorder="1" applyAlignment="1">
      <alignment horizontal="left" vertical="center" wrapText="1"/>
    </xf>
    <xf numFmtId="0" fontId="5" fillId="24" borderId="2" xfId="0" applyFont="1" applyFill="1" applyBorder="1" applyAlignment="1">
      <alignment horizontal="left" vertical="center" wrapText="1"/>
    </xf>
    <xf numFmtId="0" fontId="5" fillId="0" borderId="0" xfId="0" applyFont="1" applyAlignment="1">
      <alignment horizontal="center" vertical="center"/>
    </xf>
    <xf numFmtId="40" fontId="5" fillId="8" borderId="0" xfId="12" applyNumberFormat="1" applyFont="1" applyFill="1" applyBorder="1" applyAlignment="1">
      <alignment horizontal="left" vertical="center" wrapText="1"/>
    </xf>
    <xf numFmtId="40" fontId="0" fillId="0" borderId="0" xfId="0" applyNumberFormat="1" applyFont="1" applyFill="1" applyBorder="1" applyAlignment="1"/>
    <xf numFmtId="0" fontId="5" fillId="3" borderId="4" xfId="0" applyFont="1" applyFill="1" applyBorder="1" applyAlignment="1">
      <alignment horizontal="center" vertical="center" wrapText="1"/>
    </xf>
    <xf numFmtId="2" fontId="0" fillId="22" borderId="14" xfId="0" applyNumberFormat="1" applyFill="1" applyBorder="1" applyAlignment="1">
      <alignment horizontal="center" vertical="center"/>
    </xf>
    <xf numFmtId="0" fontId="4" fillId="22" borderId="13" xfId="0" applyFont="1" applyFill="1" applyBorder="1" applyAlignment="1">
      <alignment horizontal="center"/>
    </xf>
    <xf numFmtId="2" fontId="0" fillId="0" borderId="4" xfId="0" applyNumberFormat="1" applyBorder="1" applyAlignment="1">
      <alignment horizontal="center" vertical="center"/>
    </xf>
    <xf numFmtId="2" fontId="0" fillId="22" borderId="14" xfId="0" applyNumberFormat="1" applyFill="1" applyBorder="1" applyAlignment="1">
      <alignment horizontal="center"/>
    </xf>
    <xf numFmtId="0" fontId="4" fillId="3" borderId="0" xfId="0" applyFont="1" applyFill="1"/>
    <xf numFmtId="0" fontId="5" fillId="3" borderId="0" xfId="0" applyFont="1" applyFill="1" applyAlignment="1">
      <alignment vertical="center"/>
    </xf>
    <xf numFmtId="0" fontId="5" fillId="0" borderId="0" xfId="0" applyFont="1" applyAlignment="1">
      <alignment vertical="center"/>
    </xf>
    <xf numFmtId="40" fontId="0" fillId="14" borderId="53" xfId="0" applyNumberFormat="1" applyFill="1" applyBorder="1" applyAlignment="1">
      <alignment horizontal="center" vertical="center"/>
    </xf>
    <xf numFmtId="0" fontId="27" fillId="0" borderId="0" xfId="12" applyFont="1"/>
    <xf numFmtId="40" fontId="5" fillId="2" borderId="13" xfId="3" applyNumberFormat="1" applyFont="1" applyFill="1" applyBorder="1" applyAlignment="1">
      <alignment horizontal="center" vertical="center"/>
    </xf>
    <xf numFmtId="40" fontId="5" fillId="2" borderId="14" xfId="3" applyNumberFormat="1" applyFont="1" applyFill="1" applyBorder="1" applyAlignment="1">
      <alignment horizontal="center" vertical="center"/>
    </xf>
    <xf numFmtId="40" fontId="5" fillId="2" borderId="15" xfId="3" applyNumberFormat="1" applyFont="1" applyFill="1" applyBorder="1" applyAlignment="1">
      <alignment horizontal="center" vertical="center"/>
    </xf>
    <xf numFmtId="40" fontId="4" fillId="8" borderId="0" xfId="12" applyNumberFormat="1" applyFont="1" applyFill="1" applyBorder="1" applyAlignment="1">
      <alignment horizontal="left" vertical="center" wrapText="1"/>
    </xf>
    <xf numFmtId="40" fontId="4" fillId="8" borderId="4" xfId="12" applyNumberFormat="1" applyFont="1" applyFill="1" applyBorder="1" applyAlignment="1">
      <alignment horizontal="center" vertical="center" wrapText="1"/>
    </xf>
    <xf numFmtId="40" fontId="4" fillId="8" borderId="4" xfId="12" applyNumberFormat="1" applyFont="1" applyFill="1" applyBorder="1" applyAlignment="1">
      <alignment horizontal="left" vertical="center" wrapText="1"/>
    </xf>
    <xf numFmtId="40" fontId="5" fillId="8" borderId="0" xfId="0" applyNumberFormat="1" applyFont="1" applyFill="1" applyBorder="1" applyAlignment="1">
      <alignment horizontal="left" wrapText="1"/>
    </xf>
    <xf numFmtId="40" fontId="4" fillId="3" borderId="20" xfId="0" applyNumberFormat="1" applyFont="1" applyFill="1" applyBorder="1" applyAlignment="1">
      <alignment horizontal="left" vertical="center" wrapText="1"/>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0" fontId="4" fillId="0" borderId="4" xfId="0" applyFont="1" applyBorder="1" applyAlignment="1">
      <alignment horizontal="center" vertical="center"/>
    </xf>
    <xf numFmtId="40" fontId="5" fillId="7" borderId="0" xfId="0" applyNumberFormat="1" applyFont="1" applyFill="1" applyAlignment="1">
      <alignment horizontal="left"/>
    </xf>
    <xf numFmtId="0" fontId="4" fillId="0" borderId="20" xfId="0" applyFont="1" applyBorder="1" applyAlignment="1">
      <alignment horizontal="left" vertical="center" wrapText="1"/>
    </xf>
    <xf numFmtId="0" fontId="4" fillId="0" borderId="4" xfId="0" applyFont="1" applyBorder="1" applyAlignment="1">
      <alignment horizontal="left" vertical="center" wrapText="1"/>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5" fillId="8" borderId="0" xfId="12" applyNumberFormat="1" applyFont="1" applyFill="1" applyAlignment="1">
      <alignment horizontal="center" vertical="top" wrapText="1"/>
    </xf>
    <xf numFmtId="40" fontId="16" fillId="3" borderId="0" xfId="3" applyNumberFormat="1" applyFont="1" applyFill="1" applyAlignment="1">
      <alignment horizontal="left" wrapText="1"/>
    </xf>
    <xf numFmtId="40" fontId="5" fillId="7" borderId="0" xfId="0" applyNumberFormat="1" applyFont="1" applyFill="1" applyAlignment="1">
      <alignment horizontal="left" vertical="center"/>
    </xf>
    <xf numFmtId="40" fontId="5" fillId="0" borderId="0" xfId="0" applyNumberFormat="1" applyFont="1" applyFill="1" applyBorder="1" applyAlignment="1">
      <alignment horizontal="left" vertical="center" wrapText="1"/>
    </xf>
    <xf numFmtId="0" fontId="5" fillId="0" borderId="0" xfId="0" applyFont="1" applyAlignment="1">
      <alignment horizontal="center" vertical="center"/>
    </xf>
    <xf numFmtId="40" fontId="4" fillId="8" borderId="0" xfId="12" applyNumberFormat="1" applyFont="1" applyFill="1" applyBorder="1" applyAlignment="1">
      <alignment horizontal="center" vertical="center" wrapText="1"/>
    </xf>
    <xf numFmtId="40" fontId="4" fillId="8" borderId="0" xfId="12" applyNumberFormat="1" applyFont="1" applyFill="1" applyBorder="1" applyAlignment="1">
      <alignment horizontal="left" vertical="center" wrapText="1"/>
    </xf>
    <xf numFmtId="40" fontId="4" fillId="8" borderId="0" xfId="12" applyNumberFormat="1" applyFont="1" applyFill="1" applyBorder="1" applyAlignment="1">
      <alignment vertical="top" wrapText="1"/>
    </xf>
    <xf numFmtId="40" fontId="4" fillId="8" borderId="0" xfId="12" applyNumberFormat="1" applyFont="1" applyFill="1" applyBorder="1" applyAlignment="1">
      <alignment vertical="center" wrapText="1"/>
    </xf>
    <xf numFmtId="40" fontId="4" fillId="8" borderId="0" xfId="12" applyNumberFormat="1" applyFont="1" applyFill="1" applyBorder="1" applyAlignment="1">
      <alignment horizontal="center" vertical="top" wrapText="1"/>
    </xf>
    <xf numFmtId="40" fontId="4" fillId="11" borderId="4" xfId="12" applyNumberFormat="1" applyFont="1" applyFill="1" applyBorder="1" applyAlignment="1">
      <alignment horizontal="center" vertical="center" wrapText="1"/>
    </xf>
    <xf numFmtId="40" fontId="4" fillId="8" borderId="4" xfId="12" applyNumberFormat="1" applyFont="1" applyFill="1" applyBorder="1" applyAlignment="1">
      <alignment horizontal="center" vertical="top" wrapText="1"/>
    </xf>
    <xf numFmtId="40" fontId="4" fillId="11" borderId="13" xfId="12" applyNumberFormat="1" applyFont="1" applyFill="1" applyBorder="1" applyAlignment="1">
      <alignment vertical="top" wrapText="1"/>
    </xf>
    <xf numFmtId="40" fontId="4" fillId="11" borderId="14" xfId="12" applyNumberFormat="1" applyFont="1" applyFill="1" applyBorder="1" applyAlignment="1">
      <alignment horizontal="center" vertical="top" wrapText="1"/>
    </xf>
    <xf numFmtId="40" fontId="4" fillId="11" borderId="15" xfId="12" applyNumberFormat="1" applyFont="1" applyFill="1" applyBorder="1" applyAlignment="1">
      <alignment horizontal="center" vertical="top" wrapText="1"/>
    </xf>
    <xf numFmtId="0" fontId="4" fillId="0" borderId="20" xfId="0" applyFont="1" applyBorder="1" applyAlignment="1">
      <alignment horizontal="left" vertical="center" wrapText="1"/>
    </xf>
    <xf numFmtId="40" fontId="5" fillId="8" borderId="0" xfId="0" applyNumberFormat="1" applyFont="1" applyFill="1" applyBorder="1" applyAlignment="1">
      <alignment horizontal="center" vertical="center"/>
    </xf>
    <xf numFmtId="40" fontId="5" fillId="8" borderId="0" xfId="12" applyNumberFormat="1" applyFont="1" applyFill="1" applyBorder="1" applyAlignment="1">
      <alignment horizontal="left" vertical="center" wrapText="1"/>
    </xf>
    <xf numFmtId="40" fontId="36" fillId="3" borderId="0" xfId="3" applyNumberFormat="1" applyFont="1" applyFill="1" applyAlignment="1">
      <alignment horizontal="left" wrapText="1"/>
    </xf>
    <xf numFmtId="40" fontId="5" fillId="7" borderId="0" xfId="0" applyNumberFormat="1" applyFont="1" applyFill="1" applyAlignment="1">
      <alignment horizontal="left" vertical="center"/>
    </xf>
    <xf numFmtId="40" fontId="4" fillId="8" borderId="4" xfId="12" applyNumberFormat="1" applyFont="1" applyFill="1" applyBorder="1" applyAlignment="1">
      <alignment vertical="center" wrapText="1"/>
    </xf>
    <xf numFmtId="40" fontId="4" fillId="8" borderId="4" xfId="12" applyNumberFormat="1" applyFont="1" applyFill="1" applyBorder="1" applyAlignment="1">
      <alignment vertical="top" wrapText="1"/>
    </xf>
    <xf numFmtId="40" fontId="4" fillId="11" borderId="15" xfId="12" applyNumberFormat="1" applyFont="1" applyFill="1" applyBorder="1" applyAlignment="1">
      <alignment vertical="top" wrapText="1"/>
    </xf>
    <xf numFmtId="176" fontId="4" fillId="8" borderId="4" xfId="12" applyNumberFormat="1" applyFont="1" applyFill="1" applyBorder="1" applyAlignment="1">
      <alignment horizontal="center" vertical="center" wrapText="1"/>
    </xf>
    <xf numFmtId="40" fontId="4" fillId="0" borderId="13" xfId="12" applyNumberFormat="1" applyFont="1" applyFill="1" applyBorder="1" applyAlignment="1">
      <alignment vertical="top" wrapText="1"/>
    </xf>
    <xf numFmtId="40" fontId="4" fillId="0" borderId="14" xfId="12" applyNumberFormat="1" applyFont="1" applyFill="1" applyBorder="1" applyAlignment="1">
      <alignment horizontal="center" vertical="top" wrapText="1"/>
    </xf>
    <xf numFmtId="40" fontId="4" fillId="0" borderId="15" xfId="12" applyNumberFormat="1" applyFont="1" applyFill="1" applyBorder="1" applyAlignment="1">
      <alignment horizontal="center" vertical="top" wrapText="1"/>
    </xf>
    <xf numFmtId="40" fontId="4" fillId="0" borderId="4" xfId="12" applyNumberFormat="1" applyFont="1" applyFill="1" applyBorder="1" applyAlignment="1">
      <alignment horizontal="center" vertical="center" wrapText="1"/>
    </xf>
    <xf numFmtId="40" fontId="4" fillId="8" borderId="13" xfId="12" applyNumberFormat="1" applyFont="1" applyFill="1" applyBorder="1" applyAlignment="1">
      <alignment horizontal="center" vertical="center" wrapText="1"/>
    </xf>
    <xf numFmtId="40" fontId="4" fillId="8" borderId="14" xfId="12" applyNumberFormat="1" applyFont="1" applyFill="1" applyBorder="1" applyAlignment="1">
      <alignment horizontal="center" vertical="center" wrapText="1"/>
    </xf>
    <xf numFmtId="40" fontId="4" fillId="8" borderId="15" xfId="12" applyNumberFormat="1" applyFont="1" applyFill="1" applyBorder="1" applyAlignment="1">
      <alignment horizontal="center" vertical="center" wrapText="1"/>
    </xf>
    <xf numFmtId="40" fontId="27" fillId="8" borderId="0" xfId="12" applyNumberFormat="1" applyFont="1" applyFill="1" applyBorder="1" applyAlignment="1">
      <alignment vertical="top" wrapText="1"/>
    </xf>
    <xf numFmtId="40" fontId="4" fillId="22" borderId="4" xfId="12" applyNumberFormat="1" applyFont="1" applyFill="1" applyBorder="1" applyAlignment="1">
      <alignment horizontal="center" vertical="center" wrapText="1"/>
    </xf>
    <xf numFmtId="38" fontId="4" fillId="7" borderId="0" xfId="0" applyNumberFormat="1" applyFont="1" applyFill="1" applyAlignment="1">
      <alignment horizontal="center" vertical="center"/>
    </xf>
    <xf numFmtId="40" fontId="36" fillId="0" borderId="4" xfId="3" applyNumberFormat="1" applyFont="1" applyFill="1" applyBorder="1" applyAlignment="1">
      <alignment horizontal="center" vertical="center" wrapText="1"/>
    </xf>
    <xf numFmtId="0" fontId="4" fillId="0" borderId="0" xfId="12" applyFont="1" applyFill="1" applyAlignment="1">
      <alignment vertical="center"/>
    </xf>
    <xf numFmtId="0" fontId="7" fillId="3" borderId="101" xfId="0" applyFont="1" applyFill="1" applyBorder="1" applyAlignment="1">
      <alignment horizontal="center" vertical="center"/>
    </xf>
    <xf numFmtId="0" fontId="7" fillId="3" borderId="18"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102" xfId="0" applyFont="1" applyFill="1" applyBorder="1" applyAlignment="1">
      <alignment horizontal="center" vertical="center"/>
    </xf>
    <xf numFmtId="0" fontId="7" fillId="4" borderId="13" xfId="5" applyFont="1" applyFill="1" applyBorder="1" applyAlignment="1"/>
    <xf numFmtId="0" fontId="7" fillId="4" borderId="14" xfId="5" applyFont="1" applyFill="1" applyBorder="1" applyAlignment="1"/>
    <xf numFmtId="0" fontId="7" fillId="4" borderId="78" xfId="5" applyFont="1" applyFill="1" applyBorder="1" applyAlignment="1">
      <alignment horizontal="right"/>
    </xf>
    <xf numFmtId="0" fontId="19" fillId="0" borderId="4" xfId="0" applyFont="1" applyFill="1" applyBorder="1" applyAlignment="1">
      <alignment horizontal="center" vertical="center" wrapText="1"/>
    </xf>
    <xf numFmtId="0" fontId="7" fillId="4" borderId="77" xfId="5" applyFont="1" applyFill="1" applyBorder="1" applyAlignment="1">
      <alignment horizontal="right"/>
    </xf>
    <xf numFmtId="0" fontId="7" fillId="3" borderId="80" xfId="5" applyFont="1" applyFill="1" applyBorder="1" applyAlignment="1">
      <alignment horizontal="center" vertical="center"/>
    </xf>
    <xf numFmtId="0" fontId="7" fillId="3" borderId="14" xfId="5" applyFont="1" applyFill="1" applyBorder="1" applyAlignment="1">
      <alignment horizontal="center" vertical="center"/>
    </xf>
    <xf numFmtId="0" fontId="7" fillId="3" borderId="13" xfId="5" applyFont="1" applyFill="1" applyBorder="1" applyAlignment="1"/>
    <xf numFmtId="0" fontId="7" fillId="3" borderId="14" xfId="5" applyFont="1" applyFill="1" applyBorder="1" applyAlignment="1"/>
    <xf numFmtId="0" fontId="7" fillId="3" borderId="15" xfId="5" applyFont="1" applyFill="1" applyBorder="1" applyAlignment="1"/>
    <xf numFmtId="0" fontId="7" fillId="3" borderId="4" xfId="5" applyFont="1" applyFill="1" applyBorder="1" applyAlignment="1">
      <alignment horizontal="center"/>
    </xf>
    <xf numFmtId="8" fontId="7" fillId="3" borderId="4" xfId="5" applyNumberFormat="1" applyFont="1" applyFill="1" applyBorder="1" applyAlignment="1">
      <alignment horizontal="center"/>
    </xf>
    <xf numFmtId="44" fontId="7" fillId="4" borderId="77" xfId="5" applyNumberFormat="1" applyFont="1" applyFill="1" applyBorder="1" applyAlignment="1">
      <alignment horizontal="right" vertical="center"/>
    </xf>
    <xf numFmtId="0" fontId="19" fillId="0" borderId="0" xfId="0" applyFont="1" applyAlignment="1">
      <alignment vertical="center"/>
    </xf>
    <xf numFmtId="0" fontId="19" fillId="3" borderId="0" xfId="0" applyFont="1" applyFill="1" applyAlignment="1">
      <alignment vertical="center"/>
    </xf>
    <xf numFmtId="0" fontId="19" fillId="0" borderId="76" xfId="0" applyFont="1" applyFill="1" applyBorder="1" applyAlignment="1">
      <alignment horizontal="center" vertical="center" wrapText="1"/>
    </xf>
    <xf numFmtId="0" fontId="7" fillId="3" borderId="13" xfId="5" applyFont="1" applyFill="1" applyBorder="1" applyAlignment="1">
      <alignment vertical="center"/>
    </xf>
    <xf numFmtId="0" fontId="7" fillId="3" borderId="14" xfId="5" applyFont="1" applyFill="1" applyBorder="1" applyAlignment="1">
      <alignment vertical="center"/>
    </xf>
    <xf numFmtId="0" fontId="7" fillId="3" borderId="15" xfId="5" applyFont="1" applyFill="1" applyBorder="1" applyAlignment="1">
      <alignment vertical="center"/>
    </xf>
    <xf numFmtId="0" fontId="7" fillId="3" borderId="4" xfId="5" applyFont="1" applyFill="1" applyBorder="1" applyAlignment="1">
      <alignment horizontal="center" vertical="center"/>
    </xf>
    <xf numFmtId="8" fontId="7" fillId="3" borderId="4" xfId="5" applyNumberFormat="1" applyFont="1" applyFill="1" applyBorder="1" applyAlignment="1">
      <alignment horizontal="center" vertical="center"/>
    </xf>
    <xf numFmtId="0" fontId="19" fillId="4" borderId="80" xfId="5" applyFont="1" applyFill="1" applyBorder="1" applyAlignment="1">
      <alignment horizontal="center" vertical="center"/>
    </xf>
    <xf numFmtId="8" fontId="7" fillId="4" borderId="4" xfId="5" applyNumberFormat="1" applyFont="1" applyFill="1" applyBorder="1" applyAlignment="1">
      <alignment horizontal="center" vertical="center"/>
    </xf>
    <xf numFmtId="0" fontId="19" fillId="3" borderId="4" xfId="5" applyFont="1" applyFill="1" applyBorder="1" applyAlignment="1">
      <alignment horizontal="center" vertical="center"/>
    </xf>
    <xf numFmtId="8" fontId="7" fillId="4" borderId="77" xfId="5" applyNumberFormat="1" applyFont="1" applyFill="1" applyBorder="1" applyAlignment="1">
      <alignment horizontal="right"/>
    </xf>
    <xf numFmtId="44" fontId="7" fillId="4" borderId="77" xfId="5" applyNumberFormat="1" applyFont="1" applyFill="1" applyBorder="1" applyAlignment="1">
      <alignment horizontal="right"/>
    </xf>
    <xf numFmtId="44" fontId="19" fillId="0" borderId="0" xfId="0" applyNumberFormat="1" applyFont="1"/>
    <xf numFmtId="0" fontId="7" fillId="4" borderId="14" xfId="5" applyFont="1" applyFill="1" applyBorder="1"/>
    <xf numFmtId="4" fontId="19" fillId="0" borderId="4" xfId="0" applyNumberFormat="1" applyFont="1" applyBorder="1" applyAlignment="1">
      <alignment horizontal="center" vertical="center" wrapText="1"/>
    </xf>
    <xf numFmtId="0" fontId="19" fillId="4" borderId="14" xfId="5" applyFont="1" applyFill="1" applyBorder="1" applyAlignment="1">
      <alignment vertical="center"/>
    </xf>
    <xf numFmtId="0" fontId="19" fillId="4" borderId="15" xfId="5" applyFont="1" applyFill="1" applyBorder="1" applyAlignment="1">
      <alignment vertical="center"/>
    </xf>
    <xf numFmtId="0" fontId="7" fillId="3" borderId="76" xfId="5" applyFont="1" applyFill="1" applyBorder="1" applyAlignment="1">
      <alignment horizontal="center" vertical="center"/>
    </xf>
    <xf numFmtId="173" fontId="7" fillId="3" borderId="4" xfId="5" applyNumberFormat="1" applyFont="1" applyFill="1" applyBorder="1" applyAlignment="1">
      <alignment horizontal="center" vertical="center"/>
    </xf>
    <xf numFmtId="173" fontId="7" fillId="3" borderId="4" xfId="5" applyNumberFormat="1" applyFont="1" applyFill="1" applyBorder="1" applyAlignment="1">
      <alignment horizontal="center"/>
    </xf>
    <xf numFmtId="0" fontId="19" fillId="3" borderId="76" xfId="5" applyFont="1" applyFill="1" applyBorder="1" applyAlignment="1">
      <alignment horizontal="center" vertical="center" wrapText="1"/>
    </xf>
    <xf numFmtId="0" fontId="19" fillId="0" borderId="4" xfId="5" applyFont="1" applyBorder="1" applyAlignment="1">
      <alignment horizontal="center" vertical="center" wrapText="1"/>
    </xf>
    <xf numFmtId="2" fontId="19" fillId="0" borderId="4" xfId="5" applyNumberFormat="1" applyFont="1" applyBorder="1" applyAlignment="1">
      <alignment horizontal="center" vertical="center"/>
    </xf>
    <xf numFmtId="173" fontId="19" fillId="0" borderId="4" xfId="5" applyNumberFormat="1" applyFont="1" applyBorder="1" applyAlignment="1">
      <alignment horizontal="right" vertical="center"/>
    </xf>
    <xf numFmtId="173" fontId="19" fillId="3" borderId="77" xfId="5" applyNumberFormat="1" applyFont="1" applyFill="1" applyBorder="1" applyAlignment="1">
      <alignment horizontal="right" vertical="center"/>
    </xf>
    <xf numFmtId="2" fontId="19" fillId="3" borderId="4" xfId="5" applyNumberFormat="1" applyFont="1" applyFill="1" applyBorder="1" applyAlignment="1">
      <alignment horizontal="center" vertical="center"/>
    </xf>
    <xf numFmtId="2" fontId="19" fillId="0" borderId="4" xfId="5" applyNumberFormat="1" applyFont="1" applyFill="1" applyBorder="1" applyAlignment="1">
      <alignment horizontal="center" vertical="center"/>
    </xf>
    <xf numFmtId="0" fontId="19" fillId="4" borderId="20" xfId="5" applyFont="1" applyFill="1" applyBorder="1" applyAlignment="1">
      <alignment horizontal="center" vertical="center"/>
    </xf>
    <xf numFmtId="173" fontId="7" fillId="4" borderId="4" xfId="5" applyNumberFormat="1" applyFont="1" applyFill="1" applyBorder="1" applyAlignment="1">
      <alignment horizontal="center" vertical="center"/>
    </xf>
    <xf numFmtId="173" fontId="7" fillId="4" borderId="77" xfId="5" applyNumberFormat="1" applyFont="1" applyFill="1" applyBorder="1" applyAlignment="1">
      <alignment horizontal="right"/>
    </xf>
    <xf numFmtId="0" fontId="7" fillId="3" borderId="65" xfId="0" applyFont="1" applyFill="1" applyBorder="1" applyAlignment="1">
      <alignment horizontal="center" vertical="center"/>
    </xf>
    <xf numFmtId="0" fontId="19" fillId="3" borderId="0" xfId="0" applyFont="1" applyFill="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xf>
    <xf numFmtId="8" fontId="7" fillId="0" borderId="0" xfId="5" applyNumberFormat="1" applyFont="1" applyAlignment="1">
      <alignment horizontal="center" vertical="center"/>
    </xf>
    <xf numFmtId="44" fontId="7" fillId="0" borderId="0" xfId="5" applyNumberFormat="1" applyFont="1" applyAlignment="1">
      <alignment horizontal="right"/>
    </xf>
    <xf numFmtId="0" fontId="19" fillId="0" borderId="0" xfId="5" applyFont="1" applyAlignment="1">
      <alignment horizontal="center"/>
    </xf>
    <xf numFmtId="0" fontId="7" fillId="0" borderId="0" xfId="5" applyFont="1" applyBorder="1" applyAlignment="1">
      <alignment horizontal="center" vertical="center"/>
    </xf>
    <xf numFmtId="8" fontId="7" fillId="0" borderId="4" xfId="5" applyNumberFormat="1" applyFont="1" applyBorder="1" applyAlignment="1">
      <alignment horizontal="center" vertical="center"/>
    </xf>
    <xf numFmtId="0" fontId="7" fillId="0" borderId="0" xfId="5" applyFont="1" applyAlignment="1">
      <alignment horizontal="center" vertical="center"/>
    </xf>
    <xf numFmtId="0" fontId="19" fillId="0" borderId="0" xfId="5" applyFont="1" applyBorder="1" applyAlignment="1">
      <alignment horizontal="left" wrapText="1"/>
    </xf>
    <xf numFmtId="0" fontId="19" fillId="0" borderId="4" xfId="5" applyFont="1" applyBorder="1" applyAlignment="1">
      <alignment horizontal="center" vertical="center"/>
    </xf>
    <xf numFmtId="174" fontId="19" fillId="0" borderId="4" xfId="5" applyNumberFormat="1" applyFont="1" applyBorder="1" applyAlignment="1">
      <alignment horizontal="center" vertical="center"/>
    </xf>
    <xf numFmtId="0" fontId="19" fillId="0" borderId="0" xfId="5" applyFont="1" applyAlignment="1">
      <alignment horizontal="left" wrapText="1"/>
    </xf>
    <xf numFmtId="2" fontId="19" fillId="0" borderId="0" xfId="5" applyNumberFormat="1" applyFont="1" applyAlignment="1">
      <alignment horizontal="center" vertical="center"/>
    </xf>
    <xf numFmtId="174" fontId="19" fillId="0" borderId="0" xfId="5" applyNumberFormat="1" applyFont="1" applyAlignment="1">
      <alignment horizontal="center" vertical="center"/>
    </xf>
    <xf numFmtId="0" fontId="19" fillId="0" borderId="0" xfId="0" applyFont="1" applyBorder="1"/>
    <xf numFmtId="0" fontId="19" fillId="0" borderId="0" xfId="5" applyFont="1" applyBorder="1" applyAlignment="1">
      <alignment horizontal="center" vertical="center"/>
    </xf>
    <xf numFmtId="0" fontId="7" fillId="0" borderId="4" xfId="5" applyFont="1" applyBorder="1" applyAlignment="1">
      <alignment horizontal="center" vertical="center" wrapText="1"/>
    </xf>
    <xf numFmtId="2" fontId="19" fillId="0" borderId="4" xfId="5" applyNumberFormat="1" applyFont="1" applyBorder="1" applyAlignment="1">
      <alignment horizontal="center" wrapText="1"/>
    </xf>
    <xf numFmtId="0" fontId="19" fillId="0" borderId="4" xfId="5" applyFont="1" applyBorder="1" applyAlignment="1">
      <alignment horizontal="center" wrapText="1"/>
    </xf>
    <xf numFmtId="0" fontId="7" fillId="3" borderId="0" xfId="0" applyFont="1" applyFill="1" applyBorder="1" applyAlignment="1">
      <alignment horizontal="center" vertical="center"/>
    </xf>
    <xf numFmtId="0" fontId="19" fillId="0" borderId="14" xfId="0" applyFont="1" applyBorder="1" applyAlignment="1">
      <alignment horizontal="center" vertical="center" wrapText="1"/>
    </xf>
    <xf numFmtId="0" fontId="19" fillId="3" borderId="0" xfId="0" applyFont="1" applyFill="1" applyBorder="1" applyAlignment="1">
      <alignment horizontal="center" vertical="center"/>
    </xf>
    <xf numFmtId="0" fontId="7" fillId="4" borderId="80" xfId="5" applyFont="1" applyFill="1" applyBorder="1" applyAlignment="1">
      <alignment horizontal="center" vertical="center"/>
    </xf>
    <xf numFmtId="4" fontId="19" fillId="0" borderId="80" xfId="12" applyNumberFormat="1" applyFont="1" applyFill="1" applyBorder="1" applyAlignment="1">
      <alignment horizontal="center" vertical="center" wrapText="1"/>
    </xf>
    <xf numFmtId="8" fontId="7" fillId="3" borderId="4" xfId="21" applyNumberFormat="1" applyFont="1" applyFill="1" applyBorder="1" applyAlignment="1">
      <alignment horizontal="center" vertical="center"/>
    </xf>
    <xf numFmtId="0" fontId="19" fillId="3" borderId="15" xfId="5" applyFont="1" applyFill="1" applyBorder="1" applyAlignment="1">
      <alignment horizontal="center" vertical="center"/>
    </xf>
    <xf numFmtId="0" fontId="19" fillId="3" borderId="14" xfId="5" applyFont="1" applyFill="1" applyBorder="1" applyAlignment="1">
      <alignment horizontal="center" vertical="center"/>
    </xf>
    <xf numFmtId="8" fontId="19" fillId="3" borderId="4" xfId="5" applyNumberFormat="1" applyFont="1" applyFill="1" applyBorder="1" applyAlignment="1">
      <alignment horizontal="right" vertical="center"/>
    </xf>
    <xf numFmtId="0" fontId="19" fillId="0" borderId="15" xfId="5" applyFont="1" applyFill="1" applyBorder="1" applyAlignment="1">
      <alignment horizontal="center" vertical="center" wrapText="1"/>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3" borderId="15" xfId="5" applyFont="1" applyFill="1" applyBorder="1" applyAlignment="1">
      <alignment horizontal="center" vertical="center" wrapText="1"/>
    </xf>
    <xf numFmtId="171" fontId="19" fillId="3" borderId="4" xfId="5" applyNumberFormat="1" applyFont="1" applyFill="1" applyBorder="1" applyAlignment="1">
      <alignment horizontal="center" vertical="center"/>
    </xf>
    <xf numFmtId="172" fontId="19" fillId="3" borderId="4" xfId="5" applyNumberFormat="1" applyFont="1" applyFill="1" applyBorder="1" applyAlignment="1">
      <alignment horizontal="center" vertical="center"/>
    </xf>
    <xf numFmtId="0" fontId="7" fillId="4" borderId="13" xfId="5" applyFont="1" applyFill="1" applyBorder="1" applyAlignment="1">
      <alignment vertical="center"/>
    </xf>
    <xf numFmtId="0" fontId="7" fillId="4" borderId="14" xfId="5" applyFont="1" applyFill="1" applyBorder="1" applyAlignment="1">
      <alignment vertical="center"/>
    </xf>
    <xf numFmtId="0" fontId="7" fillId="4" borderId="78" xfId="5" applyFont="1" applyFill="1" applyBorder="1" applyAlignment="1">
      <alignment horizontal="right" vertical="center"/>
    </xf>
    <xf numFmtId="0" fontId="7" fillId="4" borderId="15" xfId="5" applyFont="1" applyFill="1" applyBorder="1" applyAlignment="1">
      <alignment horizontal="right"/>
    </xf>
    <xf numFmtId="0" fontId="19" fillId="0" borderId="110" xfId="0" applyFont="1" applyBorder="1"/>
    <xf numFmtId="4" fontId="19" fillId="0" borderId="4" xfId="12" applyNumberFormat="1" applyFont="1" applyFill="1" applyBorder="1" applyAlignment="1">
      <alignment horizontal="center" vertical="center" wrapText="1"/>
    </xf>
    <xf numFmtId="0" fontId="19" fillId="4" borderId="13" xfId="5" applyFont="1" applyFill="1" applyBorder="1" applyAlignment="1">
      <alignment horizontal="center" vertical="center"/>
    </xf>
    <xf numFmtId="0" fontId="7" fillId="4" borderId="4" xfId="5" applyFont="1" applyFill="1" applyBorder="1" applyAlignment="1">
      <alignment horizontal="right"/>
    </xf>
    <xf numFmtId="0" fontId="7" fillId="3" borderId="4" xfId="21" applyFont="1" applyFill="1" applyBorder="1" applyAlignment="1">
      <alignment horizontal="center" vertical="center"/>
    </xf>
    <xf numFmtId="173" fontId="7" fillId="3" borderId="4" xfId="21" applyNumberFormat="1" applyFont="1" applyFill="1" applyBorder="1" applyAlignment="1">
      <alignment horizontal="center" vertical="center"/>
    </xf>
    <xf numFmtId="0" fontId="19" fillId="0" borderId="4" xfId="21" applyFont="1" applyBorder="1" applyAlignment="1">
      <alignment horizontal="center" vertical="center" wrapText="1"/>
    </xf>
    <xf numFmtId="0" fontId="19" fillId="3" borderId="4" xfId="21" applyFont="1" applyFill="1" applyBorder="1" applyAlignment="1">
      <alignment horizontal="center" vertical="center"/>
    </xf>
    <xf numFmtId="2" fontId="19" fillId="3" borderId="4" xfId="21" applyNumberFormat="1" applyFont="1" applyFill="1" applyBorder="1" applyAlignment="1">
      <alignment horizontal="center" vertical="center"/>
    </xf>
    <xf numFmtId="44" fontId="19" fillId="0" borderId="4" xfId="22" applyFont="1" applyFill="1" applyBorder="1" applyAlignment="1">
      <alignment horizontal="center" vertical="center"/>
    </xf>
    <xf numFmtId="173" fontId="19" fillId="3" borderId="4" xfId="21" applyNumberFormat="1" applyFont="1" applyFill="1" applyBorder="1" applyAlignment="1">
      <alignment horizontal="right" vertical="center"/>
    </xf>
    <xf numFmtId="171" fontId="19" fillId="3" borderId="4" xfId="21" applyNumberFormat="1" applyFont="1" applyFill="1" applyBorder="1" applyAlignment="1">
      <alignment horizontal="center" vertical="center"/>
    </xf>
    <xf numFmtId="0" fontId="19" fillId="4" borderId="4" xfId="21" applyFont="1" applyFill="1" applyBorder="1" applyAlignment="1">
      <alignment horizontal="center" vertical="center"/>
    </xf>
    <xf numFmtId="173" fontId="7" fillId="4" borderId="4" xfId="21" applyNumberFormat="1" applyFont="1" applyFill="1" applyBorder="1" applyAlignment="1">
      <alignment horizontal="center" vertical="center"/>
    </xf>
    <xf numFmtId="173" fontId="7" fillId="4" borderId="4" xfId="21" applyNumberFormat="1" applyFont="1" applyFill="1" applyBorder="1" applyAlignment="1">
      <alignment horizontal="right" vertical="center"/>
    </xf>
    <xf numFmtId="0" fontId="19" fillId="0" borderId="0" xfId="0" applyFont="1" applyAlignment="1">
      <alignment horizontal="center" vertical="center"/>
    </xf>
    <xf numFmtId="40" fontId="5" fillId="7" borderId="0" xfId="12" applyNumberFormat="1" applyFont="1" applyFill="1" applyAlignment="1">
      <alignment horizontal="center" vertical="top" wrapText="1"/>
    </xf>
    <xf numFmtId="40" fontId="16" fillId="3" borderId="0" xfId="3" applyNumberFormat="1" applyFont="1" applyFill="1" applyAlignment="1"/>
    <xf numFmtId="40" fontId="16" fillId="3" borderId="0" xfId="3" applyNumberFormat="1" applyFont="1" applyFill="1"/>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center"/>
    </xf>
    <xf numFmtId="0" fontId="4" fillId="0" borderId="4" xfId="0" applyFont="1" applyBorder="1" applyAlignment="1">
      <alignment horizontal="left" vertical="center" wrapText="1"/>
    </xf>
    <xf numFmtId="40" fontId="5" fillId="7" borderId="0" xfId="0" applyNumberFormat="1" applyFont="1" applyFill="1" applyAlignment="1">
      <alignment horizontal="left" vertical="center"/>
    </xf>
    <xf numFmtId="0" fontId="4" fillId="0" borderId="4" xfId="0" applyFont="1" applyBorder="1" applyAlignment="1">
      <alignment horizontal="center" vertical="center" wrapText="1"/>
    </xf>
    <xf numFmtId="0" fontId="4" fillId="0" borderId="12" xfId="0" applyFont="1" applyFill="1" applyBorder="1" applyAlignment="1">
      <alignment horizontal="center" vertical="center" wrapText="1"/>
    </xf>
    <xf numFmtId="0" fontId="19" fillId="0" borderId="14" xfId="0" applyFont="1" applyFill="1" applyBorder="1" applyAlignment="1">
      <alignment horizontal="center" vertical="center" wrapText="1"/>
    </xf>
    <xf numFmtId="172" fontId="19" fillId="3" borderId="4" xfId="16" applyNumberFormat="1" applyFont="1" applyFill="1" applyBorder="1" applyAlignment="1" applyProtection="1">
      <alignment horizontal="center" vertical="center" wrapText="1"/>
    </xf>
    <xf numFmtId="40" fontId="5" fillId="8" borderId="0" xfId="12" applyNumberFormat="1" applyFont="1" applyFill="1" applyBorder="1" applyAlignment="1">
      <alignment horizontal="center" vertical="top" wrapText="1"/>
    </xf>
    <xf numFmtId="40" fontId="4" fillId="3" borderId="20" xfId="0" applyNumberFormat="1" applyFont="1" applyFill="1" applyBorder="1" applyAlignment="1">
      <alignment vertical="center" wrapText="1"/>
    </xf>
    <xf numFmtId="40" fontId="16" fillId="22" borderId="15" xfId="3" applyNumberFormat="1" applyFont="1" applyFill="1" applyBorder="1" applyAlignment="1">
      <alignment horizontal="center" vertical="center" wrapText="1"/>
    </xf>
    <xf numFmtId="40" fontId="5" fillId="7" borderId="0" xfId="0" applyNumberFormat="1" applyFont="1" applyFill="1" applyAlignment="1">
      <alignment horizontal="left"/>
    </xf>
    <xf numFmtId="40" fontId="4" fillId="0" borderId="4" xfId="0" applyNumberFormat="1" applyFont="1" applyFill="1" applyBorder="1" applyAlignment="1">
      <alignment horizontal="center"/>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4" fillId="8" borderId="0" xfId="0" applyNumberFormat="1" applyFont="1" applyFill="1" applyBorder="1" applyAlignment="1">
      <alignment horizontal="left" vertical="center" wrapText="1"/>
    </xf>
    <xf numFmtId="40" fontId="5" fillId="7" borderId="0" xfId="0" applyNumberFormat="1" applyFont="1" applyFill="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xf>
    <xf numFmtId="0" fontId="4" fillId="22" borderId="13" xfId="0" applyFont="1" applyFill="1" applyBorder="1" applyAlignment="1">
      <alignment vertical="center"/>
    </xf>
    <xf numFmtId="0" fontId="0" fillId="0" borderId="4" xfId="0" applyBorder="1" applyAlignment="1">
      <alignment horizontal="center" vertical="center" wrapText="1"/>
    </xf>
    <xf numFmtId="0" fontId="4" fillId="0" borderId="4" xfId="0" applyFont="1" applyBorder="1" applyAlignment="1">
      <alignment horizontal="center" vertical="center"/>
    </xf>
    <xf numFmtId="40" fontId="5" fillId="7" borderId="0" xfId="0" applyNumberFormat="1" applyFont="1" applyFill="1" applyAlignment="1">
      <alignment horizontal="left"/>
    </xf>
    <xf numFmtId="40" fontId="5" fillId="7" borderId="0" xfId="0" applyNumberFormat="1" applyFont="1" applyFill="1" applyAlignment="1">
      <alignment horizontal="left" vertical="center" wrapText="1"/>
    </xf>
    <xf numFmtId="0" fontId="4" fillId="0" borderId="4" xfId="0" applyFont="1" applyBorder="1" applyAlignment="1">
      <alignment horizontal="center"/>
    </xf>
    <xf numFmtId="0" fontId="4" fillId="0" borderId="4" xfId="0" applyFont="1" applyBorder="1" applyAlignment="1">
      <alignment horizontal="left" vertical="center" wrapText="1"/>
    </xf>
    <xf numFmtId="40" fontId="5" fillId="7" borderId="0" xfId="0" applyNumberFormat="1" applyFont="1" applyFill="1" applyAlignment="1">
      <alignment horizontal="left"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Fill="1" applyBorder="1" applyAlignment="1">
      <alignment horizontal="center" vertical="center"/>
    </xf>
    <xf numFmtId="40" fontId="4" fillId="0" borderId="63" xfId="0" applyNumberFormat="1" applyFont="1" applyFill="1" applyBorder="1" applyAlignment="1">
      <alignment horizontal="center" vertical="center" wrapText="1"/>
    </xf>
    <xf numFmtId="40" fontId="0" fillId="0" borderId="53" xfId="0" applyNumberFormat="1" applyFill="1" applyBorder="1" applyAlignment="1">
      <alignment horizontal="center" vertical="center"/>
    </xf>
    <xf numFmtId="40" fontId="0" fillId="0" borderId="64" xfId="0" applyNumberFormat="1" applyFont="1" applyFill="1" applyBorder="1" applyAlignment="1">
      <alignment horizontal="center" vertical="center"/>
    </xf>
    <xf numFmtId="40" fontId="4" fillId="7" borderId="4" xfId="0" applyNumberFormat="1" applyFont="1" applyFill="1" applyBorder="1" applyAlignment="1">
      <alignment horizontal="left" vertical="center"/>
    </xf>
    <xf numFmtId="40" fontId="4" fillId="7" borderId="0" xfId="0" applyNumberFormat="1" applyFont="1" applyFill="1" applyAlignment="1">
      <alignment vertical="center"/>
    </xf>
    <xf numFmtId="0" fontId="5" fillId="0" borderId="4" xfId="0" applyFont="1" applyFill="1" applyBorder="1" applyAlignment="1">
      <alignment horizontal="center" vertical="center"/>
    </xf>
    <xf numFmtId="2" fontId="1" fillId="20" borderId="15" xfId="0" applyNumberFormat="1" applyFont="1" applyFill="1" applyBorder="1" applyAlignment="1">
      <alignment horizontal="center" vertical="center"/>
    </xf>
    <xf numFmtId="49" fontId="4" fillId="25" borderId="4" xfId="0" applyNumberFormat="1" applyFont="1" applyFill="1" applyBorder="1" applyAlignment="1">
      <alignment horizontal="left" vertical="center"/>
    </xf>
    <xf numFmtId="2" fontId="0" fillId="0" borderId="0" xfId="0" applyNumberFormat="1"/>
    <xf numFmtId="2" fontId="0" fillId="0" borderId="0" xfId="0" applyNumberFormat="1" applyAlignment="1">
      <alignment vertical="center"/>
    </xf>
    <xf numFmtId="2" fontId="4" fillId="0" borderId="0" xfId="0" applyNumberFormat="1" applyFont="1"/>
    <xf numFmtId="0" fontId="4" fillId="0" borderId="13" xfId="0" applyFont="1" applyFill="1" applyBorder="1" applyAlignment="1">
      <alignment vertical="center"/>
    </xf>
    <xf numFmtId="2" fontId="0" fillId="0" borderId="14" xfId="0" applyNumberFormat="1" applyFill="1" applyBorder="1" applyAlignment="1">
      <alignment horizontal="center" vertical="center"/>
    </xf>
    <xf numFmtId="0" fontId="4" fillId="22" borderId="4" xfId="0" applyFont="1" applyFill="1" applyBorder="1" applyAlignment="1">
      <alignment horizontal="center" vertical="center"/>
    </xf>
    <xf numFmtId="0" fontId="0" fillId="22" borderId="4" xfId="0" applyFill="1" applyBorder="1" applyAlignment="1">
      <alignment horizontal="center" vertical="center"/>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5" fillId="0" borderId="0" xfId="0" applyNumberFormat="1" applyFont="1" applyFill="1" applyBorder="1" applyAlignment="1">
      <alignment horizontal="left" vertical="center" wrapText="1"/>
    </xf>
    <xf numFmtId="0" fontId="19" fillId="4" borderId="4" xfId="5"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xf>
    <xf numFmtId="0" fontId="4" fillId="0" borderId="4" xfId="0" applyFont="1" applyBorder="1" applyAlignment="1">
      <alignment horizontal="left" vertical="center" wrapText="1"/>
    </xf>
    <xf numFmtId="40" fontId="5" fillId="7" borderId="0" xfId="0" applyNumberFormat="1" applyFont="1" applyFill="1" applyAlignment="1">
      <alignment horizontal="left" vertical="center"/>
    </xf>
    <xf numFmtId="0" fontId="4"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19" fillId="0" borderId="76" xfId="0" applyFont="1" applyBorder="1" applyAlignment="1">
      <alignment horizontal="center" vertical="center" wrapText="1"/>
    </xf>
    <xf numFmtId="0" fontId="19" fillId="0" borderId="4" xfId="0" applyFont="1" applyBorder="1" applyAlignment="1">
      <alignment horizontal="center" vertical="center" wrapText="1"/>
    </xf>
    <xf numFmtId="0" fontId="7" fillId="3" borderId="14" xfId="5" applyFont="1" applyFill="1" applyBorder="1"/>
    <xf numFmtId="0" fontId="7" fillId="3" borderId="15" xfId="5" applyFont="1" applyFill="1" applyBorder="1"/>
    <xf numFmtId="173" fontId="19" fillId="3" borderId="77" xfId="5" applyNumberFormat="1" applyFont="1" applyFill="1" applyBorder="1" applyAlignment="1">
      <alignment horizontal="right"/>
    </xf>
    <xf numFmtId="173" fontId="19" fillId="0" borderId="4" xfId="5" applyNumberFormat="1" applyFont="1" applyBorder="1" applyAlignment="1">
      <alignment horizontal="center" vertical="center"/>
    </xf>
    <xf numFmtId="0" fontId="19" fillId="3" borderId="4" xfId="5" applyFont="1" applyFill="1" applyBorder="1" applyAlignment="1">
      <alignment horizontal="center" vertical="center" wrapText="1"/>
    </xf>
    <xf numFmtId="173" fontId="19" fillId="3" borderId="4" xfId="5" applyNumberFormat="1" applyFont="1" applyFill="1" applyBorder="1" applyAlignment="1">
      <alignment horizontal="center" vertical="center"/>
    </xf>
    <xf numFmtId="0" fontId="4" fillId="0" borderId="4" xfId="0" applyFont="1" applyBorder="1" applyAlignment="1">
      <alignment horizontal="center" vertical="center"/>
    </xf>
    <xf numFmtId="40" fontId="5" fillId="7" borderId="0" xfId="0" applyNumberFormat="1" applyFont="1" applyFill="1" applyAlignment="1">
      <alignment horizontal="left" vertical="center" wrapText="1"/>
    </xf>
    <xf numFmtId="40" fontId="16" fillId="3" borderId="0" xfId="3" applyNumberFormat="1" applyFont="1" applyFill="1" applyAlignment="1">
      <alignment horizontal="left" wrapText="1"/>
    </xf>
    <xf numFmtId="40" fontId="4" fillId="7" borderId="4" xfId="0" applyNumberFormat="1" applyFont="1" applyFill="1" applyBorder="1" applyAlignment="1">
      <alignment horizontal="left" vertical="center" wrapText="1"/>
    </xf>
    <xf numFmtId="40" fontId="36" fillId="3" borderId="0" xfId="3" applyNumberFormat="1" applyFont="1" applyFill="1" applyAlignment="1">
      <alignment horizontal="left" wrapText="1"/>
    </xf>
    <xf numFmtId="40" fontId="5" fillId="7" borderId="0" xfId="0" applyNumberFormat="1" applyFont="1" applyFill="1" applyAlignment="1">
      <alignment horizontal="left"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Fill="1" applyBorder="1" applyAlignment="1">
      <alignment horizontal="center" vertical="center"/>
    </xf>
    <xf numFmtId="0" fontId="4" fillId="22" borderId="15" xfId="0" applyFont="1" applyFill="1" applyBorder="1" applyAlignment="1">
      <alignment vertical="center"/>
    </xf>
    <xf numFmtId="2" fontId="4" fillId="22" borderId="14" xfId="0" applyNumberFormat="1" applyFont="1" applyFill="1" applyBorder="1" applyAlignment="1">
      <alignment horizontal="center" vertical="center"/>
    </xf>
    <xf numFmtId="2" fontId="4" fillId="0" borderId="14" xfId="0" applyNumberFormat="1" applyFont="1" applyFill="1" applyBorder="1" applyAlignment="1">
      <alignment horizontal="center" vertical="center"/>
    </xf>
    <xf numFmtId="0" fontId="4" fillId="0" borderId="15" xfId="0" applyFont="1" applyFill="1" applyBorder="1" applyAlignment="1">
      <alignment vertical="center"/>
    </xf>
    <xf numFmtId="0" fontId="4" fillId="22" borderId="4" xfId="0" applyFont="1" applyFill="1" applyBorder="1" applyAlignment="1">
      <alignment horizontal="center" vertical="center" wrapText="1"/>
    </xf>
    <xf numFmtId="2" fontId="0" fillId="22" borderId="4" xfId="0" applyNumberFormat="1" applyFill="1" applyBorder="1" applyAlignment="1">
      <alignment horizontal="center" vertical="center"/>
    </xf>
    <xf numFmtId="0" fontId="0" fillId="0" borderId="0" xfId="0" applyAlignment="1">
      <alignment horizontal="center" vertical="center" wrapText="1"/>
    </xf>
    <xf numFmtId="40" fontId="5" fillId="8" borderId="0" xfId="0" applyNumberFormat="1" applyFont="1" applyFill="1" applyBorder="1" applyAlignment="1">
      <alignment horizontal="left" vertical="center" wrapText="1"/>
    </xf>
    <xf numFmtId="40" fontId="5" fillId="8" borderId="0" xfId="0" applyNumberFormat="1" applyFont="1" applyFill="1" applyBorder="1" applyAlignment="1">
      <alignment horizontal="center" vertical="center"/>
    </xf>
    <xf numFmtId="40" fontId="16" fillId="3" borderId="0" xfId="3" applyNumberFormat="1" applyFont="1" applyFill="1" applyAlignment="1">
      <alignment horizontal="left" wrapText="1"/>
    </xf>
    <xf numFmtId="40" fontId="36" fillId="3" borderId="0" xfId="3" applyNumberFormat="1" applyFont="1" applyFill="1" applyAlignment="1">
      <alignment horizontal="left" wrapText="1"/>
    </xf>
    <xf numFmtId="40" fontId="5" fillId="7" borderId="0" xfId="0" applyNumberFormat="1" applyFont="1" applyFill="1" applyAlignment="1">
      <alignment horizontal="left" vertical="center"/>
    </xf>
    <xf numFmtId="40" fontId="5" fillId="0" borderId="0" xfId="0" applyNumberFormat="1" applyFont="1" applyFill="1" applyBorder="1" applyAlignment="1">
      <alignment horizontal="left" vertical="center" wrapText="1"/>
    </xf>
    <xf numFmtId="40" fontId="43" fillId="7" borderId="0" xfId="12" applyNumberFormat="1" applyFont="1" applyFill="1" applyAlignment="1">
      <alignment horizontal="center" vertical="center" wrapText="1"/>
    </xf>
    <xf numFmtId="0" fontId="42" fillId="3" borderId="0" xfId="12" applyFont="1" applyFill="1"/>
    <xf numFmtId="0" fontId="42" fillId="0" borderId="0" xfId="12" applyFont="1"/>
    <xf numFmtId="40" fontId="44" fillId="3" borderId="0" xfId="3" applyNumberFormat="1" applyFont="1" applyFill="1" applyAlignment="1">
      <alignment horizontal="left" wrapText="1"/>
    </xf>
    <xf numFmtId="0" fontId="42" fillId="0" borderId="0" xfId="12" applyFont="1" applyBorder="1"/>
    <xf numFmtId="0" fontId="43" fillId="0" borderId="0" xfId="12" applyFont="1" applyBorder="1" applyAlignment="1">
      <alignment vertical="center"/>
    </xf>
    <xf numFmtId="40" fontId="4" fillId="7" borderId="0" xfId="0" applyNumberFormat="1" applyFont="1" applyFill="1" applyAlignment="1">
      <alignment vertical="center" wrapText="1"/>
    </xf>
    <xf numFmtId="171" fontId="4" fillId="0" borderId="4" xfId="0" applyNumberFormat="1" applyFont="1" applyBorder="1" applyAlignment="1">
      <alignment horizontal="center" vertical="center"/>
    </xf>
    <xf numFmtId="40" fontId="4" fillId="11" borderId="4" xfId="0" applyNumberFormat="1" applyFont="1" applyFill="1" applyBorder="1" applyAlignment="1">
      <alignment horizontal="center" vertical="center" wrapText="1"/>
    </xf>
    <xf numFmtId="40" fontId="4" fillId="0" borderId="0" xfId="0" applyNumberFormat="1" applyFont="1" applyFill="1" applyAlignment="1">
      <alignment horizontal="left" vertical="center" wrapText="1"/>
    </xf>
    <xf numFmtId="0" fontId="4" fillId="0" borderId="4" xfId="0" applyFont="1" applyBorder="1" applyAlignment="1">
      <alignment horizontal="center" vertical="center"/>
    </xf>
    <xf numFmtId="40" fontId="5" fillId="7" borderId="0" xfId="0" applyNumberFormat="1" applyFont="1" applyFill="1" applyAlignment="1">
      <alignment horizontal="left"/>
    </xf>
    <xf numFmtId="40" fontId="5" fillId="7" borderId="0" xfId="0" applyNumberFormat="1" applyFont="1" applyFill="1" applyAlignment="1">
      <alignment horizontal="left" vertical="center"/>
    </xf>
    <xf numFmtId="0" fontId="19" fillId="0" borderId="4" xfId="5" applyFont="1" applyFill="1" applyBorder="1" applyAlignment="1">
      <alignment horizontal="center" vertical="center"/>
    </xf>
    <xf numFmtId="0" fontId="4" fillId="3" borderId="0" xfId="0" applyFont="1" applyFill="1" applyBorder="1" applyAlignment="1">
      <alignment horizontal="center" vertical="center"/>
    </xf>
    <xf numFmtId="0" fontId="4" fillId="3" borderId="4" xfId="5" applyFont="1" applyFill="1" applyBorder="1" applyAlignment="1">
      <alignment horizontal="center" vertical="center"/>
    </xf>
    <xf numFmtId="1" fontId="5" fillId="0" borderId="0" xfId="0" applyNumberFormat="1" applyFont="1" applyAlignment="1">
      <alignment horizontal="center" vertical="center"/>
    </xf>
    <xf numFmtId="0" fontId="7" fillId="4" borderId="4" xfId="5" applyFont="1" applyFill="1" applyBorder="1" applyAlignment="1">
      <alignment vertical="center"/>
    </xf>
    <xf numFmtId="0" fontId="7" fillId="4" borderId="4" xfId="5" applyFont="1" applyFill="1" applyBorder="1" applyAlignment="1">
      <alignment horizontal="right" vertical="center"/>
    </xf>
    <xf numFmtId="0" fontId="4" fillId="0" borderId="0" xfId="12" applyFont="1" applyBorder="1" applyAlignment="1">
      <alignment vertical="center"/>
    </xf>
    <xf numFmtId="2" fontId="4" fillId="0" borderId="4" xfId="1" applyNumberFormat="1" applyFont="1" applyFill="1" applyBorder="1" applyAlignment="1">
      <alignment horizontal="right" vertical="center" wrapText="1"/>
    </xf>
    <xf numFmtId="0" fontId="28" fillId="0" borderId="0" xfId="12" applyFont="1"/>
    <xf numFmtId="0" fontId="32" fillId="0" borderId="0" xfId="12" applyFont="1" applyBorder="1" applyAlignment="1">
      <alignment vertical="center"/>
    </xf>
    <xf numFmtId="0" fontId="28" fillId="0" borderId="0" xfId="12" applyFont="1" applyBorder="1"/>
    <xf numFmtId="0" fontId="4" fillId="0" borderId="0" xfId="12" applyFont="1" applyFill="1" applyBorder="1"/>
    <xf numFmtId="40" fontId="4" fillId="14" borderId="63" xfId="12" applyNumberFormat="1" applyFont="1" applyFill="1" applyBorder="1" applyAlignment="1">
      <alignment horizontal="center" vertical="center"/>
    </xf>
    <xf numFmtId="40" fontId="4" fillId="14" borderId="53" xfId="12" applyNumberFormat="1" applyFont="1" applyFill="1" applyBorder="1" applyAlignment="1">
      <alignment horizontal="center" vertical="center"/>
    </xf>
    <xf numFmtId="40" fontId="4" fillId="14" borderId="64" xfId="12" applyNumberFormat="1" applyFont="1" applyFill="1" applyBorder="1" applyAlignment="1">
      <alignment horizontal="center" vertical="center"/>
    </xf>
    <xf numFmtId="4" fontId="4" fillId="0" borderId="12" xfId="0" applyNumberFormat="1" applyFont="1" applyFill="1" applyBorder="1" applyAlignment="1">
      <alignment horizontal="left" vertical="center" wrapText="1"/>
    </xf>
    <xf numFmtId="2" fontId="4" fillId="0" borderId="18" xfId="1" applyNumberFormat="1" applyFont="1" applyFill="1" applyBorder="1" applyAlignment="1">
      <alignment horizontal="right" vertical="center" wrapText="1"/>
    </xf>
    <xf numFmtId="40" fontId="4" fillId="14" borderId="63" xfId="12" applyNumberFormat="1" applyFont="1" applyFill="1" applyBorder="1" applyAlignment="1">
      <alignment horizontal="center"/>
    </xf>
    <xf numFmtId="40" fontId="4" fillId="14" borderId="53" xfId="12" applyNumberFormat="1" applyFont="1" applyFill="1" applyBorder="1" applyAlignment="1">
      <alignment horizontal="center"/>
    </xf>
    <xf numFmtId="40" fontId="4" fillId="14" borderId="64" xfId="12" applyNumberFormat="1" applyFont="1" applyFill="1" applyBorder="1" applyAlignment="1">
      <alignment horizontal="center"/>
    </xf>
    <xf numFmtId="0" fontId="28" fillId="0" borderId="0" xfId="12" applyFont="1" applyAlignment="1">
      <alignment horizontal="center"/>
    </xf>
    <xf numFmtId="0" fontId="5" fillId="0" borderId="0" xfId="12" applyFont="1" applyFill="1" applyAlignment="1">
      <alignment horizontal="center" vertical="center"/>
    </xf>
    <xf numFmtId="2" fontId="4" fillId="0" borderId="4" xfId="1" quotePrefix="1" applyNumberFormat="1" applyFont="1" applyFill="1" applyBorder="1" applyAlignment="1">
      <alignment horizontal="right" vertical="center" wrapText="1"/>
    </xf>
    <xf numFmtId="0" fontId="7" fillId="9" borderId="7" xfId="0" applyFont="1" applyFill="1" applyBorder="1" applyAlignment="1">
      <alignment vertical="center"/>
    </xf>
    <xf numFmtId="0" fontId="7" fillId="9" borderId="0" xfId="0" applyFont="1" applyFill="1" applyBorder="1" applyAlignment="1">
      <alignment vertical="center"/>
    </xf>
    <xf numFmtId="0" fontId="7" fillId="9" borderId="27" xfId="0" applyFont="1" applyFill="1" applyBorder="1" applyAlignment="1">
      <alignment vertical="center"/>
    </xf>
    <xf numFmtId="0" fontId="19" fillId="0" borderId="0" xfId="0" applyFont="1" applyAlignment="1">
      <alignment vertical="center" wrapText="1"/>
    </xf>
    <xf numFmtId="0" fontId="19" fillId="5" borderId="113" xfId="0" applyFont="1" applyFill="1" applyBorder="1" applyAlignment="1">
      <alignment vertical="center"/>
    </xf>
    <xf numFmtId="0" fontId="19" fillId="5" borderId="33" xfId="0" applyFont="1" applyFill="1" applyBorder="1" applyAlignment="1">
      <alignment vertical="center"/>
    </xf>
    <xf numFmtId="0" fontId="19" fillId="5" borderId="32" xfId="0" applyFont="1" applyFill="1" applyBorder="1" applyAlignment="1">
      <alignment vertical="center"/>
    </xf>
    <xf numFmtId="0" fontId="19" fillId="5" borderId="117" xfId="0" applyFont="1" applyFill="1" applyBorder="1" applyAlignment="1">
      <alignment vertical="center"/>
    </xf>
    <xf numFmtId="170" fontId="19" fillId="0" borderId="0" xfId="0" applyNumberFormat="1" applyFont="1"/>
    <xf numFmtId="166" fontId="19" fillId="7" borderId="40" xfId="0" applyNumberFormat="1" applyFont="1" applyFill="1" applyBorder="1" applyAlignment="1">
      <alignment horizontal="center" vertical="center"/>
    </xf>
    <xf numFmtId="166" fontId="19" fillId="7" borderId="26" xfId="0" applyNumberFormat="1" applyFont="1" applyFill="1" applyBorder="1" applyAlignment="1">
      <alignment horizontal="center" vertical="center"/>
    </xf>
    <xf numFmtId="166" fontId="19" fillId="7" borderId="40" xfId="0" applyNumberFormat="1" applyFont="1" applyFill="1" applyBorder="1" applyAlignment="1">
      <alignment vertical="center"/>
    </xf>
    <xf numFmtId="166" fontId="19" fillId="7" borderId="26" xfId="0" applyNumberFormat="1" applyFont="1" applyFill="1" applyBorder="1" applyAlignment="1">
      <alignment vertical="center"/>
    </xf>
    <xf numFmtId="0" fontId="19" fillId="9" borderId="33" xfId="0" applyFont="1" applyFill="1" applyBorder="1" applyAlignment="1">
      <alignment vertical="center"/>
    </xf>
    <xf numFmtId="0" fontId="19" fillId="9" borderId="32" xfId="0" applyFont="1" applyFill="1" applyBorder="1" applyAlignment="1">
      <alignment vertical="center"/>
    </xf>
    <xf numFmtId="0" fontId="19" fillId="7" borderId="32" xfId="0" applyFont="1" applyFill="1" applyBorder="1" applyAlignment="1">
      <alignment vertical="center"/>
    </xf>
    <xf numFmtId="0" fontId="19" fillId="7" borderId="33" xfId="0" applyFont="1" applyFill="1" applyBorder="1" applyAlignment="1">
      <alignment vertical="center"/>
    </xf>
    <xf numFmtId="166" fontId="19" fillId="7" borderId="44" xfId="0" applyNumberFormat="1" applyFont="1" applyFill="1" applyBorder="1" applyAlignment="1">
      <alignment vertical="center"/>
    </xf>
    <xf numFmtId="166" fontId="19" fillId="7" borderId="45" xfId="0" applyNumberFormat="1" applyFont="1" applyFill="1" applyBorder="1" applyAlignment="1">
      <alignment vertical="center"/>
    </xf>
    <xf numFmtId="166" fontId="19" fillId="0" borderId="0" xfId="0" applyNumberFormat="1" applyFont="1"/>
    <xf numFmtId="9" fontId="19" fillId="0" borderId="47" xfId="0" applyNumberFormat="1" applyFont="1" applyFill="1" applyBorder="1" applyAlignment="1">
      <alignment horizontal="center" vertical="center"/>
    </xf>
    <xf numFmtId="10" fontId="19" fillId="0" borderId="48" xfId="0" applyNumberFormat="1" applyFont="1" applyFill="1" applyBorder="1" applyAlignment="1">
      <alignment horizontal="center" vertical="center"/>
    </xf>
    <xf numFmtId="0" fontId="19" fillId="0" borderId="32" xfId="0" applyFont="1" applyFill="1" applyBorder="1" applyAlignment="1">
      <alignment vertical="center"/>
    </xf>
    <xf numFmtId="0" fontId="19" fillId="5" borderId="33" xfId="0" applyFont="1" applyFill="1" applyBorder="1" applyAlignment="1">
      <alignment horizontal="center" vertical="center"/>
    </xf>
    <xf numFmtId="0" fontId="19" fillId="0" borderId="33" xfId="0" applyFont="1" applyFill="1" applyBorder="1" applyAlignment="1">
      <alignment vertical="center"/>
    </xf>
    <xf numFmtId="0" fontId="19" fillId="3" borderId="32" xfId="0" applyFont="1" applyFill="1" applyBorder="1" applyAlignment="1">
      <alignment vertical="center"/>
    </xf>
    <xf numFmtId="10" fontId="19" fillId="7" borderId="47" xfId="0" applyNumberFormat="1" applyFont="1" applyFill="1" applyBorder="1" applyAlignment="1">
      <alignment horizontal="center" vertical="center"/>
    </xf>
    <xf numFmtId="10" fontId="19" fillId="7" borderId="48" xfId="0" applyNumberFormat="1" applyFont="1" applyFill="1" applyBorder="1" applyAlignment="1">
      <alignment horizontal="center" vertical="center"/>
    </xf>
    <xf numFmtId="0" fontId="19" fillId="3" borderId="33" xfId="0" applyFont="1" applyFill="1" applyBorder="1" applyAlignment="1">
      <alignment vertical="center"/>
    </xf>
    <xf numFmtId="10" fontId="19" fillId="7" borderId="51" xfId="0" applyNumberFormat="1" applyFont="1" applyFill="1" applyBorder="1" applyAlignment="1">
      <alignment horizontal="center" vertical="center"/>
    </xf>
    <xf numFmtId="0" fontId="19" fillId="7" borderId="34" xfId="0" applyFont="1" applyFill="1" applyBorder="1" applyAlignment="1">
      <alignment vertical="center"/>
    </xf>
    <xf numFmtId="166" fontId="19" fillId="7" borderId="36" xfId="0" applyNumberFormat="1" applyFont="1" applyFill="1" applyBorder="1" applyAlignment="1">
      <alignment horizontal="center" vertical="center"/>
    </xf>
    <xf numFmtId="9" fontId="19" fillId="7" borderId="48" xfId="0" applyNumberFormat="1" applyFont="1" applyFill="1" applyBorder="1" applyAlignment="1">
      <alignment vertical="center"/>
    </xf>
    <xf numFmtId="0" fontId="7" fillId="10" borderId="16" xfId="0" applyFont="1" applyFill="1" applyBorder="1" applyAlignment="1">
      <alignment horizontal="center" vertical="center"/>
    </xf>
    <xf numFmtId="10" fontId="19" fillId="10" borderId="58" xfId="0" applyNumberFormat="1" applyFont="1" applyFill="1" applyBorder="1" applyAlignment="1">
      <alignment horizontal="center" vertical="center"/>
    </xf>
    <xf numFmtId="10" fontId="19" fillId="10" borderId="59" xfId="0" applyNumberFormat="1" applyFont="1" applyFill="1" applyBorder="1" applyAlignment="1">
      <alignment horizontal="center" vertical="center"/>
    </xf>
    <xf numFmtId="10" fontId="19" fillId="10" borderId="3" xfId="0" applyNumberFormat="1" applyFont="1" applyFill="1" applyBorder="1" applyAlignment="1">
      <alignment horizontal="center" vertical="center"/>
    </xf>
    <xf numFmtId="166" fontId="7" fillId="10" borderId="2" xfId="0" applyNumberFormat="1" applyFont="1" applyFill="1" applyBorder="1" applyAlignment="1">
      <alignment horizontal="center" vertical="center"/>
    </xf>
    <xf numFmtId="0" fontId="19" fillId="7" borderId="42" xfId="0" applyFont="1" applyFill="1" applyBorder="1" applyAlignment="1">
      <alignment vertical="center"/>
    </xf>
    <xf numFmtId="166" fontId="19" fillId="7" borderId="57" xfId="0" applyNumberFormat="1" applyFont="1" applyFill="1" applyBorder="1" applyAlignment="1">
      <alignment horizontal="center" vertical="center"/>
    </xf>
    <xf numFmtId="166" fontId="19" fillId="7" borderId="104" xfId="0" applyNumberFormat="1" applyFont="1" applyFill="1" applyBorder="1" applyAlignment="1">
      <alignment horizontal="center" vertical="center"/>
    </xf>
    <xf numFmtId="166" fontId="19" fillId="7" borderId="105" xfId="0" applyNumberFormat="1" applyFont="1" applyFill="1" applyBorder="1" applyAlignment="1">
      <alignment horizontal="center" vertical="center"/>
    </xf>
    <xf numFmtId="166" fontId="19" fillId="7" borderId="43" xfId="0" applyNumberFormat="1" applyFont="1" applyFill="1" applyBorder="1" applyAlignment="1">
      <alignment vertical="center"/>
    </xf>
    <xf numFmtId="0" fontId="7" fillId="8" borderId="16" xfId="0" applyFont="1" applyFill="1" applyBorder="1" applyAlignment="1">
      <alignment horizontal="center" vertical="center"/>
    </xf>
    <xf numFmtId="0" fontId="7" fillId="11" borderId="3" xfId="0" applyFont="1" applyFill="1" applyBorder="1" applyAlignment="1">
      <alignment horizontal="center" vertical="center"/>
    </xf>
    <xf numFmtId="166" fontId="7" fillId="11" borderId="2" xfId="0" applyNumberFormat="1" applyFont="1" applyFill="1" applyBorder="1" applyAlignment="1">
      <alignment horizontal="center" vertical="center"/>
    </xf>
    <xf numFmtId="0" fontId="19" fillId="7" borderId="25" xfId="0" applyFont="1" applyFill="1" applyBorder="1" applyAlignment="1">
      <alignment horizontal="center" vertical="center"/>
    </xf>
    <xf numFmtId="0" fontId="7" fillId="7" borderId="0" xfId="0" applyFont="1" applyFill="1" applyBorder="1" applyAlignment="1">
      <alignment horizontal="center" vertical="center"/>
    </xf>
    <xf numFmtId="0" fontId="19" fillId="7" borderId="0" xfId="0" applyFont="1" applyFill="1" applyBorder="1" applyAlignment="1">
      <alignment vertical="center"/>
    </xf>
    <xf numFmtId="0" fontId="19" fillId="7" borderId="16" xfId="0" applyFont="1" applyFill="1" applyBorder="1" applyAlignment="1">
      <alignment horizontal="center" vertical="center"/>
    </xf>
    <xf numFmtId="166" fontId="19" fillId="7" borderId="0" xfId="0" applyNumberFormat="1" applyFont="1" applyFill="1" applyBorder="1" applyAlignment="1">
      <alignment vertical="center"/>
    </xf>
    <xf numFmtId="0" fontId="19" fillId="7" borderId="28" xfId="0" applyFont="1" applyFill="1" applyBorder="1" applyAlignment="1">
      <alignment horizontal="center" vertical="center"/>
    </xf>
    <xf numFmtId="0" fontId="7" fillId="7" borderId="70" xfId="0" applyFont="1" applyFill="1" applyBorder="1" applyAlignment="1">
      <alignment horizontal="center" vertical="center"/>
    </xf>
    <xf numFmtId="0" fontId="7" fillId="26" borderId="129" xfId="0" applyFont="1" applyFill="1" applyBorder="1" applyAlignment="1">
      <alignment horizontal="left" vertical="center"/>
    </xf>
    <xf numFmtId="0" fontId="7" fillId="26" borderId="130" xfId="0" applyFont="1" applyFill="1" applyBorder="1" applyAlignment="1">
      <alignment horizontal="center" vertical="center"/>
    </xf>
    <xf numFmtId="0" fontId="19" fillId="6" borderId="88" xfId="0" applyFont="1" applyFill="1" applyBorder="1" applyAlignment="1">
      <alignment horizontal="center" vertical="center"/>
    </xf>
    <xf numFmtId="0" fontId="9" fillId="0" borderId="0" xfId="0" applyFont="1" applyBorder="1" applyAlignment="1">
      <alignment vertical="center" wrapText="1"/>
    </xf>
    <xf numFmtId="0" fontId="14" fillId="0" borderId="0" xfId="13" applyFont="1" applyBorder="1" applyAlignment="1">
      <alignment horizontal="left" vertical="center"/>
    </xf>
    <xf numFmtId="0" fontId="19" fillId="4" borderId="76" xfId="5" applyFont="1" applyFill="1" applyBorder="1" applyAlignment="1">
      <alignment horizontal="center" vertical="center"/>
    </xf>
    <xf numFmtId="0" fontId="19" fillId="4" borderId="14" xfId="5" applyFont="1" applyFill="1" applyBorder="1" applyAlignment="1">
      <alignment horizontal="center" vertical="center"/>
    </xf>
    <xf numFmtId="0" fontId="19" fillId="0" borderId="4" xfId="0"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14" xfId="0" applyFont="1" applyFill="1" applyBorder="1" applyAlignment="1">
      <alignment horizontal="center" vertical="center"/>
    </xf>
    <xf numFmtId="0" fontId="4" fillId="0" borderId="76" xfId="5" applyFont="1" applyBorder="1" applyAlignment="1">
      <alignment horizontal="center" vertical="center"/>
    </xf>
    <xf numFmtId="0" fontId="4" fillId="0" borderId="14" xfId="5" applyFont="1" applyBorder="1" applyAlignment="1">
      <alignment horizontal="center" vertical="center"/>
    </xf>
    <xf numFmtId="0" fontId="5" fillId="0" borderId="14" xfId="5" applyFont="1" applyBorder="1" applyAlignment="1">
      <alignment horizontal="center"/>
    </xf>
    <xf numFmtId="173" fontId="5" fillId="0" borderId="14" xfId="5" applyNumberFormat="1" applyFont="1" applyBorder="1" applyAlignment="1">
      <alignment horizontal="center" vertical="center"/>
    </xf>
    <xf numFmtId="173" fontId="5" fillId="0" borderId="78" xfId="5" applyNumberFormat="1" applyFont="1" applyBorder="1" applyAlignment="1">
      <alignment horizontal="right"/>
    </xf>
    <xf numFmtId="0" fontId="19" fillId="0" borderId="4" xfId="0" applyFont="1" applyFill="1" applyBorder="1" applyAlignment="1">
      <alignment vertical="center" wrapText="1"/>
    </xf>
    <xf numFmtId="168" fontId="5" fillId="0" borderId="20" xfId="1" applyNumberFormat="1" applyFont="1" applyFill="1" applyBorder="1" applyAlignment="1">
      <alignment horizontal="right" vertical="center" wrapText="1"/>
    </xf>
    <xf numFmtId="168" fontId="5" fillId="0" borderId="20" xfId="1" applyNumberFormat="1" applyFont="1" applyFill="1" applyBorder="1" applyAlignment="1">
      <alignment vertical="center" wrapText="1"/>
    </xf>
    <xf numFmtId="168" fontId="5" fillId="0" borderId="4" xfId="1" applyNumberFormat="1" applyFont="1" applyFill="1" applyBorder="1" applyAlignment="1">
      <alignment vertical="center" wrapText="1"/>
    </xf>
    <xf numFmtId="168" fontId="5" fillId="0" borderId="4" xfId="1" applyNumberFormat="1" applyFont="1" applyFill="1" applyBorder="1" applyAlignment="1">
      <alignment horizontal="right" vertical="center" wrapText="1"/>
    </xf>
    <xf numFmtId="40" fontId="5" fillId="8" borderId="0"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5" fillId="3" borderId="0" xfId="12" applyFont="1" applyFill="1" applyAlignment="1">
      <alignment horizontal="center" vertical="center"/>
    </xf>
    <xf numFmtId="9" fontId="19" fillId="7" borderId="47" xfId="0" applyNumberFormat="1" applyFont="1" applyFill="1" applyBorder="1" applyAlignment="1">
      <alignment horizontal="center" vertical="center"/>
    </xf>
    <xf numFmtId="4" fontId="7" fillId="4" borderId="4" xfId="12" applyNumberFormat="1" applyFont="1" applyFill="1" applyBorder="1" applyAlignment="1">
      <alignment horizontal="left" vertical="center" wrapText="1"/>
    </xf>
    <xf numFmtId="0" fontId="7" fillId="0" borderId="17" xfId="12" applyFont="1" applyBorder="1" applyAlignment="1">
      <alignment horizontal="center" vertical="center" wrapText="1"/>
    </xf>
    <xf numFmtId="0" fontId="7" fillId="0" borderId="18" xfId="12" applyFont="1" applyBorder="1" applyAlignment="1">
      <alignment horizontal="center" vertical="center" wrapText="1"/>
    </xf>
    <xf numFmtId="0" fontId="7" fillId="0" borderId="7" xfId="0" applyFont="1" applyBorder="1" applyAlignment="1">
      <alignment horizontal="center" vertical="center"/>
    </xf>
    <xf numFmtId="0" fontId="7" fillId="9" borderId="32" xfId="0" applyFont="1" applyFill="1" applyBorder="1" applyAlignment="1">
      <alignment vertical="center"/>
    </xf>
    <xf numFmtId="0" fontId="7" fillId="5" borderId="33" xfId="0" applyFont="1" applyFill="1" applyBorder="1" applyAlignment="1">
      <alignment vertical="center"/>
    </xf>
    <xf numFmtId="0" fontId="7" fillId="5" borderId="32" xfId="0" applyFont="1" applyFill="1" applyBorder="1" applyAlignment="1">
      <alignment vertical="center"/>
    </xf>
    <xf numFmtId="0" fontId="7" fillId="9" borderId="33" xfId="0" applyFont="1" applyFill="1" applyBorder="1" applyAlignment="1">
      <alignment vertical="center"/>
    </xf>
    <xf numFmtId="0" fontId="4" fillId="0" borderId="13" xfId="0" applyFont="1" applyFill="1" applyBorder="1" applyAlignment="1">
      <alignment vertical="center" wrapText="1"/>
    </xf>
    <xf numFmtId="2" fontId="4" fillId="3" borderId="4" xfId="0" applyNumberFormat="1" applyFont="1" applyFill="1" applyBorder="1" applyAlignment="1">
      <alignment horizontal="center" vertical="center" wrapText="1"/>
    </xf>
    <xf numFmtId="4" fontId="7" fillId="4" borderId="4" xfId="12" applyNumberFormat="1" applyFont="1" applyFill="1" applyBorder="1" applyAlignment="1">
      <alignment horizontal="left" vertical="center" wrapText="1"/>
    </xf>
    <xf numFmtId="40" fontId="5" fillId="7" borderId="0" xfId="0" applyNumberFormat="1" applyFont="1" applyFill="1" applyAlignment="1">
      <alignment horizontal="left"/>
    </xf>
    <xf numFmtId="0" fontId="4" fillId="0" borderId="12" xfId="0" applyFont="1" applyBorder="1" applyAlignment="1">
      <alignment horizontal="left"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left" vertical="center" wrapText="1"/>
    </xf>
    <xf numFmtId="0" fontId="5" fillId="0" borderId="0" xfId="12" applyFont="1" applyAlignment="1">
      <alignment horizontal="left" vertical="center"/>
    </xf>
    <xf numFmtId="0" fontId="4" fillId="3" borderId="12" xfId="0" applyFont="1" applyFill="1" applyBorder="1" applyAlignment="1">
      <alignment horizontal="left" vertical="center" wrapText="1"/>
    </xf>
    <xf numFmtId="0" fontId="7" fillId="0" borderId="4" xfId="0" applyFont="1" applyBorder="1" applyAlignment="1">
      <alignment horizontal="center" vertical="center"/>
    </xf>
    <xf numFmtId="168" fontId="19" fillId="0" borderId="4" xfId="0" applyNumberFormat="1" applyFont="1" applyBorder="1" applyAlignment="1">
      <alignment horizontal="center" vertical="center"/>
    </xf>
    <xf numFmtId="0" fontId="7" fillId="4" borderId="4" xfId="5" applyFont="1" applyFill="1" applyBorder="1" applyAlignment="1">
      <alignment horizontal="center" vertical="center"/>
    </xf>
    <xf numFmtId="0" fontId="7" fillId="4" borderId="4" xfId="21" applyFont="1" applyFill="1" applyBorder="1" applyAlignment="1">
      <alignment horizontal="center" vertical="center"/>
    </xf>
    <xf numFmtId="0" fontId="7" fillId="4" borderId="76" xfId="5"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4" fontId="19" fillId="0" borderId="13" xfId="12" applyNumberFormat="1" applyFont="1" applyFill="1" applyBorder="1" applyAlignment="1">
      <alignment horizontal="left" vertical="center" wrapText="1"/>
    </xf>
    <xf numFmtId="0" fontId="19" fillId="3" borderId="14" xfId="0" applyFont="1" applyFill="1" applyBorder="1" applyAlignment="1">
      <alignment vertical="center" wrapText="1"/>
    </xf>
    <xf numFmtId="0" fontId="19" fillId="3" borderId="15" xfId="0" applyFont="1" applyFill="1" applyBorder="1" applyAlignment="1">
      <alignment vertical="center" wrapText="1"/>
    </xf>
    <xf numFmtId="0" fontId="7" fillId="0" borderId="4" xfId="5" applyFont="1" applyBorder="1" applyAlignment="1">
      <alignment horizontal="center" vertical="center"/>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7" fillId="4" borderId="4" xfId="5" applyFont="1" applyFill="1" applyBorder="1" applyAlignment="1">
      <alignment horizontal="center"/>
    </xf>
    <xf numFmtId="0" fontId="7" fillId="3" borderId="0" xfId="0" applyFont="1" applyFill="1" applyAlignment="1">
      <alignment horizontal="center" vertical="center"/>
    </xf>
    <xf numFmtId="0" fontId="19" fillId="0" borderId="0" xfId="5" applyFont="1" applyAlignment="1">
      <alignment horizontal="left" vertical="center"/>
    </xf>
    <xf numFmtId="0" fontId="19" fillId="3" borderId="14" xfId="0" applyFont="1" applyFill="1" applyBorder="1" applyAlignment="1">
      <alignment horizontal="center" vertical="center" wrapText="1"/>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5" fillId="0" borderId="20" xfId="0" applyFont="1" applyFill="1" applyBorder="1" applyAlignment="1">
      <alignment horizontal="right" vertical="center" wrapText="1"/>
    </xf>
    <xf numFmtId="0" fontId="5" fillId="4"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40" fontId="5" fillId="7" borderId="0" xfId="0" applyNumberFormat="1" applyFont="1" applyFill="1" applyAlignment="1">
      <alignment horizontal="left" vertical="center"/>
    </xf>
    <xf numFmtId="0" fontId="4"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3" borderId="12" xfId="0" applyFont="1" applyFill="1" applyBorder="1" applyAlignment="1">
      <alignment horizontal="center" vertical="center" wrapText="1"/>
    </xf>
    <xf numFmtId="4" fontId="4" fillId="0" borderId="4" xfId="0" applyNumberFormat="1"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12" applyFont="1" applyAlignment="1">
      <alignment horizontal="left" vertical="center"/>
    </xf>
    <xf numFmtId="40" fontId="5" fillId="8" borderId="0" xfId="0" applyNumberFormat="1" applyFont="1" applyFill="1" applyBorder="1" applyAlignment="1">
      <alignment vertical="center" wrapText="1"/>
    </xf>
    <xf numFmtId="0" fontId="4" fillId="0" borderId="0" xfId="5" applyFont="1" applyAlignment="1">
      <alignment horizontal="center" vertical="center"/>
    </xf>
    <xf numFmtId="0" fontId="4" fillId="0" borderId="4" xfId="5" applyFont="1" applyBorder="1" applyAlignment="1">
      <alignment horizontal="left" vertical="center" wrapText="1"/>
    </xf>
    <xf numFmtId="0" fontId="4" fillId="0" borderId="4" xfId="5" applyFont="1" applyBorder="1" applyAlignment="1">
      <alignment horizontal="left"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vertical="center"/>
    </xf>
    <xf numFmtId="44" fontId="4" fillId="0" borderId="0" xfId="0" applyNumberFormat="1" applyFont="1" applyFill="1" applyBorder="1"/>
    <xf numFmtId="0" fontId="4" fillId="0" borderId="0" xfId="5" applyFont="1" applyFill="1" applyBorder="1" applyAlignment="1">
      <alignment horizontal="left" vertical="center"/>
    </xf>
    <xf numFmtId="0" fontId="4" fillId="0" borderId="0" xfId="5" applyFont="1" applyFill="1" applyBorder="1" applyAlignment="1">
      <alignment horizontal="center"/>
    </xf>
    <xf numFmtId="0" fontId="4" fillId="0" borderId="0" xfId="5" applyFont="1" applyFill="1" applyBorder="1" applyAlignment="1">
      <alignment horizontal="left" wrapText="1"/>
    </xf>
    <xf numFmtId="174" fontId="4" fillId="0" borderId="0" xfId="5" applyNumberFormat="1" applyFont="1" applyFill="1" applyBorder="1" applyAlignment="1">
      <alignment horizontal="center" vertical="center"/>
    </xf>
    <xf numFmtId="0" fontId="4" fillId="0" borderId="0" xfId="5" applyFont="1" applyFill="1" applyBorder="1" applyAlignment="1">
      <alignment vertical="center" wrapText="1"/>
    </xf>
    <xf numFmtId="2" fontId="4" fillId="0" borderId="0" xfId="5" applyNumberFormat="1" applyFont="1" applyFill="1" applyBorder="1" applyAlignment="1">
      <alignment horizontal="center" wrapText="1"/>
    </xf>
    <xf numFmtId="0" fontId="4" fillId="0" borderId="0" xfId="5" applyFont="1" applyFill="1" applyBorder="1" applyAlignment="1">
      <alignment horizontal="center" wrapText="1"/>
    </xf>
    <xf numFmtId="0" fontId="4" fillId="0" borderId="0" xfId="21" applyFont="1" applyFill="1" applyBorder="1" applyAlignment="1">
      <alignment horizontal="center" vertical="center" wrapText="1"/>
    </xf>
    <xf numFmtId="0" fontId="4" fillId="0" borderId="0" xfId="21" applyFont="1" applyFill="1" applyBorder="1" applyAlignment="1">
      <alignment horizontal="center" vertical="center"/>
    </xf>
    <xf numFmtId="2" fontId="4" fillId="0" borderId="0" xfId="21" applyNumberFormat="1" applyFont="1" applyFill="1" applyBorder="1" applyAlignment="1">
      <alignment horizontal="center" vertical="center"/>
    </xf>
    <xf numFmtId="173" fontId="4" fillId="0" borderId="0" xfId="21" applyNumberFormat="1" applyFont="1" applyFill="1" applyBorder="1" applyAlignment="1">
      <alignment horizontal="right" vertical="center"/>
    </xf>
    <xf numFmtId="171" fontId="4" fillId="0" borderId="0" xfId="2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168" fontId="4" fillId="0" borderId="12" xfId="0" applyNumberFormat="1" applyFont="1" applyFill="1" applyBorder="1" applyAlignment="1">
      <alignment horizontal="right" vertical="center" wrapText="1"/>
    </xf>
    <xf numFmtId="4" fontId="4" fillId="0" borderId="19" xfId="0" applyNumberFormat="1" applyFont="1" applyFill="1" applyBorder="1" applyAlignment="1">
      <alignment horizontal="left" vertical="center" wrapText="1"/>
    </xf>
    <xf numFmtId="40" fontId="4" fillId="0" borderId="20" xfId="0" applyNumberFormat="1" applyFont="1" applyFill="1" applyBorder="1" applyAlignment="1">
      <alignment horizontal="right" vertical="center" wrapText="1"/>
    </xf>
    <xf numFmtId="168" fontId="4" fillId="0" borderId="20" xfId="0" applyNumberFormat="1" applyFont="1" applyFill="1" applyBorder="1" applyAlignment="1">
      <alignment horizontal="right" vertical="center" wrapText="1"/>
    </xf>
    <xf numFmtId="10" fontId="4" fillId="4" borderId="18" xfId="2" applyNumberFormat="1" applyFont="1" applyFill="1" applyBorder="1" applyAlignment="1">
      <alignment horizontal="center" vertical="center" wrapText="1"/>
    </xf>
    <xf numFmtId="0" fontId="5" fillId="0" borderId="0" xfId="0" applyFont="1" applyBorder="1" applyAlignment="1">
      <alignment horizontal="center" vertical="center" wrapText="1"/>
    </xf>
    <xf numFmtId="169" fontId="5" fillId="4" borderId="4" xfId="0" applyNumberFormat="1" applyFont="1" applyFill="1" applyBorder="1" applyAlignment="1" applyProtection="1">
      <alignment horizontal="center" vertical="center" wrapText="1"/>
    </xf>
    <xf numFmtId="0" fontId="14" fillId="0" borderId="0" xfId="13" applyFont="1" applyBorder="1" applyAlignment="1">
      <alignment horizontal="left" vertical="center"/>
    </xf>
    <xf numFmtId="4" fontId="5" fillId="4" borderId="13" xfId="12" applyNumberFormat="1" applyFont="1" applyFill="1" applyBorder="1" applyAlignment="1">
      <alignment horizontal="left" vertical="center" wrapText="1"/>
    </xf>
    <xf numFmtId="4" fontId="5" fillId="4" borderId="15" xfId="12" applyNumberFormat="1" applyFont="1" applyFill="1" applyBorder="1" applyAlignment="1">
      <alignment horizontal="left" vertical="center" wrapText="1"/>
    </xf>
    <xf numFmtId="10" fontId="5" fillId="0" borderId="13" xfId="12" applyNumberFormat="1" applyFont="1" applyBorder="1" applyAlignment="1">
      <alignment horizontal="left" vertical="center"/>
    </xf>
    <xf numFmtId="10" fontId="5" fillId="0" borderId="14" xfId="12" applyNumberFormat="1" applyFont="1" applyBorder="1" applyAlignment="1">
      <alignment horizontal="left" vertical="center"/>
    </xf>
    <xf numFmtId="0" fontId="5" fillId="0" borderId="13" xfId="12" applyFont="1" applyBorder="1" applyAlignment="1">
      <alignment vertical="center"/>
    </xf>
    <xf numFmtId="0" fontId="5" fillId="0" borderId="15" xfId="12" applyFont="1" applyBorder="1" applyAlignment="1">
      <alignment vertical="center"/>
    </xf>
    <xf numFmtId="0" fontId="5" fillId="4" borderId="76" xfId="12" applyFont="1" applyFill="1" applyBorder="1" applyAlignment="1">
      <alignment horizontal="left" vertical="center" wrapText="1"/>
    </xf>
    <xf numFmtId="0" fontId="5" fillId="4" borderId="15" xfId="12" applyFont="1" applyFill="1" applyBorder="1" applyAlignment="1">
      <alignment horizontal="left" vertical="center" wrapText="1"/>
    </xf>
    <xf numFmtId="0" fontId="17" fillId="13" borderId="73" xfId="12" applyFont="1" applyFill="1" applyBorder="1" applyAlignment="1">
      <alignment horizontal="center" vertical="center"/>
    </xf>
    <xf numFmtId="0" fontId="17" fillId="13" borderId="74" xfId="12" applyFont="1" applyFill="1" applyBorder="1" applyAlignment="1">
      <alignment horizontal="center" vertical="center"/>
    </xf>
    <xf numFmtId="0" fontId="17" fillId="13" borderId="75" xfId="12" applyFont="1" applyFill="1" applyBorder="1" applyAlignment="1">
      <alignment horizontal="center" vertical="center"/>
    </xf>
    <xf numFmtId="0" fontId="5" fillId="0" borderId="13" xfId="12" applyFont="1" applyBorder="1" applyAlignment="1">
      <alignment horizontal="left" vertical="center" wrapText="1"/>
    </xf>
    <xf numFmtId="0" fontId="5" fillId="0" borderId="15" xfId="12" applyFont="1" applyBorder="1" applyAlignment="1">
      <alignment horizontal="left" vertical="center" wrapText="1"/>
    </xf>
    <xf numFmtId="44" fontId="5" fillId="0" borderId="13" xfId="12" applyNumberFormat="1" applyFont="1" applyBorder="1" applyAlignment="1">
      <alignment horizontal="center" vertical="center"/>
    </xf>
    <xf numFmtId="0" fontId="5" fillId="0" borderId="14" xfId="12" applyFont="1" applyBorder="1" applyAlignment="1">
      <alignment horizontal="center" vertical="center"/>
    </xf>
    <xf numFmtId="0" fontId="5" fillId="0" borderId="15" xfId="12" applyFont="1" applyBorder="1" applyAlignment="1">
      <alignment horizontal="center" vertical="center"/>
    </xf>
    <xf numFmtId="0" fontId="5" fillId="4" borderId="13" xfId="12" applyFont="1" applyFill="1" applyBorder="1" applyAlignment="1">
      <alignment horizontal="center" vertical="center"/>
    </xf>
    <xf numFmtId="0" fontId="5" fillId="4" borderId="15" xfId="12" applyFont="1" applyFill="1" applyBorder="1" applyAlignment="1">
      <alignment horizontal="center" vertical="center"/>
    </xf>
    <xf numFmtId="0" fontId="0" fillId="0" borderId="23" xfId="0" applyBorder="1" applyAlignment="1">
      <alignment horizontal="center"/>
    </xf>
    <xf numFmtId="0" fontId="0" fillId="0" borderId="23" xfId="0" applyFont="1" applyBorder="1" applyAlignment="1">
      <alignment horizontal="center"/>
    </xf>
    <xf numFmtId="0" fontId="7" fillId="0" borderId="92" xfId="0" applyFont="1" applyBorder="1" applyAlignment="1">
      <alignment horizontal="center"/>
    </xf>
    <xf numFmtId="0" fontId="7" fillId="0" borderId="69" xfId="0" applyFont="1" applyBorder="1" applyAlignment="1">
      <alignment horizontal="center"/>
    </xf>
    <xf numFmtId="0" fontId="7" fillId="0" borderId="93" xfId="0" applyFont="1" applyBorder="1" applyAlignment="1">
      <alignment horizontal="center"/>
    </xf>
    <xf numFmtId="0" fontId="9" fillId="0" borderId="67" xfId="0" applyFont="1" applyBorder="1" applyAlignment="1">
      <alignment horizontal="left" vertical="center" wrapText="1"/>
    </xf>
    <xf numFmtId="0" fontId="9" fillId="0" borderId="65" xfId="0" applyFont="1" applyBorder="1" applyAlignment="1">
      <alignment horizontal="left" vertical="center" wrapText="1"/>
    </xf>
    <xf numFmtId="0" fontId="9" fillId="0" borderId="100"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02" xfId="0" applyFont="1" applyBorder="1" applyAlignment="1">
      <alignment horizontal="left" vertical="center" wrapText="1"/>
    </xf>
    <xf numFmtId="0" fontId="0" fillId="0" borderId="97" xfId="0" applyFont="1" applyBorder="1" applyAlignment="1">
      <alignment horizontal="center"/>
    </xf>
    <xf numFmtId="0" fontId="0" fillId="0" borderId="72" xfId="0" applyFont="1" applyBorder="1" applyAlignment="1">
      <alignment horizontal="center"/>
    </xf>
    <xf numFmtId="0" fontId="0" fillId="0" borderId="52" xfId="0" applyFont="1" applyBorder="1" applyAlignment="1">
      <alignment horizontal="center"/>
    </xf>
    <xf numFmtId="169" fontId="5" fillId="4" borderId="13" xfId="0" applyNumberFormat="1" applyFont="1" applyFill="1" applyBorder="1" applyAlignment="1" applyProtection="1">
      <alignment horizontal="center" vertical="center" wrapText="1"/>
    </xf>
    <xf numFmtId="169" fontId="5" fillId="4" borderId="15" xfId="0" applyNumberFormat="1" applyFont="1" applyFill="1" applyBorder="1" applyAlignment="1" applyProtection="1">
      <alignment horizontal="center" vertical="center" wrapText="1"/>
    </xf>
    <xf numFmtId="169" fontId="5" fillId="3" borderId="4" xfId="0" applyNumberFormat="1" applyFont="1" applyFill="1" applyBorder="1" applyAlignment="1" applyProtection="1">
      <alignment horizontal="left" vertical="center" wrapText="1"/>
    </xf>
    <xf numFmtId="0" fontId="6" fillId="0" borderId="7" xfId="0" applyFont="1" applyBorder="1" applyAlignment="1">
      <alignment wrapText="1"/>
    </xf>
    <xf numFmtId="0" fontId="6" fillId="0" borderId="0" xfId="0" applyFont="1" applyBorder="1" applyAlignment="1">
      <alignment wrapText="1"/>
    </xf>
    <xf numFmtId="0" fontId="6" fillId="0" borderId="8" xfId="0" applyFont="1" applyBorder="1" applyAlignment="1">
      <alignment wrapText="1"/>
    </xf>
    <xf numFmtId="0" fontId="12" fillId="0" borderId="7" xfId="0" applyFont="1" applyBorder="1" applyAlignment="1">
      <alignment horizontal="center"/>
    </xf>
    <xf numFmtId="0" fontId="12" fillId="0" borderId="0" xfId="0" applyFont="1" applyBorder="1" applyAlignment="1">
      <alignment horizontal="center"/>
    </xf>
    <xf numFmtId="0" fontId="12" fillId="0" borderId="8" xfId="0" applyFont="1" applyBorder="1" applyAlignment="1">
      <alignment horizontal="center"/>
    </xf>
    <xf numFmtId="0" fontId="12" fillId="0" borderId="0" xfId="0" applyFont="1" applyBorder="1" applyAlignment="1">
      <alignment horizontal="center" wrapText="1"/>
    </xf>
    <xf numFmtId="0" fontId="6" fillId="0" borderId="92" xfId="0" applyFont="1" applyBorder="1" applyAlignment="1">
      <alignment wrapText="1"/>
    </xf>
    <xf numFmtId="0" fontId="6" fillId="0" borderId="69" xfId="0" applyFont="1" applyBorder="1" applyAlignment="1">
      <alignment wrapText="1"/>
    </xf>
    <xf numFmtId="0" fontId="6" fillId="0" borderId="93" xfId="0" applyFont="1" applyBorder="1" applyAlignment="1">
      <alignment wrapText="1"/>
    </xf>
    <xf numFmtId="0" fontId="7" fillId="4" borderId="20" xfId="12" applyFont="1" applyFill="1" applyBorder="1" applyAlignment="1">
      <alignment horizontal="left" vertical="center" wrapText="1"/>
    </xf>
    <xf numFmtId="0" fontId="7" fillId="4" borderId="12" xfId="12" applyFont="1" applyFill="1" applyBorder="1" applyAlignment="1">
      <alignment horizontal="left" vertical="center" wrapText="1"/>
    </xf>
    <xf numFmtId="0" fontId="7" fillId="4" borderId="13" xfId="12" applyFont="1" applyFill="1" applyBorder="1" applyAlignment="1">
      <alignment horizontal="center" vertical="center"/>
    </xf>
    <xf numFmtId="0" fontId="7" fillId="4" borderId="14" xfId="12" applyFont="1" applyFill="1" applyBorder="1" applyAlignment="1">
      <alignment horizontal="center" vertical="center"/>
    </xf>
    <xf numFmtId="44" fontId="7" fillId="3" borderId="67" xfId="12" applyNumberFormat="1" applyFont="1" applyFill="1" applyBorder="1" applyAlignment="1">
      <alignment horizontal="center" vertical="center" wrapText="1"/>
    </xf>
    <xf numFmtId="44" fontId="7" fillId="3" borderId="66" xfId="12" applyNumberFormat="1" applyFont="1" applyFill="1" applyBorder="1" applyAlignment="1">
      <alignment horizontal="center" vertical="center" wrapText="1"/>
    </xf>
    <xf numFmtId="44" fontId="7" fillId="3" borderId="110" xfId="12" applyNumberFormat="1" applyFont="1" applyFill="1" applyBorder="1" applyAlignment="1">
      <alignment horizontal="center" vertical="center" wrapText="1"/>
    </xf>
    <xf numFmtId="44" fontId="7" fillId="3" borderId="111" xfId="12" applyNumberFormat="1" applyFont="1" applyFill="1" applyBorder="1" applyAlignment="1">
      <alignment horizontal="center" vertical="center" wrapText="1"/>
    </xf>
    <xf numFmtId="0" fontId="7" fillId="3" borderId="67" xfId="12" applyNumberFormat="1" applyFont="1" applyFill="1" applyBorder="1" applyAlignment="1">
      <alignment horizontal="left" vertical="center" wrapText="1"/>
    </xf>
    <xf numFmtId="0" fontId="7" fillId="3" borderId="17" xfId="12" applyNumberFormat="1" applyFont="1" applyFill="1" applyBorder="1" applyAlignment="1">
      <alignment horizontal="left" vertical="center" wrapText="1"/>
    </xf>
    <xf numFmtId="0" fontId="5" fillId="0" borderId="18" xfId="0" applyFont="1" applyBorder="1" applyAlignment="1">
      <alignment horizontal="center" vertical="center" wrapText="1"/>
    </xf>
    <xf numFmtId="0" fontId="7" fillId="3" borderId="13" xfId="12" applyNumberFormat="1" applyFont="1" applyFill="1" applyBorder="1" applyAlignment="1">
      <alignment horizontal="left" vertical="center" wrapText="1"/>
    </xf>
    <xf numFmtId="0" fontId="7" fillId="3" borderId="14" xfId="12" applyNumberFormat="1" applyFont="1" applyFill="1" applyBorder="1" applyAlignment="1">
      <alignment horizontal="left" vertical="center" wrapText="1"/>
    </xf>
    <xf numFmtId="0" fontId="7" fillId="4" borderId="4" xfId="12" applyFont="1" applyFill="1" applyBorder="1" applyAlignment="1">
      <alignment horizontal="center" vertical="center" wrapText="1"/>
    </xf>
    <xf numFmtId="0" fontId="7" fillId="4" borderId="13" xfId="12" applyFont="1" applyFill="1" applyBorder="1" applyAlignment="1">
      <alignment horizontal="center" vertical="center" wrapText="1"/>
    </xf>
    <xf numFmtId="169" fontId="7" fillId="4" borderId="110" xfId="0" applyNumberFormat="1" applyFont="1" applyFill="1" applyBorder="1" applyAlignment="1" applyProtection="1">
      <alignment horizontal="center" vertical="center" wrapText="1"/>
    </xf>
    <xf numFmtId="169" fontId="7" fillId="4" borderId="0" xfId="0" applyNumberFormat="1" applyFont="1" applyFill="1" applyBorder="1" applyAlignment="1" applyProtection="1">
      <alignment horizontal="center" vertical="center" wrapText="1"/>
    </xf>
    <xf numFmtId="169" fontId="7" fillId="4" borderId="17" xfId="0" applyNumberFormat="1" applyFont="1" applyFill="1" applyBorder="1" applyAlignment="1" applyProtection="1">
      <alignment horizontal="center" vertical="center" wrapText="1"/>
    </xf>
    <xf numFmtId="169" fontId="7" fillId="4" borderId="18" xfId="0" applyNumberFormat="1" applyFont="1" applyFill="1" applyBorder="1" applyAlignment="1" applyProtection="1">
      <alignment horizontal="center" vertical="center" wrapText="1"/>
    </xf>
    <xf numFmtId="169" fontId="7" fillId="3" borderId="4" xfId="0" applyNumberFormat="1" applyFont="1" applyFill="1" applyBorder="1" applyAlignment="1" applyProtection="1">
      <alignment horizontal="center" vertical="center" wrapText="1"/>
    </xf>
    <xf numFmtId="0" fontId="9" fillId="0" borderId="4" xfId="0" applyFont="1" applyBorder="1" applyAlignment="1">
      <alignment horizontal="left" vertical="center" wrapText="1"/>
    </xf>
    <xf numFmtId="0" fontId="5" fillId="15" borderId="80" xfId="0" applyFont="1" applyFill="1" applyBorder="1" applyAlignment="1">
      <alignment horizontal="center"/>
    </xf>
    <xf numFmtId="0" fontId="5" fillId="15" borderId="4" xfId="0" applyFont="1" applyFill="1" applyBorder="1" applyAlignment="1">
      <alignment horizontal="center"/>
    </xf>
    <xf numFmtId="0" fontId="5" fillId="15" borderId="77" xfId="0" applyFont="1" applyFill="1" applyBorder="1" applyAlignment="1">
      <alignment horizontal="center"/>
    </xf>
    <xf numFmtId="0" fontId="5" fillId="15" borderId="76" xfId="0" applyFont="1" applyFill="1" applyBorder="1" applyAlignment="1">
      <alignment horizontal="center"/>
    </xf>
    <xf numFmtId="0" fontId="5" fillId="15" borderId="14" xfId="0" applyFont="1" applyFill="1" applyBorder="1" applyAlignment="1">
      <alignment horizontal="center"/>
    </xf>
    <xf numFmtId="0" fontId="5" fillId="15" borderId="78" xfId="0" applyFont="1" applyFill="1" applyBorder="1" applyAlignment="1">
      <alignment horizontal="center"/>
    </xf>
    <xf numFmtId="0" fontId="5" fillId="15" borderId="87" xfId="0" applyFont="1" applyFill="1" applyBorder="1" applyAlignment="1">
      <alignment horizontal="center"/>
    </xf>
    <xf numFmtId="0" fontId="5" fillId="15" borderId="68" xfId="0" applyFont="1" applyFill="1" applyBorder="1" applyAlignment="1">
      <alignment horizontal="center"/>
    </xf>
    <xf numFmtId="0" fontId="5" fillId="15" borderId="73" xfId="0" applyFont="1" applyFill="1" applyBorder="1" applyAlignment="1">
      <alignment horizontal="center" vertical="center"/>
    </xf>
    <xf numFmtId="0" fontId="5" fillId="15" borderId="74" xfId="0" applyFont="1" applyFill="1" applyBorder="1" applyAlignment="1">
      <alignment horizontal="center" vertical="center"/>
    </xf>
    <xf numFmtId="0" fontId="5" fillId="15" borderId="75" xfId="0" applyFont="1" applyFill="1" applyBorder="1" applyAlignment="1">
      <alignment horizontal="center" vertical="center"/>
    </xf>
    <xf numFmtId="0" fontId="4" fillId="0" borderId="80" xfId="0" applyFont="1" applyBorder="1" applyAlignment="1">
      <alignment horizontal="center" vertical="center"/>
    </xf>
    <xf numFmtId="0" fontId="4" fillId="0" borderId="4" xfId="0" applyFont="1" applyBorder="1" applyAlignment="1">
      <alignment horizontal="center" vertical="center"/>
    </xf>
    <xf numFmtId="0" fontId="4" fillId="16" borderId="4" xfId="0" applyFont="1" applyFill="1" applyBorder="1" applyAlignment="1">
      <alignment horizontal="center"/>
    </xf>
    <xf numFmtId="0" fontId="4" fillId="16" borderId="77" xfId="0" applyFont="1" applyFill="1" applyBorder="1" applyAlignment="1">
      <alignment horizontal="center"/>
    </xf>
    <xf numFmtId="0" fontId="19" fillId="7" borderId="29" xfId="0" applyFont="1" applyFill="1" applyBorder="1" applyAlignment="1">
      <alignment horizontal="center" vertical="center"/>
    </xf>
    <xf numFmtId="0" fontId="19" fillId="7" borderId="44" xfId="0" applyFont="1" applyFill="1" applyBorder="1" applyAlignment="1">
      <alignment horizontal="left" vertical="center"/>
    </xf>
    <xf numFmtId="10" fontId="19" fillId="7" borderId="115" xfId="0" applyNumberFormat="1" applyFont="1" applyFill="1" applyBorder="1" applyAlignment="1">
      <alignment horizontal="center" vertical="center"/>
    </xf>
    <xf numFmtId="166" fontId="19" fillId="7" borderId="114" xfId="0" applyNumberFormat="1" applyFont="1" applyFill="1" applyBorder="1" applyAlignment="1">
      <alignment horizontal="center" vertical="center"/>
    </xf>
    <xf numFmtId="166" fontId="19" fillId="7" borderId="118" xfId="0" applyNumberFormat="1" applyFont="1" applyFill="1" applyBorder="1" applyAlignment="1">
      <alignment horizontal="center" vertical="center"/>
    </xf>
    <xf numFmtId="166" fontId="19" fillId="7" borderId="119" xfId="0" applyNumberFormat="1" applyFont="1" applyFill="1" applyBorder="1" applyAlignment="1">
      <alignment horizontal="center" vertical="center"/>
    </xf>
    <xf numFmtId="166" fontId="19" fillId="7" borderId="120" xfId="0" applyNumberFormat="1" applyFont="1" applyFill="1" applyBorder="1" applyAlignment="1">
      <alignment horizontal="center" vertical="center"/>
    </xf>
    <xf numFmtId="10" fontId="19" fillId="7" borderId="121" xfId="0" applyNumberFormat="1" applyFont="1" applyFill="1" applyBorder="1" applyAlignment="1">
      <alignment horizontal="center" vertical="center"/>
    </xf>
    <xf numFmtId="10" fontId="19" fillId="7" borderId="122" xfId="0" applyNumberFormat="1" applyFont="1" applyFill="1" applyBorder="1" applyAlignment="1">
      <alignment horizontal="center" vertical="center"/>
    </xf>
    <xf numFmtId="0" fontId="7" fillId="6" borderId="131" xfId="0" applyFont="1" applyFill="1" applyBorder="1" applyAlignment="1">
      <alignment horizontal="center" vertical="center"/>
    </xf>
    <xf numFmtId="0" fontId="7" fillId="6" borderId="132" xfId="0" applyFont="1" applyFill="1" applyBorder="1" applyAlignment="1">
      <alignment horizontal="center" vertical="center"/>
    </xf>
    <xf numFmtId="0" fontId="7" fillId="6" borderId="125" xfId="0" applyFont="1" applyFill="1" applyBorder="1" applyAlignment="1">
      <alignment horizontal="center" vertical="center"/>
    </xf>
    <xf numFmtId="0" fontId="7" fillId="6" borderId="88" xfId="0" applyFont="1" applyFill="1" applyBorder="1" applyAlignment="1">
      <alignment horizontal="center" vertical="center"/>
    </xf>
    <xf numFmtId="0" fontId="7" fillId="6" borderId="126" xfId="0" applyFont="1" applyFill="1" applyBorder="1" applyAlignment="1">
      <alignment horizontal="center" vertical="center"/>
    </xf>
    <xf numFmtId="0" fontId="7" fillId="6" borderId="89" xfId="0" applyFont="1" applyFill="1" applyBorder="1" applyAlignment="1">
      <alignment horizontal="center" vertical="center"/>
    </xf>
    <xf numFmtId="166" fontId="19" fillId="7" borderId="35" xfId="0" applyNumberFormat="1" applyFont="1" applyFill="1" applyBorder="1" applyAlignment="1">
      <alignment horizontal="center" vertical="center"/>
    </xf>
    <xf numFmtId="166" fontId="19" fillId="8" borderId="35" xfId="0" applyNumberFormat="1" applyFont="1" applyFill="1" applyBorder="1" applyAlignment="1">
      <alignment horizontal="center" vertical="center"/>
    </xf>
    <xf numFmtId="0" fontId="19" fillId="7" borderId="39" xfId="0" applyFont="1" applyFill="1" applyBorder="1" applyAlignment="1">
      <alignment horizontal="left" vertical="center"/>
    </xf>
    <xf numFmtId="0" fontId="19" fillId="7" borderId="42" xfId="0" applyFont="1" applyFill="1" applyBorder="1" applyAlignment="1">
      <alignment horizontal="left" vertical="center"/>
    </xf>
    <xf numFmtId="9" fontId="19" fillId="7" borderId="115" xfId="0" applyNumberFormat="1" applyFont="1" applyFill="1" applyBorder="1" applyAlignment="1">
      <alignment horizontal="center" vertical="center"/>
    </xf>
    <xf numFmtId="9" fontId="19" fillId="7" borderId="47" xfId="0" applyNumberFormat="1" applyFont="1" applyFill="1" applyBorder="1" applyAlignment="1">
      <alignment horizontal="center" vertical="center"/>
    </xf>
    <xf numFmtId="9" fontId="19" fillId="7" borderId="48" xfId="0" applyNumberFormat="1" applyFont="1" applyFill="1" applyBorder="1" applyAlignment="1">
      <alignment horizontal="center" vertical="center"/>
    </xf>
    <xf numFmtId="9" fontId="19" fillId="8" borderId="115" xfId="0" applyNumberFormat="1" applyFont="1" applyFill="1" applyBorder="1" applyAlignment="1">
      <alignment horizontal="center" vertical="center"/>
    </xf>
    <xf numFmtId="9" fontId="19" fillId="8" borderId="49" xfId="0" applyNumberFormat="1" applyFont="1" applyFill="1" applyBorder="1" applyAlignment="1">
      <alignment horizontal="center" vertical="center"/>
    </xf>
    <xf numFmtId="166" fontId="19" fillId="7" borderId="50" xfId="0" applyNumberFormat="1" applyFont="1" applyFill="1" applyBorder="1" applyAlignment="1">
      <alignment horizontal="center" vertical="center"/>
    </xf>
    <xf numFmtId="166" fontId="19" fillId="7" borderId="116" xfId="0" applyNumberFormat="1" applyFont="1" applyFill="1" applyBorder="1" applyAlignment="1">
      <alignment horizontal="center" vertical="center"/>
    </xf>
    <xf numFmtId="166" fontId="19" fillId="7" borderId="38" xfId="0" applyNumberFormat="1" applyFont="1" applyFill="1" applyBorder="1" applyAlignment="1">
      <alignment horizontal="center" vertical="center"/>
    </xf>
    <xf numFmtId="166" fontId="19" fillId="7" borderId="37" xfId="0" applyNumberFormat="1" applyFont="1" applyFill="1" applyBorder="1" applyAlignment="1">
      <alignment horizontal="center" vertical="center"/>
    </xf>
    <xf numFmtId="166" fontId="19" fillId="8" borderId="37" xfId="0" applyNumberFormat="1" applyFont="1" applyFill="1" applyBorder="1" applyAlignment="1">
      <alignment horizontal="center" vertical="center"/>
    </xf>
    <xf numFmtId="166" fontId="19" fillId="8" borderId="38" xfId="0" applyNumberFormat="1" applyFont="1" applyFill="1" applyBorder="1" applyAlignment="1">
      <alignment horizontal="center" vertical="center"/>
    </xf>
    <xf numFmtId="166" fontId="19" fillId="7" borderId="41" xfId="0" applyNumberFormat="1" applyFont="1" applyFill="1" applyBorder="1" applyAlignment="1">
      <alignment horizontal="center" vertical="center"/>
    </xf>
    <xf numFmtId="166" fontId="19" fillId="7" borderId="43" xfId="0" applyNumberFormat="1" applyFont="1" applyFill="1" applyBorder="1" applyAlignment="1">
      <alignment horizontal="center" vertical="center"/>
    </xf>
    <xf numFmtId="166" fontId="19" fillId="7" borderId="31" xfId="0" applyNumberFormat="1" applyFont="1" applyFill="1" applyBorder="1" applyAlignment="1">
      <alignment horizontal="center" vertical="center"/>
    </xf>
    <xf numFmtId="0" fontId="19" fillId="7" borderId="4" xfId="0" applyFont="1" applyFill="1" applyBorder="1" applyAlignment="1">
      <alignment horizontal="left" vertical="center"/>
    </xf>
    <xf numFmtId="9" fontId="19" fillId="7" borderId="112" xfId="0" applyNumberFormat="1" applyFont="1" applyFill="1" applyBorder="1" applyAlignment="1">
      <alignment horizontal="center" vertical="center"/>
    </xf>
    <xf numFmtId="9" fontId="19" fillId="7" borderId="49" xfId="0" applyNumberFormat="1" applyFont="1" applyFill="1" applyBorder="1" applyAlignment="1">
      <alignment horizontal="center" vertical="center"/>
    </xf>
    <xf numFmtId="166" fontId="19" fillId="0" borderId="35" xfId="0" applyNumberFormat="1" applyFont="1" applyFill="1" applyBorder="1" applyAlignment="1">
      <alignment horizontal="center" vertical="center"/>
    </xf>
    <xf numFmtId="0" fontId="19" fillId="7" borderId="46" xfId="0" applyFont="1" applyFill="1" applyBorder="1" applyAlignment="1">
      <alignment vertical="center"/>
    </xf>
    <xf numFmtId="0" fontId="19" fillId="7" borderId="30" xfId="0" applyFont="1" applyFill="1" applyBorder="1" applyAlignment="1">
      <alignment horizontal="left" vertical="center"/>
    </xf>
    <xf numFmtId="0" fontId="19" fillId="7" borderId="46" xfId="0" applyFont="1" applyFill="1" applyBorder="1" applyAlignment="1">
      <alignment horizontal="left" vertical="center"/>
    </xf>
    <xf numFmtId="9" fontId="19" fillId="0" borderId="49" xfId="0" applyNumberFormat="1" applyFont="1" applyFill="1" applyBorder="1" applyAlignment="1">
      <alignment horizontal="center" vertical="center"/>
    </xf>
    <xf numFmtId="9" fontId="7" fillId="7" borderId="49" xfId="0" applyNumberFormat="1" applyFont="1" applyFill="1" applyBorder="1" applyAlignment="1">
      <alignment horizontal="center" vertical="center"/>
    </xf>
    <xf numFmtId="9" fontId="7" fillId="7" borderId="47" xfId="0" applyNumberFormat="1" applyFont="1" applyFill="1" applyBorder="1" applyAlignment="1">
      <alignment horizontal="center" vertical="center"/>
    </xf>
    <xf numFmtId="9" fontId="7" fillId="7" borderId="48" xfId="0" applyNumberFormat="1" applyFont="1" applyFill="1" applyBorder="1" applyAlignment="1">
      <alignment horizontal="center" vertical="center"/>
    </xf>
    <xf numFmtId="0" fontId="19" fillId="9" borderId="32" xfId="0" applyFont="1" applyFill="1" applyBorder="1" applyAlignment="1">
      <alignment horizontal="center" vertical="center"/>
    </xf>
    <xf numFmtId="0" fontId="19" fillId="9" borderId="33" xfId="0" applyFont="1" applyFill="1" applyBorder="1" applyAlignment="1">
      <alignment horizontal="center" vertical="center"/>
    </xf>
    <xf numFmtId="166" fontId="7" fillId="7" borderId="35" xfId="0" applyNumberFormat="1" applyFont="1" applyFill="1" applyBorder="1" applyAlignment="1">
      <alignment horizontal="center" vertical="center"/>
    </xf>
    <xf numFmtId="9" fontId="19" fillId="7" borderId="54" xfId="2" applyFont="1" applyFill="1" applyBorder="1" applyAlignment="1" applyProtection="1">
      <alignment horizontal="center" vertical="center"/>
    </xf>
    <xf numFmtId="166" fontId="19" fillId="11" borderId="60" xfId="0" applyNumberFormat="1" applyFont="1" applyFill="1" applyBorder="1" applyAlignment="1">
      <alignment horizontal="center" vertical="center"/>
    </xf>
    <xf numFmtId="166" fontId="19" fillId="11" borderId="106" xfId="0" applyNumberFormat="1" applyFont="1" applyFill="1" applyBorder="1" applyAlignment="1">
      <alignment horizontal="center" vertical="center"/>
    </xf>
    <xf numFmtId="9" fontId="19" fillId="7" borderId="42" xfId="2" applyFont="1" applyFill="1" applyBorder="1" applyAlignment="1" applyProtection="1">
      <alignment horizontal="center" vertical="center"/>
    </xf>
    <xf numFmtId="166" fontId="19" fillId="7" borderId="56" xfId="0" applyNumberFormat="1" applyFont="1" applyFill="1" applyBorder="1" applyAlignment="1">
      <alignment horizontal="center" vertical="center"/>
    </xf>
    <xf numFmtId="11" fontId="19" fillId="7" borderId="46" xfId="0" applyNumberFormat="1" applyFont="1" applyFill="1" applyBorder="1" applyAlignment="1">
      <alignment horizontal="left" vertical="center"/>
    </xf>
    <xf numFmtId="0" fontId="19" fillId="7" borderId="55" xfId="0" applyFont="1" applyFill="1" applyBorder="1" applyAlignment="1">
      <alignment horizontal="center" vertical="center"/>
    </xf>
    <xf numFmtId="0" fontId="19" fillId="7" borderId="103" xfId="0" applyFont="1" applyFill="1" applyBorder="1" applyAlignment="1">
      <alignment horizontal="center" vertical="center"/>
    </xf>
    <xf numFmtId="9" fontId="19" fillId="10" borderId="60" xfId="0" applyNumberFormat="1" applyFont="1" applyFill="1" applyBorder="1" applyAlignment="1">
      <alignment horizontal="center" vertical="center"/>
    </xf>
    <xf numFmtId="166" fontId="19" fillId="8" borderId="56" xfId="0" applyNumberFormat="1" applyFont="1" applyFill="1" applyBorder="1" applyAlignment="1">
      <alignment horizontal="center" vertical="center"/>
    </xf>
    <xf numFmtId="0" fontId="7" fillId="21" borderId="4" xfId="12" applyFont="1" applyFill="1" applyBorder="1" applyAlignment="1">
      <alignment horizontal="center" vertical="center" wrapText="1"/>
    </xf>
    <xf numFmtId="0" fontId="7" fillId="0" borderId="4" xfId="0" applyFont="1" applyBorder="1" applyAlignment="1">
      <alignment vertical="center"/>
    </xf>
    <xf numFmtId="4" fontId="7" fillId="4" borderId="4" xfId="12" applyNumberFormat="1" applyFont="1" applyFill="1" applyBorder="1" applyAlignment="1">
      <alignment horizontal="left" vertical="center" wrapText="1"/>
    </xf>
    <xf numFmtId="175" fontId="7" fillId="0" borderId="4" xfId="0" applyNumberFormat="1" applyFont="1" applyBorder="1" applyAlignment="1">
      <alignment horizontal="left" vertical="center"/>
    </xf>
    <xf numFmtId="0" fontId="7" fillId="0" borderId="4" xfId="0" applyFont="1" applyBorder="1" applyAlignment="1">
      <alignment horizontal="left" vertical="center"/>
    </xf>
    <xf numFmtId="10" fontId="7" fillId="0" borderId="4" xfId="0" applyNumberFormat="1" applyFont="1" applyBorder="1" applyAlignment="1">
      <alignment horizontal="left" vertical="center"/>
    </xf>
    <xf numFmtId="0" fontId="7" fillId="0" borderId="4" xfId="0" applyFont="1" applyBorder="1" applyAlignment="1">
      <alignment horizontal="left" vertical="center" wrapText="1"/>
    </xf>
    <xf numFmtId="0" fontId="7" fillId="26" borderId="108" xfId="0" applyFont="1" applyFill="1" applyBorder="1" applyAlignment="1">
      <alignment horizontal="center" vertical="center"/>
    </xf>
    <xf numFmtId="169" fontId="7" fillId="4" borderId="4" xfId="0" applyNumberFormat="1" applyFont="1" applyFill="1" applyBorder="1" applyAlignment="1">
      <alignment horizontal="center" vertical="center"/>
    </xf>
    <xf numFmtId="169" fontId="7" fillId="16" borderId="4" xfId="0" applyNumberFormat="1" applyFont="1" applyFill="1" applyBorder="1" applyAlignment="1">
      <alignment horizontal="center" vertical="center"/>
    </xf>
    <xf numFmtId="0" fontId="5" fillId="0" borderId="4" xfId="0" applyFont="1" applyBorder="1" applyAlignment="1">
      <alignment horizontal="center" vertical="center"/>
    </xf>
    <xf numFmtId="0" fontId="7" fillId="0" borderId="4" xfId="0" applyFont="1" applyBorder="1" applyAlignment="1">
      <alignment horizontal="center" vertical="center"/>
    </xf>
    <xf numFmtId="168" fontId="19" fillId="0" borderId="4" xfId="0" applyNumberFormat="1" applyFont="1" applyBorder="1" applyAlignment="1">
      <alignment horizontal="center" vertical="center"/>
    </xf>
    <xf numFmtId="168" fontId="19" fillId="0" borderId="4" xfId="0" applyNumberFormat="1" applyFont="1" applyBorder="1" applyAlignment="1">
      <alignment horizontal="center" vertical="center" wrapText="1"/>
    </xf>
    <xf numFmtId="168" fontId="4" fillId="0" borderId="4" xfId="24" applyNumberFormat="1" applyFont="1" applyFill="1" applyBorder="1" applyAlignment="1">
      <alignment horizontal="center" vertical="center" wrapText="1"/>
    </xf>
    <xf numFmtId="168" fontId="4" fillId="0" borderId="4" xfId="0" applyNumberFormat="1" applyFont="1" applyFill="1" applyBorder="1" applyAlignment="1">
      <alignment horizontal="center" vertical="center" wrapText="1"/>
    </xf>
    <xf numFmtId="168" fontId="19" fillId="0" borderId="13" xfId="0" applyNumberFormat="1" applyFont="1" applyBorder="1" applyAlignment="1">
      <alignment horizontal="center" vertical="center" wrapText="1"/>
    </xf>
    <xf numFmtId="168" fontId="19" fillId="0" borderId="14" xfId="0" applyNumberFormat="1" applyFont="1" applyBorder="1" applyAlignment="1">
      <alignment horizontal="center" vertical="center" wrapText="1"/>
    </xf>
    <xf numFmtId="168" fontId="19" fillId="0" borderId="15" xfId="0" applyNumberFormat="1" applyFont="1" applyBorder="1" applyAlignment="1">
      <alignment horizontal="center" vertical="center" wrapText="1"/>
    </xf>
    <xf numFmtId="168" fontId="4" fillId="0" borderId="13" xfId="24" applyNumberFormat="1" applyFont="1" applyFill="1" applyBorder="1" applyAlignment="1">
      <alignment horizontal="center" vertical="center" wrapText="1"/>
    </xf>
    <xf numFmtId="168" fontId="4" fillId="0" borderId="14" xfId="24" applyNumberFormat="1" applyFont="1" applyFill="1" applyBorder="1" applyAlignment="1">
      <alignment horizontal="center" vertical="center" wrapText="1"/>
    </xf>
    <xf numFmtId="168" fontId="4" fillId="0" borderId="15" xfId="24" applyNumberFormat="1" applyFont="1" applyFill="1" applyBorder="1" applyAlignment="1">
      <alignment horizontal="center" vertical="center" wrapText="1"/>
    </xf>
    <xf numFmtId="168" fontId="4" fillId="0" borderId="4" xfId="24" applyNumberFormat="1" applyFont="1" applyBorder="1" applyAlignment="1">
      <alignment horizontal="center" vertical="center" wrapText="1"/>
    </xf>
    <xf numFmtId="168" fontId="4" fillId="0" borderId="4" xfId="0" applyNumberFormat="1" applyFont="1" applyBorder="1" applyAlignment="1">
      <alignment horizontal="center" vertical="center" wrapText="1"/>
    </xf>
    <xf numFmtId="0" fontId="34" fillId="21" borderId="4" xfId="12" applyFont="1" applyFill="1" applyBorder="1" applyAlignment="1">
      <alignment horizontal="center" vertical="center" wrapText="1"/>
    </xf>
    <xf numFmtId="0" fontId="5" fillId="0" borderId="4" xfId="12" applyFont="1" applyBorder="1" applyAlignment="1">
      <alignment horizontal="left" vertical="center"/>
    </xf>
    <xf numFmtId="0" fontId="5" fillId="4" borderId="4" xfId="12" applyFont="1" applyFill="1" applyBorder="1" applyAlignment="1">
      <alignment horizontal="left" vertical="center"/>
    </xf>
    <xf numFmtId="175" fontId="5" fillId="0" borderId="4" xfId="12" applyNumberFormat="1" applyFont="1" applyBorder="1" applyAlignment="1">
      <alignment horizontal="left" vertical="center"/>
    </xf>
    <xf numFmtId="10" fontId="5" fillId="0" borderId="4" xfId="8" applyNumberFormat="1" applyFont="1" applyBorder="1" applyAlignment="1">
      <alignment horizontal="left" vertical="center"/>
    </xf>
    <xf numFmtId="169" fontId="5" fillId="4" borderId="4" xfId="0" applyNumberFormat="1" applyFont="1" applyFill="1" applyBorder="1" applyAlignment="1">
      <alignment horizontal="left" vertical="center" wrapText="1"/>
    </xf>
    <xf numFmtId="0" fontId="34" fillId="0" borderId="16"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4" fillId="0" borderId="0" xfId="5" applyFont="1" applyAlignment="1">
      <alignment horizontal="left" vertical="center"/>
    </xf>
    <xf numFmtId="165" fontId="5" fillId="0" borderId="4" xfId="12" applyNumberFormat="1" applyFont="1" applyBorder="1" applyAlignment="1">
      <alignment horizontal="left" vertical="center" wrapText="1"/>
    </xf>
    <xf numFmtId="169" fontId="5" fillId="3" borderId="4" xfId="0" applyNumberFormat="1" applyFont="1" applyFill="1" applyBorder="1" applyAlignment="1">
      <alignment horizontal="left" vertical="center" wrapText="1"/>
    </xf>
    <xf numFmtId="169" fontId="7" fillId="4" borderId="4"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7" fillId="4" borderId="84" xfId="12" applyFont="1" applyFill="1" applyBorder="1" applyAlignment="1">
      <alignment horizontal="left" vertical="center" wrapText="1"/>
    </xf>
    <xf numFmtId="0" fontId="7" fillId="4" borderId="123" xfId="12" applyFont="1" applyFill="1" applyBorder="1" applyAlignment="1">
      <alignment horizontal="left" vertical="center" wrapText="1"/>
    </xf>
    <xf numFmtId="4" fontId="4" fillId="0" borderId="13" xfId="0" applyNumberFormat="1" applyFont="1" applyBorder="1" applyAlignment="1">
      <alignment horizontal="center" vertical="center" wrapText="1"/>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0" borderId="20" xfId="0" applyFont="1" applyFill="1" applyBorder="1" applyAlignment="1">
      <alignment horizontal="right" vertical="center" wrapText="1"/>
    </xf>
    <xf numFmtId="0" fontId="5" fillId="0" borderId="67" xfId="0" applyFont="1" applyFill="1" applyBorder="1" applyAlignment="1">
      <alignment horizontal="right" vertical="center" wrapText="1"/>
    </xf>
    <xf numFmtId="0" fontId="5" fillId="0" borderId="65" xfId="0" applyFont="1" applyFill="1" applyBorder="1" applyAlignment="1">
      <alignment horizontal="right" vertical="center" wrapText="1"/>
    </xf>
    <xf numFmtId="0" fontId="5" fillId="0" borderId="66" xfId="0" applyFont="1" applyFill="1" applyBorder="1" applyAlignment="1">
      <alignment horizontal="righ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4" fillId="0"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79" xfId="0" applyFont="1" applyFill="1" applyBorder="1" applyAlignment="1">
      <alignment horizontal="center" vertical="center" wrapText="1"/>
    </xf>
    <xf numFmtId="0" fontId="5" fillId="0" borderId="13" xfId="0" applyFont="1" applyFill="1" applyBorder="1" applyAlignment="1">
      <alignment horizontal="right" vertical="center" wrapText="1"/>
    </xf>
    <xf numFmtId="0" fontId="5" fillId="0" borderId="14" xfId="0" applyFont="1" applyFill="1" applyBorder="1" applyAlignment="1">
      <alignment horizontal="right" vertical="center" wrapText="1"/>
    </xf>
    <xf numFmtId="0" fontId="5" fillId="0" borderId="15" xfId="0" applyFont="1" applyFill="1" applyBorder="1" applyAlignment="1">
      <alignment horizontal="right" vertical="center" wrapText="1"/>
    </xf>
    <xf numFmtId="0" fontId="4" fillId="0" borderId="67"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28"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5" fillId="4" borderId="3" xfId="0" applyFont="1" applyFill="1" applyBorder="1" applyAlignment="1">
      <alignment horizontal="left" wrapText="1"/>
    </xf>
    <xf numFmtId="0" fontId="5" fillId="4" borderId="2" xfId="0" applyFont="1" applyFill="1" applyBorder="1" applyAlignment="1">
      <alignment horizontal="left" wrapText="1"/>
    </xf>
    <xf numFmtId="44" fontId="7" fillId="3" borderId="67" xfId="12" applyNumberFormat="1" applyFont="1" applyFill="1" applyBorder="1" applyAlignment="1">
      <alignment horizontal="left" vertical="center" wrapText="1"/>
    </xf>
    <xf numFmtId="44" fontId="7" fillId="3" borderId="66" xfId="12" applyNumberFormat="1" applyFont="1" applyFill="1" applyBorder="1" applyAlignment="1">
      <alignment horizontal="left" vertical="center" wrapText="1"/>
    </xf>
    <xf numFmtId="44" fontId="7" fillId="3" borderId="17" xfId="12" applyNumberFormat="1" applyFont="1" applyFill="1" applyBorder="1" applyAlignment="1">
      <alignment horizontal="left" vertical="center" wrapText="1"/>
    </xf>
    <xf numFmtId="44" fontId="7" fillId="3" borderId="21" xfId="12" applyNumberFormat="1" applyFont="1" applyFill="1" applyBorder="1" applyAlignment="1">
      <alignment horizontal="left" vertical="center" wrapText="1"/>
    </xf>
    <xf numFmtId="0" fontId="7" fillId="3" borderId="13" xfId="12" applyNumberFormat="1" applyFont="1" applyFill="1" applyBorder="1" applyAlignment="1">
      <alignment horizontal="left" vertical="center"/>
    </xf>
    <xf numFmtId="0" fontId="7" fillId="3" borderId="14" xfId="12" applyNumberFormat="1" applyFont="1" applyFill="1" applyBorder="1" applyAlignment="1">
      <alignment horizontal="left" vertical="center"/>
    </xf>
    <xf numFmtId="0" fontId="7" fillId="3" borderId="13" xfId="12" applyNumberFormat="1" applyFont="1" applyFill="1" applyBorder="1" applyAlignment="1">
      <alignment vertical="center" wrapText="1"/>
    </xf>
    <xf numFmtId="0" fontId="7" fillId="3" borderId="14" xfId="12" applyNumberFormat="1" applyFont="1" applyFill="1" applyBorder="1" applyAlignment="1">
      <alignment vertical="center" wrapText="1"/>
    </xf>
    <xf numFmtId="0" fontId="7" fillId="3" borderId="15" xfId="12" applyNumberFormat="1" applyFont="1" applyFill="1" applyBorder="1" applyAlignment="1">
      <alignment horizontal="left" vertical="center"/>
    </xf>
    <xf numFmtId="10" fontId="5" fillId="0" borderId="13" xfId="2" applyNumberFormat="1" applyFont="1" applyBorder="1" applyAlignment="1">
      <alignment horizontal="left" vertical="center" wrapText="1"/>
    </xf>
    <xf numFmtId="10" fontId="5" fillId="0" borderId="14" xfId="2" applyNumberFormat="1" applyFont="1" applyBorder="1" applyAlignment="1">
      <alignment horizontal="left" vertical="center" wrapText="1"/>
    </xf>
    <xf numFmtId="10" fontId="5" fillId="0" borderId="15" xfId="2" applyNumberFormat="1" applyFont="1" applyBorder="1" applyAlignment="1">
      <alignment horizontal="left" vertical="center" wrapText="1"/>
    </xf>
    <xf numFmtId="0" fontId="7" fillId="4" borderId="67" xfId="12" applyFont="1" applyFill="1" applyBorder="1" applyAlignment="1">
      <alignment horizontal="center" vertical="center" wrapText="1"/>
    </xf>
    <xf numFmtId="0" fontId="7" fillId="4" borderId="66" xfId="12" applyFont="1" applyFill="1" applyBorder="1" applyAlignment="1">
      <alignment horizontal="center" vertical="center" wrapText="1"/>
    </xf>
    <xf numFmtId="0" fontId="7" fillId="4" borderId="17" xfId="12" applyFont="1" applyFill="1" applyBorder="1" applyAlignment="1">
      <alignment horizontal="center" vertical="center" wrapText="1"/>
    </xf>
    <xf numFmtId="0" fontId="7" fillId="4" borderId="21" xfId="12" applyFont="1" applyFill="1" applyBorder="1" applyAlignment="1">
      <alignment horizontal="center" vertical="center" wrapText="1"/>
    </xf>
    <xf numFmtId="0" fontId="7" fillId="3" borderId="65" xfId="12" applyNumberFormat="1" applyFont="1" applyFill="1" applyBorder="1" applyAlignment="1">
      <alignment horizontal="left" vertical="center" wrapText="1"/>
    </xf>
    <xf numFmtId="0" fontId="7" fillId="3" borderId="66" xfId="12" applyNumberFormat="1" applyFont="1" applyFill="1" applyBorder="1" applyAlignment="1">
      <alignment horizontal="left" vertical="center" wrapText="1"/>
    </xf>
    <xf numFmtId="0" fontId="7" fillId="3" borderId="110" xfId="12" applyNumberFormat="1" applyFont="1" applyFill="1" applyBorder="1" applyAlignment="1">
      <alignment horizontal="left" vertical="center" wrapText="1"/>
    </xf>
    <xf numFmtId="0" fontId="7" fillId="3" borderId="0" xfId="12" applyNumberFormat="1" applyFont="1" applyFill="1" applyBorder="1" applyAlignment="1">
      <alignment horizontal="left" vertical="center" wrapText="1"/>
    </xf>
    <xf numFmtId="0" fontId="7" fillId="3" borderId="111" xfId="12" applyNumberFormat="1" applyFont="1" applyFill="1" applyBorder="1" applyAlignment="1">
      <alignment horizontal="left" vertical="center" wrapText="1"/>
    </xf>
    <xf numFmtId="165" fontId="7" fillId="3" borderId="67" xfId="12" applyNumberFormat="1" applyFont="1" applyFill="1" applyBorder="1" applyAlignment="1">
      <alignment horizontal="left" vertical="center" wrapText="1"/>
    </xf>
    <xf numFmtId="165" fontId="7" fillId="3" borderId="65" xfId="12" applyNumberFormat="1" applyFont="1" applyFill="1" applyBorder="1" applyAlignment="1">
      <alignment horizontal="left" vertical="center" wrapText="1"/>
    </xf>
    <xf numFmtId="165" fontId="7" fillId="3" borderId="66" xfId="12" applyNumberFormat="1" applyFont="1" applyFill="1" applyBorder="1" applyAlignment="1">
      <alignment horizontal="left" vertical="center" wrapText="1"/>
    </xf>
    <xf numFmtId="165" fontId="7" fillId="3" borderId="17" xfId="12" applyNumberFormat="1" applyFont="1" applyFill="1" applyBorder="1" applyAlignment="1">
      <alignment horizontal="left" vertical="center" wrapText="1"/>
    </xf>
    <xf numFmtId="165" fontId="7" fillId="3" borderId="18" xfId="12" applyNumberFormat="1" applyFont="1" applyFill="1" applyBorder="1" applyAlignment="1">
      <alignment horizontal="left" vertical="center" wrapText="1"/>
    </xf>
    <xf numFmtId="165" fontId="7" fillId="3" borderId="21" xfId="12" applyNumberFormat="1" applyFont="1" applyFill="1" applyBorder="1" applyAlignment="1">
      <alignment horizontal="left" vertical="center" wrapText="1"/>
    </xf>
    <xf numFmtId="169" fontId="7" fillId="4" borderId="67" xfId="0" applyNumberFormat="1" applyFont="1" applyFill="1" applyBorder="1" applyAlignment="1" applyProtection="1">
      <alignment horizontal="center" vertical="center" wrapText="1"/>
    </xf>
    <xf numFmtId="169" fontId="7" fillId="4" borderId="66" xfId="0" applyNumberFormat="1" applyFont="1" applyFill="1" applyBorder="1" applyAlignment="1" applyProtection="1">
      <alignment horizontal="center" vertical="center" wrapText="1"/>
    </xf>
    <xf numFmtId="169" fontId="7" fillId="3" borderId="67" xfId="0" applyNumberFormat="1" applyFont="1" applyFill="1" applyBorder="1" applyAlignment="1" applyProtection="1">
      <alignment horizontal="left" vertical="center" wrapText="1"/>
    </xf>
    <xf numFmtId="169" fontId="7" fillId="3" borderId="65" xfId="0" applyNumberFormat="1" applyFont="1" applyFill="1" applyBorder="1" applyAlignment="1" applyProtection="1">
      <alignment horizontal="left" vertical="center" wrapText="1"/>
    </xf>
    <xf numFmtId="169" fontId="7" fillId="3" borderId="66" xfId="0" applyNumberFormat="1" applyFont="1" applyFill="1" applyBorder="1" applyAlignment="1" applyProtection="1">
      <alignment horizontal="left" vertical="center" wrapText="1"/>
    </xf>
    <xf numFmtId="0" fontId="7" fillId="4" borderId="4" xfId="12" applyFont="1" applyFill="1" applyBorder="1" applyAlignment="1">
      <alignment horizontal="center" vertical="center"/>
    </xf>
    <xf numFmtId="4" fontId="4" fillId="0" borderId="13" xfId="0" applyNumberFormat="1" applyFont="1" applyFill="1" applyBorder="1" applyAlignment="1">
      <alignment horizontal="center" vertical="center" wrapText="1"/>
    </xf>
    <xf numFmtId="0" fontId="4" fillId="0" borderId="81" xfId="0" applyFont="1" applyFill="1" applyBorder="1" applyAlignment="1">
      <alignment horizontal="center" vertical="center" wrapText="1"/>
    </xf>
    <xf numFmtId="0" fontId="4" fillId="0" borderId="82" xfId="0" applyFont="1" applyFill="1" applyBorder="1" applyAlignment="1">
      <alignment horizontal="center" vertical="center" wrapText="1"/>
    </xf>
    <xf numFmtId="0" fontId="7" fillId="4" borderId="4" xfId="21" applyFont="1" applyFill="1" applyBorder="1" applyAlignment="1">
      <alignment horizontal="center" vertical="center"/>
    </xf>
    <xf numFmtId="0" fontId="7" fillId="4" borderId="13" xfId="5" applyFont="1" applyFill="1" applyBorder="1" applyAlignment="1">
      <alignment horizontal="center" vertical="center"/>
    </xf>
    <xf numFmtId="0" fontId="7" fillId="4" borderId="14" xfId="5" applyFont="1" applyFill="1" applyBorder="1" applyAlignment="1">
      <alignment horizontal="center" vertical="center"/>
    </xf>
    <xf numFmtId="0" fontId="7" fillId="4" borderId="15" xfId="5" applyFont="1" applyFill="1" applyBorder="1" applyAlignment="1">
      <alignment horizontal="center" vertical="center"/>
    </xf>
    <xf numFmtId="4" fontId="19" fillId="0" borderId="4" xfId="12" applyNumberFormat="1" applyFont="1" applyFill="1" applyBorder="1" applyAlignment="1">
      <alignment horizontal="left" vertical="center" wrapText="1"/>
    </xf>
    <xf numFmtId="0" fontId="7" fillId="4" borderId="4" xfId="5" applyFont="1" applyFill="1" applyBorder="1" applyAlignment="1">
      <alignment horizontal="center" vertical="center"/>
    </xf>
    <xf numFmtId="0" fontId="7" fillId="3" borderId="13" xfId="21" applyFont="1" applyFill="1" applyBorder="1" applyAlignment="1">
      <alignment horizontal="center" vertical="center"/>
    </xf>
    <xf numFmtId="0" fontId="7" fillId="3" borderId="14" xfId="21" applyFont="1" applyFill="1" applyBorder="1" applyAlignment="1">
      <alignment horizontal="center" vertical="center"/>
    </xf>
    <xf numFmtId="0" fontId="7" fillId="3" borderId="15" xfId="21" applyFont="1" applyFill="1" applyBorder="1" applyAlignment="1">
      <alignment horizontal="center" vertical="center"/>
    </xf>
    <xf numFmtId="0" fontId="19" fillId="3" borderId="13" xfId="21" applyFont="1" applyFill="1" applyBorder="1" applyAlignment="1">
      <alignment horizontal="center" vertical="center" wrapText="1"/>
    </xf>
    <xf numFmtId="0" fontId="19" fillId="3" borderId="15" xfId="21" applyFont="1" applyFill="1" applyBorder="1" applyAlignment="1">
      <alignment horizontal="center"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19" fillId="0" borderId="13"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7" fillId="4" borderId="13" xfId="5" applyFont="1" applyFill="1" applyBorder="1" applyAlignment="1">
      <alignment horizontal="center"/>
    </xf>
    <xf numFmtId="0" fontId="7" fillId="4" borderId="14" xfId="5" applyFont="1" applyFill="1" applyBorder="1" applyAlignment="1">
      <alignment horizontal="center"/>
    </xf>
    <xf numFmtId="0" fontId="7" fillId="4" borderId="15" xfId="5" applyFont="1" applyFill="1" applyBorder="1" applyAlignment="1">
      <alignment horizontal="center"/>
    </xf>
    <xf numFmtId="0" fontId="19" fillId="0" borderId="78" xfId="0" applyFont="1" applyFill="1" applyBorder="1" applyAlignment="1">
      <alignment horizontal="left" vertical="center" wrapText="1"/>
    </xf>
    <xf numFmtId="0" fontId="7" fillId="4" borderId="76" xfId="5" applyFont="1" applyFill="1" applyBorder="1" applyAlignment="1">
      <alignment horizontal="center" vertical="center"/>
    </xf>
    <xf numFmtId="0" fontId="19" fillId="0" borderId="13"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4" fillId="0" borderId="0" xfId="0" applyFont="1" applyAlignment="1">
      <alignment horizontal="left" vertical="center" wrapText="1"/>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7" fillId="0" borderId="14" xfId="0" applyFont="1" applyBorder="1" applyAlignment="1">
      <alignment horizontal="center" vertical="center"/>
    </xf>
    <xf numFmtId="4" fontId="19" fillId="0" borderId="13" xfId="12" applyNumberFormat="1" applyFont="1" applyFill="1" applyBorder="1" applyAlignment="1">
      <alignment horizontal="left" vertical="center" wrapText="1"/>
    </xf>
    <xf numFmtId="4" fontId="19" fillId="0" borderId="14" xfId="12" applyNumberFormat="1" applyFont="1" applyFill="1" applyBorder="1" applyAlignment="1">
      <alignment horizontal="left" vertical="center" wrapText="1"/>
    </xf>
    <xf numFmtId="4" fontId="19" fillId="0" borderId="78" xfId="12" applyNumberFormat="1" applyFont="1" applyFill="1" applyBorder="1" applyAlignment="1">
      <alignment horizontal="left" vertical="center" wrapText="1"/>
    </xf>
    <xf numFmtId="0" fontId="7" fillId="3" borderId="0" xfId="0" applyFont="1" applyFill="1" applyAlignment="1">
      <alignment horizontal="center" vertical="center"/>
    </xf>
    <xf numFmtId="0" fontId="19" fillId="3" borderId="13" xfId="5" applyFont="1" applyFill="1" applyBorder="1" applyAlignment="1">
      <alignment horizontal="left" vertical="center" wrapText="1"/>
    </xf>
    <xf numFmtId="0" fontId="19" fillId="3" borderId="14" xfId="5" applyFont="1" applyFill="1" applyBorder="1" applyAlignment="1">
      <alignment horizontal="left" vertical="center" wrapText="1"/>
    </xf>
    <xf numFmtId="0" fontId="19" fillId="3" borderId="15" xfId="5" applyFont="1" applyFill="1" applyBorder="1" applyAlignment="1">
      <alignment horizontal="left" vertical="center" wrapText="1"/>
    </xf>
    <xf numFmtId="0" fontId="7" fillId="0" borderId="0" xfId="0" applyFont="1" applyAlignment="1">
      <alignment horizontal="center" vertical="center"/>
    </xf>
    <xf numFmtId="0" fontId="19" fillId="3" borderId="13" xfId="0" applyFont="1" applyFill="1" applyBorder="1" applyAlignment="1">
      <alignment vertical="center" wrapText="1"/>
    </xf>
    <xf numFmtId="0" fontId="19" fillId="3" borderId="14" xfId="0" applyFont="1" applyFill="1" applyBorder="1" applyAlignment="1">
      <alignment vertical="center" wrapText="1"/>
    </xf>
    <xf numFmtId="0" fontId="19" fillId="3" borderId="15" xfId="0" applyFont="1" applyFill="1" applyBorder="1" applyAlignment="1">
      <alignment vertical="center" wrapText="1"/>
    </xf>
    <xf numFmtId="0" fontId="7" fillId="4" borderId="4" xfId="5" applyFont="1" applyFill="1" applyBorder="1" applyAlignment="1">
      <alignment horizontal="center"/>
    </xf>
    <xf numFmtId="4" fontId="19" fillId="0" borderId="14" xfId="0" applyNumberFormat="1" applyFont="1" applyBorder="1" applyAlignment="1">
      <alignment horizontal="left" vertical="center" wrapText="1"/>
    </xf>
    <xf numFmtId="4" fontId="19" fillId="0" borderId="78" xfId="0" applyNumberFormat="1" applyFont="1" applyBorder="1" applyAlignment="1">
      <alignment horizontal="left"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7" fillId="0" borderId="88" xfId="0" applyFont="1" applyBorder="1" applyAlignment="1">
      <alignment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3" borderId="4" xfId="0" applyFont="1" applyFill="1" applyBorder="1" applyAlignment="1">
      <alignment horizontal="left" vertical="center" wrapText="1"/>
    </xf>
    <xf numFmtId="0" fontId="7" fillId="4" borderId="17" xfId="5" applyFont="1" applyFill="1" applyBorder="1" applyAlignment="1">
      <alignment horizontal="center" vertical="center"/>
    </xf>
    <xf numFmtId="0" fontId="7" fillId="4" borderId="18" xfId="5" applyFont="1" applyFill="1" applyBorder="1" applyAlignment="1">
      <alignment horizontal="center" vertical="center"/>
    </xf>
    <xf numFmtId="0" fontId="7" fillId="0" borderId="0" xfId="0" applyFont="1" applyBorder="1" applyAlignment="1">
      <alignment horizontal="center" vertical="center" wrapText="1"/>
    </xf>
    <xf numFmtId="0" fontId="7" fillId="0" borderId="108" xfId="0" applyFont="1" applyBorder="1" applyAlignment="1">
      <alignment vertical="center"/>
    </xf>
    <xf numFmtId="4" fontId="7" fillId="4" borderId="107" xfId="12" applyNumberFormat="1" applyFont="1" applyFill="1" applyBorder="1" applyAlignment="1">
      <alignment horizontal="left" vertical="center" wrapText="1"/>
    </xf>
    <xf numFmtId="4" fontId="7" fillId="4" borderId="124" xfId="12" applyNumberFormat="1" applyFont="1" applyFill="1" applyBorder="1" applyAlignment="1">
      <alignment horizontal="left" vertical="center" wrapText="1"/>
    </xf>
    <xf numFmtId="0" fontId="7" fillId="0" borderId="77" xfId="0" applyFont="1" applyBorder="1" applyAlignment="1">
      <alignment vertical="center"/>
    </xf>
    <xf numFmtId="44" fontId="7" fillId="0" borderId="125" xfId="0" applyNumberFormat="1" applyFont="1" applyBorder="1" applyAlignment="1">
      <alignment vertical="center"/>
    </xf>
    <xf numFmtId="0" fontId="7" fillId="0" borderId="125" xfId="0" applyFont="1" applyBorder="1" applyAlignment="1">
      <alignment vertical="center"/>
    </xf>
    <xf numFmtId="0" fontId="7" fillId="0" borderId="126" xfId="0" applyFont="1" applyBorder="1" applyAlignment="1">
      <alignment vertical="center"/>
    </xf>
    <xf numFmtId="0" fontId="7" fillId="4" borderId="73" xfId="12" applyFont="1" applyFill="1" applyBorder="1" applyAlignment="1">
      <alignment horizontal="left" vertical="center" wrapText="1"/>
    </xf>
    <xf numFmtId="0" fontId="7" fillId="4" borderId="82" xfId="12" applyFont="1" applyFill="1" applyBorder="1" applyAlignment="1">
      <alignment horizontal="left" vertical="center" wrapText="1"/>
    </xf>
    <xf numFmtId="0" fontId="7" fillId="4" borderId="76" xfId="12" applyFont="1" applyFill="1" applyBorder="1" applyAlignment="1">
      <alignment horizontal="left" vertical="center" wrapText="1"/>
    </xf>
    <xf numFmtId="0" fontId="7" fillId="4" borderId="15" xfId="12" applyFont="1" applyFill="1" applyBorder="1" applyAlignment="1">
      <alignment horizontal="left" vertical="center" wrapText="1"/>
    </xf>
    <xf numFmtId="4" fontId="7" fillId="4" borderId="76" xfId="12" applyNumberFormat="1" applyFont="1" applyFill="1" applyBorder="1" applyAlignment="1">
      <alignment horizontal="left" vertical="center" wrapText="1"/>
    </xf>
    <xf numFmtId="4" fontId="7" fillId="4" borderId="15" xfId="12" applyNumberFormat="1" applyFont="1" applyFill="1" applyBorder="1" applyAlignment="1">
      <alignment horizontal="left" vertical="center" wrapText="1"/>
    </xf>
    <xf numFmtId="4" fontId="7" fillId="4" borderId="67" xfId="12" applyNumberFormat="1" applyFont="1" applyFill="1" applyBorder="1" applyAlignment="1">
      <alignment horizontal="center" vertical="center" wrapText="1"/>
    </xf>
    <xf numFmtId="4" fontId="7" fillId="4" borderId="66" xfId="12" applyNumberFormat="1" applyFont="1" applyFill="1" applyBorder="1" applyAlignment="1">
      <alignment horizontal="center" vertical="center" wrapText="1"/>
    </xf>
    <xf numFmtId="4" fontId="7" fillId="4" borderId="17" xfId="12" applyNumberFormat="1" applyFont="1" applyFill="1" applyBorder="1" applyAlignment="1">
      <alignment horizontal="center" vertical="center" wrapText="1"/>
    </xf>
    <xf numFmtId="4" fontId="7" fillId="4" borderId="21" xfId="12" applyNumberFormat="1" applyFont="1" applyFill="1" applyBorder="1" applyAlignment="1">
      <alignment horizontal="center" vertical="center" wrapText="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67" xfId="0" applyFont="1" applyBorder="1" applyAlignment="1">
      <alignment horizontal="left" vertical="center" wrapText="1"/>
    </xf>
    <xf numFmtId="0" fontId="7" fillId="0" borderId="65" xfId="0" applyFont="1" applyBorder="1" applyAlignment="1">
      <alignment horizontal="left" vertical="center" wrapText="1"/>
    </xf>
    <xf numFmtId="0" fontId="7" fillId="0" borderId="10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02" xfId="0" applyFont="1" applyBorder="1" applyAlignment="1">
      <alignment horizontal="left" vertical="center" wrapText="1"/>
    </xf>
    <xf numFmtId="4" fontId="7" fillId="4" borderId="87" xfId="12" applyNumberFormat="1" applyFont="1" applyFill="1" applyBorder="1" applyAlignment="1">
      <alignment horizontal="left" vertical="center" wrapText="1"/>
    </xf>
    <xf numFmtId="4" fontId="7" fillId="4" borderId="68" xfId="12" applyNumberFormat="1" applyFont="1" applyFill="1" applyBorder="1" applyAlignment="1">
      <alignment horizontal="left" vertical="center" wrapText="1"/>
    </xf>
    <xf numFmtId="4" fontId="7" fillId="4" borderId="109" xfId="12" applyNumberFormat="1" applyFont="1" applyFill="1" applyBorder="1" applyAlignment="1">
      <alignment horizontal="left" vertical="center" wrapText="1"/>
    </xf>
    <xf numFmtId="0" fontId="7" fillId="0" borderId="89" xfId="0" applyFont="1" applyBorder="1" applyAlignment="1">
      <alignment vertical="center"/>
    </xf>
    <xf numFmtId="4" fontId="19" fillId="0" borderId="4" xfId="12" applyNumberFormat="1" applyFont="1" applyFill="1" applyBorder="1" applyAlignment="1">
      <alignment horizontal="left" vertical="center"/>
    </xf>
    <xf numFmtId="4" fontId="19" fillId="0" borderId="13" xfId="12" applyNumberFormat="1" applyFont="1" applyFill="1" applyBorder="1" applyAlignment="1">
      <alignment horizontal="left" vertical="center"/>
    </xf>
    <xf numFmtId="4" fontId="19" fillId="0" borderId="14" xfId="12" applyNumberFormat="1" applyFont="1" applyFill="1" applyBorder="1" applyAlignment="1">
      <alignment horizontal="left" vertical="center"/>
    </xf>
    <xf numFmtId="4" fontId="19" fillId="0" borderId="15" xfId="12" applyNumberFormat="1" applyFont="1" applyFill="1" applyBorder="1" applyAlignment="1">
      <alignment horizontal="left" vertical="center"/>
    </xf>
    <xf numFmtId="0" fontId="19" fillId="3" borderId="13" xfId="0" applyFont="1" applyFill="1" applyBorder="1" applyAlignment="1">
      <alignment horizontal="left" vertical="center"/>
    </xf>
    <xf numFmtId="0" fontId="19" fillId="3" borderId="14" xfId="0" applyFont="1" applyFill="1" applyBorder="1" applyAlignment="1">
      <alignment horizontal="left" vertical="center"/>
    </xf>
    <xf numFmtId="0" fontId="19" fillId="3" borderId="15" xfId="0" applyFont="1" applyFill="1" applyBorder="1" applyAlignment="1">
      <alignment horizontal="left" vertical="center"/>
    </xf>
    <xf numFmtId="4" fontId="19" fillId="0" borderId="78" xfId="12" applyNumberFormat="1" applyFont="1" applyFill="1" applyBorder="1" applyAlignment="1">
      <alignment horizontal="left" vertical="center"/>
    </xf>
    <xf numFmtId="0" fontId="7" fillId="0" borderId="4" xfId="5" applyFont="1" applyBorder="1" applyAlignment="1">
      <alignment horizontal="center" vertical="center"/>
    </xf>
    <xf numFmtId="0" fontId="7" fillId="0" borderId="0" xfId="5" applyFont="1" applyAlignment="1">
      <alignment horizontal="right" vertical="center"/>
    </xf>
    <xf numFmtId="0" fontId="19" fillId="0" borderId="0" xfId="5" applyFont="1" applyAlignment="1">
      <alignment horizontal="left" vertical="center"/>
    </xf>
    <xf numFmtId="0" fontId="19" fillId="0" borderId="18" xfId="5" applyFont="1" applyBorder="1" applyAlignment="1">
      <alignment horizontal="left" vertical="center"/>
    </xf>
    <xf numFmtId="0" fontId="19" fillId="0" borderId="20" xfId="5" applyFont="1" applyBorder="1" applyAlignment="1">
      <alignment horizontal="center" vertical="center" wrapText="1"/>
    </xf>
    <xf numFmtId="0" fontId="19" fillId="0" borderId="19" xfId="5" applyFont="1" applyBorder="1" applyAlignment="1">
      <alignment horizontal="center" vertical="center" wrapText="1"/>
    </xf>
    <xf numFmtId="0" fontId="19" fillId="0" borderId="12" xfId="5" applyFont="1" applyBorder="1" applyAlignment="1">
      <alignment horizontal="center" vertical="center" wrapText="1"/>
    </xf>
    <xf numFmtId="0" fontId="19" fillId="3" borderId="13" xfId="5" applyFont="1" applyFill="1" applyBorder="1" applyAlignment="1">
      <alignment horizontal="left" vertical="center"/>
    </xf>
    <xf numFmtId="0" fontId="19" fillId="3" borderId="14" xfId="5" applyFont="1" applyFill="1" applyBorder="1" applyAlignment="1">
      <alignment horizontal="left" vertical="center"/>
    </xf>
    <xf numFmtId="0" fontId="19" fillId="3" borderId="15" xfId="5" applyFont="1" applyFill="1" applyBorder="1" applyAlignment="1">
      <alignment horizontal="left" vertical="center"/>
    </xf>
    <xf numFmtId="4" fontId="19" fillId="0" borderId="14" xfId="0" applyNumberFormat="1" applyFont="1" applyFill="1" applyBorder="1" applyAlignment="1">
      <alignment horizontal="left" vertical="center" wrapText="1"/>
    </xf>
    <xf numFmtId="4" fontId="19" fillId="0" borderId="78" xfId="0" applyNumberFormat="1" applyFont="1" applyFill="1" applyBorder="1" applyAlignment="1">
      <alignment horizontal="left" vertical="center" wrapText="1"/>
    </xf>
    <xf numFmtId="40" fontId="0" fillId="8" borderId="0" xfId="0" applyNumberFormat="1" applyFill="1" applyBorder="1" applyAlignment="1">
      <alignment horizontal="center"/>
    </xf>
    <xf numFmtId="40" fontId="5" fillId="8" borderId="0" xfId="0" applyNumberFormat="1" applyFont="1" applyFill="1" applyBorder="1" applyAlignment="1">
      <alignment horizontal="left" wrapText="1"/>
    </xf>
    <xf numFmtId="0" fontId="5" fillId="0" borderId="0" xfId="0" applyFont="1" applyAlignment="1">
      <alignment horizontal="left"/>
    </xf>
    <xf numFmtId="0" fontId="5" fillId="0" borderId="13" xfId="12" applyFont="1" applyBorder="1" applyAlignment="1">
      <alignment vertical="center" wrapText="1"/>
    </xf>
    <xf numFmtId="0" fontId="5" fillId="0" borderId="15" xfId="12" applyFont="1" applyBorder="1" applyAlignment="1">
      <alignment vertical="center" wrapText="1"/>
    </xf>
    <xf numFmtId="40" fontId="5" fillId="7" borderId="16" xfId="0" applyNumberFormat="1" applyFont="1" applyFill="1" applyBorder="1" applyAlignment="1">
      <alignment horizontal="center" vertical="center"/>
    </xf>
    <xf numFmtId="40" fontId="5" fillId="7" borderId="3" xfId="0" applyNumberFormat="1" applyFont="1" applyFill="1" applyBorder="1" applyAlignment="1">
      <alignment horizontal="center" vertical="center"/>
    </xf>
    <xf numFmtId="40" fontId="5" fillId="7" borderId="2" xfId="0" applyNumberFormat="1" applyFont="1" applyFill="1" applyBorder="1" applyAlignment="1">
      <alignment horizontal="center" vertical="center"/>
    </xf>
    <xf numFmtId="40" fontId="5" fillId="7" borderId="0" xfId="0" applyNumberFormat="1" applyFont="1" applyFill="1" applyBorder="1" applyAlignment="1">
      <alignment horizontal="center" vertical="top" wrapText="1"/>
    </xf>
    <xf numFmtId="169" fontId="5" fillId="3" borderId="4" xfId="0" applyNumberFormat="1" applyFont="1" applyFill="1" applyBorder="1" applyAlignment="1" applyProtection="1">
      <alignment horizontal="center" vertical="center" wrapText="1"/>
    </xf>
    <xf numFmtId="169" fontId="5" fillId="3" borderId="20" xfId="0" applyNumberFormat="1" applyFont="1" applyFill="1" applyBorder="1" applyAlignment="1" applyProtection="1">
      <alignment horizontal="center" vertical="center" wrapText="1"/>
    </xf>
    <xf numFmtId="10" fontId="5" fillId="0" borderId="15" xfId="12" applyNumberFormat="1" applyFont="1" applyBorder="1" applyAlignment="1">
      <alignment horizontal="left" vertical="center"/>
    </xf>
    <xf numFmtId="0" fontId="5" fillId="3" borderId="4" xfId="12" applyFont="1" applyFill="1" applyBorder="1" applyAlignment="1">
      <alignment horizontal="left" vertical="center" wrapText="1"/>
    </xf>
    <xf numFmtId="0" fontId="5" fillId="4" borderId="67" xfId="12" applyFont="1" applyFill="1" applyBorder="1" applyAlignment="1">
      <alignment horizontal="center" vertical="center"/>
    </xf>
    <xf numFmtId="0" fontId="5" fillId="4" borderId="66" xfId="12" applyFont="1" applyFill="1" applyBorder="1" applyAlignment="1">
      <alignment horizontal="center" vertical="center"/>
    </xf>
    <xf numFmtId="0" fontId="5" fillId="0" borderId="4" xfId="12" applyFont="1" applyBorder="1" applyAlignment="1">
      <alignment horizontal="left" vertical="center" wrapText="1"/>
    </xf>
    <xf numFmtId="0" fontId="5" fillId="0" borderId="67" xfId="12" applyFont="1" applyBorder="1" applyAlignment="1">
      <alignment horizontal="left" vertical="center" wrapText="1"/>
    </xf>
    <xf numFmtId="0" fontId="5" fillId="0" borderId="65" xfId="12" applyFont="1" applyBorder="1" applyAlignment="1">
      <alignment horizontal="left" vertical="center" wrapText="1"/>
    </xf>
    <xf numFmtId="0" fontId="5" fillId="0" borderId="66" xfId="12" applyFont="1" applyBorder="1" applyAlignment="1">
      <alignment horizontal="left" vertical="center" wrapText="1"/>
    </xf>
    <xf numFmtId="0" fontId="16" fillId="0" borderId="13" xfId="12" applyFont="1" applyBorder="1" applyAlignment="1">
      <alignment horizontal="left" vertical="center" wrapText="1"/>
    </xf>
    <xf numFmtId="0" fontId="16" fillId="0" borderId="14" xfId="12" applyFont="1" applyBorder="1" applyAlignment="1">
      <alignment horizontal="left" vertical="center" wrapText="1"/>
    </xf>
    <xf numFmtId="0" fontId="16" fillId="0" borderId="15" xfId="12" applyFont="1" applyBorder="1" applyAlignment="1">
      <alignment horizontal="left" vertical="center" wrapText="1"/>
    </xf>
    <xf numFmtId="10" fontId="16" fillId="0" borderId="13" xfId="12" applyNumberFormat="1" applyFont="1" applyBorder="1" applyAlignment="1">
      <alignment horizontal="left" vertical="center"/>
    </xf>
    <xf numFmtId="10" fontId="16" fillId="0" borderId="14" xfId="12" applyNumberFormat="1" applyFont="1" applyBorder="1" applyAlignment="1">
      <alignment horizontal="left" vertical="center"/>
    </xf>
    <xf numFmtId="169" fontId="5" fillId="4" borderId="67" xfId="0" applyNumberFormat="1" applyFont="1" applyFill="1" applyBorder="1" applyAlignment="1" applyProtection="1">
      <alignment horizontal="center" vertical="center" wrapText="1"/>
    </xf>
    <xf numFmtId="169" fontId="5" fillId="4" borderId="66" xfId="0" applyNumberFormat="1" applyFont="1" applyFill="1" applyBorder="1" applyAlignment="1" applyProtection="1">
      <alignment horizontal="center" vertical="center" wrapText="1"/>
    </xf>
    <xf numFmtId="169" fontId="5" fillId="4" borderId="17" xfId="0" applyNumberFormat="1" applyFont="1" applyFill="1" applyBorder="1" applyAlignment="1" applyProtection="1">
      <alignment horizontal="center" vertical="center" wrapText="1"/>
    </xf>
    <xf numFmtId="169" fontId="5" fillId="4" borderId="21" xfId="0" applyNumberFormat="1" applyFont="1" applyFill="1" applyBorder="1" applyAlignment="1" applyProtection="1">
      <alignment horizontal="center" vertical="center" wrapText="1"/>
    </xf>
    <xf numFmtId="44" fontId="16" fillId="0" borderId="13" xfId="12" applyNumberFormat="1" applyFont="1" applyBorder="1" applyAlignment="1">
      <alignment horizontal="center" vertical="center" wrapText="1"/>
    </xf>
    <xf numFmtId="44" fontId="16" fillId="0" borderId="15" xfId="12" applyNumberFormat="1" applyFont="1" applyBorder="1" applyAlignment="1">
      <alignment horizontal="center" vertical="center" wrapText="1"/>
    </xf>
    <xf numFmtId="40" fontId="4" fillId="8" borderId="0" xfId="0" applyNumberFormat="1" applyFont="1" applyFill="1" applyBorder="1" applyAlignment="1">
      <alignment horizontal="left" vertical="top" wrapText="1"/>
    </xf>
    <xf numFmtId="40" fontId="4" fillId="7" borderId="0" xfId="0" applyNumberFormat="1" applyFont="1" applyFill="1" applyAlignment="1">
      <alignment horizontal="left" vertical="center" wrapText="1"/>
    </xf>
    <xf numFmtId="0" fontId="5" fillId="4" borderId="67" xfId="12" applyFont="1" applyFill="1" applyBorder="1" applyAlignment="1">
      <alignment horizontal="center" vertical="center" wrapText="1"/>
    </xf>
    <xf numFmtId="0" fontId="5" fillId="4" borderId="66" xfId="12" applyFont="1" applyFill="1" applyBorder="1" applyAlignment="1">
      <alignment horizontal="center" vertical="center" wrapText="1"/>
    </xf>
    <xf numFmtId="0" fontId="5" fillId="4" borderId="17" xfId="12" applyFont="1" applyFill="1" applyBorder="1" applyAlignment="1">
      <alignment horizontal="center" vertical="center" wrapText="1"/>
    </xf>
    <xf numFmtId="0" fontId="5" fillId="4" borderId="21" xfId="12" applyFont="1" applyFill="1" applyBorder="1" applyAlignment="1">
      <alignment horizontal="center" vertical="center" wrapText="1"/>
    </xf>
    <xf numFmtId="0" fontId="5" fillId="0" borderId="65" xfId="12" applyFont="1" applyBorder="1" applyAlignment="1">
      <alignment horizontal="center" vertical="center" wrapText="1"/>
    </xf>
    <xf numFmtId="0" fontId="5" fillId="0" borderId="10" xfId="12" applyFont="1" applyBorder="1" applyAlignment="1">
      <alignment horizontal="center" vertical="center" wrapText="1"/>
    </xf>
    <xf numFmtId="40" fontId="5" fillId="0" borderId="16" xfId="0" applyNumberFormat="1" applyFont="1" applyFill="1" applyBorder="1" applyAlignment="1">
      <alignment horizontal="center" vertical="center"/>
    </xf>
    <xf numFmtId="40" fontId="5" fillId="0" borderId="3" xfId="0" applyNumberFormat="1" applyFont="1" applyFill="1" applyBorder="1" applyAlignment="1">
      <alignment horizontal="center" vertical="center"/>
    </xf>
    <xf numFmtId="40" fontId="5" fillId="0" borderId="2" xfId="0" applyNumberFormat="1" applyFont="1" applyFill="1" applyBorder="1" applyAlignment="1">
      <alignment horizontal="center" vertical="center"/>
    </xf>
    <xf numFmtId="40" fontId="5" fillId="7" borderId="0" xfId="0" applyNumberFormat="1" applyFont="1" applyFill="1" applyAlignment="1">
      <alignment horizontal="left" vertical="center" wrapText="1"/>
    </xf>
    <xf numFmtId="40" fontId="5" fillId="8" borderId="0" xfId="0" applyNumberFormat="1" applyFont="1" applyFill="1" applyBorder="1" applyAlignment="1">
      <alignment horizontal="left" vertical="center" wrapText="1"/>
    </xf>
    <xf numFmtId="40" fontId="5" fillId="7" borderId="0" xfId="0" applyNumberFormat="1" applyFont="1" applyFill="1" applyAlignment="1">
      <alignment horizontal="left"/>
    </xf>
    <xf numFmtId="40" fontId="5" fillId="7" borderId="0" xfId="0" applyNumberFormat="1" applyFont="1" applyFill="1" applyAlignment="1">
      <alignment horizontal="left" vertical="center"/>
    </xf>
    <xf numFmtId="0" fontId="5" fillId="4" borderId="67" xfId="12" applyFont="1" applyFill="1" applyBorder="1" applyAlignment="1">
      <alignment horizontal="left" vertical="center" wrapText="1"/>
    </xf>
    <xf numFmtId="0" fontId="5" fillId="4" borderId="66" xfId="12" applyFont="1" applyFill="1" applyBorder="1" applyAlignment="1">
      <alignment horizontal="left" vertical="center" wrapText="1"/>
    </xf>
    <xf numFmtId="0" fontId="5" fillId="4" borderId="17" xfId="12" applyFont="1" applyFill="1" applyBorder="1" applyAlignment="1">
      <alignment horizontal="left" vertical="center" wrapText="1"/>
    </xf>
    <xf numFmtId="0" fontId="5" fillId="4" borderId="21" xfId="12" applyFont="1" applyFill="1" applyBorder="1" applyAlignment="1">
      <alignment horizontal="left" vertical="center" wrapText="1"/>
    </xf>
    <xf numFmtId="0" fontId="16" fillId="0" borderId="67" xfId="12" applyFont="1" applyBorder="1" applyAlignment="1">
      <alignment horizontal="left" vertical="center" wrapText="1"/>
    </xf>
    <xf numFmtId="0" fontId="16" fillId="0" borderId="66" xfId="12" applyFont="1" applyBorder="1" applyAlignment="1">
      <alignment horizontal="left" vertical="center" wrapText="1"/>
    </xf>
    <xf numFmtId="0" fontId="16" fillId="0" borderId="17" xfId="12" applyFont="1" applyBorder="1" applyAlignment="1">
      <alignment horizontal="left" vertical="center" wrapText="1"/>
    </xf>
    <xf numFmtId="0" fontId="16" fillId="0" borderId="21" xfId="12" applyFont="1" applyBorder="1" applyAlignment="1">
      <alignment horizontal="left" vertical="center" wrapText="1"/>
    </xf>
    <xf numFmtId="169" fontId="16" fillId="3" borderId="4" xfId="0" applyNumberFormat="1" applyFont="1" applyFill="1" applyBorder="1" applyAlignment="1" applyProtection="1">
      <alignment horizontal="left" vertical="center" wrapText="1"/>
    </xf>
    <xf numFmtId="0" fontId="4" fillId="3" borderId="0" xfId="0" applyFont="1" applyFill="1" applyBorder="1" applyAlignment="1">
      <alignment vertical="center" wrapText="1"/>
    </xf>
    <xf numFmtId="40" fontId="5" fillId="7" borderId="0" xfId="0" applyNumberFormat="1"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center"/>
    </xf>
    <xf numFmtId="0" fontId="4" fillId="0" borderId="4" xfId="0" applyFont="1" applyBorder="1" applyAlignment="1">
      <alignment horizontal="left" vertical="center" wrapText="1"/>
    </xf>
    <xf numFmtId="0" fontId="5" fillId="0" borderId="0" xfId="0" applyFont="1" applyAlignment="1">
      <alignment horizontal="left" vertical="center" wrapText="1"/>
    </xf>
    <xf numFmtId="40" fontId="4" fillId="8" borderId="0" xfId="0" applyNumberFormat="1" applyFont="1" applyFill="1" applyAlignment="1">
      <alignment horizontal="left"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40" fontId="5" fillId="8" borderId="0" xfId="0" applyNumberFormat="1" applyFont="1" applyFill="1" applyAlignment="1">
      <alignment horizontal="left" vertical="center" wrapText="1"/>
    </xf>
    <xf numFmtId="40" fontId="5" fillId="7" borderId="0" xfId="0" applyNumberFormat="1" applyFont="1" applyFill="1" applyAlignment="1">
      <alignment horizontal="left" wrapText="1"/>
    </xf>
    <xf numFmtId="0" fontId="5" fillId="4" borderId="4" xfId="12" applyFont="1" applyFill="1" applyBorder="1" applyAlignment="1">
      <alignment horizontal="left" vertical="center" wrapText="1"/>
    </xf>
    <xf numFmtId="44" fontId="5" fillId="0" borderId="4" xfId="0" applyNumberFormat="1" applyFont="1" applyBorder="1" applyAlignment="1">
      <alignment horizontal="center" vertical="center"/>
    </xf>
    <xf numFmtId="0" fontId="5" fillId="0" borderId="14" xfId="12" applyFont="1" applyBorder="1" applyAlignment="1">
      <alignment horizontal="left" vertical="center" wrapText="1"/>
    </xf>
    <xf numFmtId="0" fontId="5" fillId="3" borderId="65" xfId="12" applyFont="1" applyFill="1" applyBorder="1" applyAlignment="1">
      <alignment horizontal="center" vertical="center" wrapText="1"/>
    </xf>
    <xf numFmtId="0" fontId="5" fillId="0" borderId="0" xfId="12" applyFont="1" applyBorder="1" applyAlignment="1">
      <alignment horizontal="left" vertical="center"/>
    </xf>
    <xf numFmtId="0" fontId="5" fillId="0" borderId="0" xfId="12" applyFont="1" applyBorder="1" applyAlignment="1">
      <alignment horizontal="lef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40" fontId="5" fillId="8" borderId="13" xfId="0" applyNumberFormat="1" applyFont="1" applyFill="1" applyBorder="1" applyAlignment="1">
      <alignment horizontal="center" vertical="center" wrapText="1"/>
    </xf>
    <xf numFmtId="40" fontId="5" fillId="8" borderId="14" xfId="0" applyNumberFormat="1" applyFont="1" applyFill="1" applyBorder="1" applyAlignment="1">
      <alignment horizontal="center" vertical="center" wrapText="1"/>
    </xf>
    <xf numFmtId="40" fontId="5" fillId="8" borderId="15" xfId="0" applyNumberFormat="1" applyFont="1" applyFill="1" applyBorder="1" applyAlignment="1">
      <alignment horizontal="center" vertical="center" wrapText="1"/>
    </xf>
    <xf numFmtId="0" fontId="5" fillId="0" borderId="0" xfId="12" applyFont="1" applyAlignment="1">
      <alignment horizontal="left" wrapText="1"/>
    </xf>
    <xf numFmtId="0" fontId="5" fillId="4" borderId="13" xfId="12" applyFont="1" applyFill="1" applyBorder="1" applyAlignment="1">
      <alignment horizontal="left" vertical="center" wrapText="1"/>
    </xf>
    <xf numFmtId="0" fontId="5" fillId="0" borderId="0" xfId="12" applyFont="1" applyAlignment="1">
      <alignment horizontal="left" vertical="center"/>
    </xf>
    <xf numFmtId="0" fontId="5" fillId="0" borderId="0" xfId="12" applyFont="1" applyAlignment="1">
      <alignment horizontal="left"/>
    </xf>
    <xf numFmtId="0" fontId="7" fillId="0" borderId="7" xfId="12" applyFont="1" applyBorder="1" applyAlignment="1">
      <alignment horizontal="center" vertical="center" wrapText="1"/>
    </xf>
    <xf numFmtId="0" fontId="7" fillId="0" borderId="0" xfId="12" applyFont="1" applyBorder="1" applyAlignment="1">
      <alignment horizontal="center" vertical="center" wrapText="1"/>
    </xf>
    <xf numFmtId="44" fontId="5" fillId="0" borderId="4" xfId="12" applyNumberFormat="1" applyFont="1" applyBorder="1" applyAlignment="1">
      <alignment horizontal="center" vertical="center" wrapText="1"/>
    </xf>
    <xf numFmtId="0" fontId="4" fillId="0" borderId="20" xfId="0" applyFont="1" applyBorder="1" applyAlignment="1">
      <alignment horizontal="left" vertical="center"/>
    </xf>
    <xf numFmtId="0" fontId="4" fillId="0" borderId="12" xfId="0" applyFont="1" applyBorder="1" applyAlignment="1">
      <alignment horizontal="left" vertical="center"/>
    </xf>
    <xf numFmtId="40" fontId="4" fillId="8" borderId="13" xfId="0" applyNumberFormat="1" applyFont="1" applyFill="1" applyBorder="1" applyAlignment="1">
      <alignment horizontal="center" vertical="center" wrapText="1"/>
    </xf>
    <xf numFmtId="40" fontId="4" fillId="8" borderId="15" xfId="0" applyNumberFormat="1" applyFont="1" applyFill="1" applyBorder="1" applyAlignment="1">
      <alignment horizontal="center" vertical="center" wrapText="1"/>
    </xf>
    <xf numFmtId="0" fontId="5" fillId="0" borderId="0" xfId="12" applyFont="1" applyAlignment="1">
      <alignment horizontal="left" vertical="center" wrapText="1"/>
    </xf>
    <xf numFmtId="40" fontId="5" fillId="3" borderId="0" xfId="3" applyNumberFormat="1" applyFont="1" applyFill="1" applyBorder="1" applyAlignment="1">
      <alignment horizontal="left" vertical="center"/>
    </xf>
    <xf numFmtId="40" fontId="5" fillId="7" borderId="0" xfId="0" applyNumberFormat="1" applyFont="1" applyFill="1" applyBorder="1" applyAlignment="1">
      <alignment horizontal="left" vertical="top" wrapText="1"/>
    </xf>
    <xf numFmtId="0" fontId="5" fillId="0" borderId="4" xfId="12" applyFont="1" applyBorder="1" applyAlignment="1">
      <alignment vertical="center" wrapText="1"/>
    </xf>
    <xf numFmtId="40" fontId="4" fillId="7" borderId="18" xfId="0" applyNumberFormat="1" applyFont="1" applyFill="1" applyBorder="1" applyAlignment="1">
      <alignment horizontal="left" vertical="center" wrapText="1"/>
    </xf>
    <xf numFmtId="169" fontId="5" fillId="3" borderId="13" xfId="0" applyNumberFormat="1" applyFont="1" applyFill="1" applyBorder="1" applyAlignment="1" applyProtection="1">
      <alignment horizontal="left" vertical="center" wrapText="1"/>
    </xf>
    <xf numFmtId="169" fontId="5" fillId="3" borderId="14" xfId="0" applyNumberFormat="1" applyFont="1" applyFill="1" applyBorder="1" applyAlignment="1" applyProtection="1">
      <alignment horizontal="left" vertical="center" wrapText="1"/>
    </xf>
    <xf numFmtId="169" fontId="5" fillId="3" borderId="15" xfId="0" applyNumberFormat="1" applyFont="1" applyFill="1" applyBorder="1" applyAlignment="1" applyProtection="1">
      <alignment horizontal="left" vertical="center" wrapText="1"/>
    </xf>
    <xf numFmtId="40" fontId="4" fillId="7" borderId="0" xfId="0" applyNumberFormat="1" applyFont="1" applyFill="1" applyAlignment="1">
      <alignment horizontal="center" vertical="center" wrapText="1"/>
    </xf>
    <xf numFmtId="40" fontId="4" fillId="0" borderId="4" xfId="0" applyNumberFormat="1" applyFont="1" applyFill="1" applyBorder="1" applyAlignment="1">
      <alignment horizontal="center"/>
    </xf>
    <xf numFmtId="0" fontId="4" fillId="0" borderId="20" xfId="0" applyFont="1" applyFill="1" applyBorder="1" applyAlignment="1">
      <alignment horizontal="left" vertical="center"/>
    </xf>
    <xf numFmtId="0" fontId="4" fillId="0" borderId="12" xfId="0" applyFont="1" applyFill="1" applyBorder="1" applyAlignment="1">
      <alignment horizontal="left" vertical="center"/>
    </xf>
    <xf numFmtId="40" fontId="5" fillId="7" borderId="13" xfId="0" applyNumberFormat="1" applyFont="1" applyFill="1" applyBorder="1" applyAlignment="1">
      <alignment horizontal="left"/>
    </xf>
    <xf numFmtId="40" fontId="5" fillId="7" borderId="14" xfId="0" applyNumberFormat="1" applyFont="1" applyFill="1" applyBorder="1" applyAlignment="1">
      <alignment horizontal="left"/>
    </xf>
    <xf numFmtId="40" fontId="5" fillId="7" borderId="15" xfId="0" applyNumberFormat="1" applyFont="1" applyFill="1" applyBorder="1" applyAlignment="1">
      <alignment horizontal="left"/>
    </xf>
    <xf numFmtId="40" fontId="4" fillId="7" borderId="20" xfId="0" applyNumberFormat="1" applyFont="1" applyFill="1" applyBorder="1" applyAlignment="1">
      <alignment horizontal="left" vertical="center"/>
    </xf>
    <xf numFmtId="40" fontId="4" fillId="7" borderId="19" xfId="0" applyNumberFormat="1" applyFont="1" applyFill="1" applyBorder="1" applyAlignment="1">
      <alignment horizontal="left" vertical="center"/>
    </xf>
    <xf numFmtId="40" fontId="4" fillId="7" borderId="12" xfId="0" applyNumberFormat="1" applyFont="1" applyFill="1" applyBorder="1" applyAlignment="1">
      <alignment horizontal="left" vertical="center"/>
    </xf>
    <xf numFmtId="40" fontId="4" fillId="7" borderId="20" xfId="0" applyNumberFormat="1" applyFont="1" applyFill="1" applyBorder="1" applyAlignment="1">
      <alignment horizontal="center" vertical="center"/>
    </xf>
    <xf numFmtId="40" fontId="4" fillId="7" borderId="19" xfId="0" applyNumberFormat="1" applyFont="1" applyFill="1" applyBorder="1" applyAlignment="1">
      <alignment horizontal="center" vertical="center"/>
    </xf>
    <xf numFmtId="40" fontId="4" fillId="7" borderId="12" xfId="0" applyNumberFormat="1" applyFont="1" applyFill="1" applyBorder="1" applyAlignment="1">
      <alignment horizontal="center" vertical="center"/>
    </xf>
    <xf numFmtId="40" fontId="4" fillId="7" borderId="20" xfId="0" applyNumberFormat="1" applyFont="1" applyFill="1" applyBorder="1" applyAlignment="1">
      <alignment horizontal="left" vertical="center" wrapText="1"/>
    </xf>
    <xf numFmtId="40" fontId="4" fillId="7" borderId="12" xfId="0" applyNumberFormat="1" applyFont="1" applyFill="1" applyBorder="1" applyAlignment="1">
      <alignment horizontal="left" vertical="center" wrapText="1"/>
    </xf>
    <xf numFmtId="0" fontId="0" fillId="0" borderId="20" xfId="0" applyFill="1" applyBorder="1" applyAlignment="1">
      <alignment horizontal="left" vertical="center"/>
    </xf>
    <xf numFmtId="0" fontId="0" fillId="0" borderId="12" xfId="0" applyFill="1" applyBorder="1" applyAlignment="1">
      <alignment horizontal="left" vertical="center"/>
    </xf>
    <xf numFmtId="0" fontId="0" fillId="0" borderId="4" xfId="0" applyFill="1" applyBorder="1" applyAlignment="1">
      <alignment horizontal="left" vertical="center"/>
    </xf>
    <xf numFmtId="10" fontId="5" fillId="0" borderId="4" xfId="12" applyNumberFormat="1" applyFont="1" applyBorder="1" applyAlignment="1">
      <alignment horizontal="left" vertical="center"/>
    </xf>
    <xf numFmtId="40" fontId="4" fillId="7" borderId="127" xfId="0" applyNumberFormat="1" applyFont="1" applyFill="1" applyBorder="1" applyAlignment="1">
      <alignment horizontal="left"/>
    </xf>
    <xf numFmtId="40" fontId="5" fillId="7" borderId="13" xfId="0" applyNumberFormat="1" applyFont="1" applyFill="1" applyBorder="1" applyAlignment="1">
      <alignment horizontal="center"/>
    </xf>
    <xf numFmtId="40" fontId="5" fillId="7" borderId="15" xfId="0" applyNumberFormat="1" applyFont="1" applyFill="1" applyBorder="1" applyAlignment="1">
      <alignment horizontal="center"/>
    </xf>
    <xf numFmtId="40" fontId="4" fillId="3" borderId="20" xfId="0" applyNumberFormat="1" applyFont="1" applyFill="1" applyBorder="1" applyAlignment="1">
      <alignment horizontal="left" vertical="center" wrapText="1"/>
    </xf>
    <xf numFmtId="40" fontId="4" fillId="3" borderId="19" xfId="0" applyNumberFormat="1" applyFont="1" applyFill="1" applyBorder="1" applyAlignment="1">
      <alignment horizontal="left" vertical="center" wrapText="1"/>
    </xf>
    <xf numFmtId="40" fontId="4" fillId="3" borderId="12" xfId="0" applyNumberFormat="1" applyFont="1" applyFill="1" applyBorder="1" applyAlignment="1">
      <alignment horizontal="left"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5" fillId="3" borderId="0" xfId="0" applyFont="1" applyFill="1" applyAlignment="1">
      <alignment horizontal="left" vertical="center" wrapText="1"/>
    </xf>
    <xf numFmtId="40" fontId="0" fillId="3" borderId="20" xfId="0" applyNumberFormat="1" applyFill="1" applyBorder="1" applyAlignment="1">
      <alignment horizontal="center" vertical="center" wrapText="1"/>
    </xf>
    <xf numFmtId="40" fontId="0" fillId="3" borderId="19" xfId="0" applyNumberFormat="1" applyFill="1" applyBorder="1" applyAlignment="1">
      <alignment horizontal="center" vertical="center" wrapText="1"/>
    </xf>
    <xf numFmtId="40" fontId="0" fillId="3" borderId="12" xfId="0" applyNumberFormat="1" applyFill="1" applyBorder="1" applyAlignment="1">
      <alignment horizontal="center" vertical="center" wrapText="1"/>
    </xf>
    <xf numFmtId="40" fontId="0" fillId="3" borderId="19" xfId="0" applyNumberFormat="1" applyFill="1" applyBorder="1" applyAlignment="1">
      <alignment horizontal="left" vertical="center" wrapText="1"/>
    </xf>
    <xf numFmtId="40" fontId="0" fillId="3" borderId="12" xfId="0" applyNumberFormat="1" applyFill="1" applyBorder="1" applyAlignment="1">
      <alignment horizontal="left" vertical="center" wrapText="1"/>
    </xf>
    <xf numFmtId="40" fontId="0" fillId="3" borderId="20" xfId="0" applyNumberFormat="1" applyFill="1" applyBorder="1" applyAlignment="1">
      <alignment horizontal="left" vertical="center" wrapText="1"/>
    </xf>
    <xf numFmtId="40" fontId="5" fillId="7" borderId="4" xfId="0" applyNumberFormat="1" applyFont="1" applyFill="1" applyBorder="1" applyAlignment="1">
      <alignment horizontal="center" vertical="center"/>
    </xf>
    <xf numFmtId="40" fontId="5" fillId="7" borderId="4" xfId="0" applyNumberFormat="1" applyFont="1" applyFill="1" applyBorder="1" applyAlignment="1">
      <alignment horizontal="center"/>
    </xf>
    <xf numFmtId="0" fontId="4" fillId="0" borderId="19" xfId="0" applyFont="1" applyFill="1" applyBorder="1" applyAlignment="1">
      <alignment horizontal="left" vertical="center"/>
    </xf>
    <xf numFmtId="40" fontId="5" fillId="7" borderId="0" xfId="0" applyNumberFormat="1" applyFont="1" applyFill="1" applyBorder="1" applyAlignment="1">
      <alignment horizontal="left" wrapText="1"/>
    </xf>
    <xf numFmtId="10" fontId="5" fillId="0" borderId="17" xfId="12" applyNumberFormat="1" applyFont="1" applyBorder="1" applyAlignment="1">
      <alignment horizontal="left" vertical="center"/>
    </xf>
    <xf numFmtId="10" fontId="5" fillId="0" borderId="21" xfId="12" applyNumberFormat="1" applyFont="1" applyBorder="1" applyAlignment="1">
      <alignment horizontal="left" vertical="center"/>
    </xf>
    <xf numFmtId="0" fontId="5" fillId="3" borderId="13" xfId="12" applyFont="1" applyFill="1" applyBorder="1" applyAlignment="1">
      <alignment horizontal="left" vertical="center" wrapText="1"/>
    </xf>
    <xf numFmtId="0" fontId="5" fillId="3" borderId="14" xfId="12" applyFont="1" applyFill="1" applyBorder="1" applyAlignment="1">
      <alignment horizontal="left" vertical="center" wrapText="1"/>
    </xf>
    <xf numFmtId="0" fontId="5" fillId="3" borderId="15" xfId="12" applyFont="1" applyFill="1" applyBorder="1" applyAlignment="1">
      <alignment horizontal="left" vertical="center" wrapText="1"/>
    </xf>
    <xf numFmtId="169" fontId="5" fillId="3" borderId="13" xfId="0" applyNumberFormat="1" applyFont="1" applyFill="1" applyBorder="1" applyAlignment="1" applyProtection="1">
      <alignment horizontal="center" vertical="center" wrapText="1"/>
    </xf>
    <xf numFmtId="169" fontId="5" fillId="3" borderId="14" xfId="0" applyNumberFormat="1" applyFont="1" applyFill="1" applyBorder="1" applyAlignment="1" applyProtection="1">
      <alignment horizontal="center" vertical="center" wrapText="1"/>
    </xf>
    <xf numFmtId="169" fontId="5" fillId="3" borderId="15" xfId="0" applyNumberFormat="1" applyFont="1" applyFill="1" applyBorder="1" applyAlignment="1" applyProtection="1">
      <alignment horizontal="center" vertical="center" wrapText="1"/>
    </xf>
    <xf numFmtId="40" fontId="5" fillId="8" borderId="0" xfId="0" applyNumberFormat="1" applyFont="1" applyFill="1" applyBorder="1" applyAlignment="1">
      <alignment horizontal="center" vertical="center"/>
    </xf>
    <xf numFmtId="40" fontId="4" fillId="7" borderId="4" xfId="0" applyNumberFormat="1" applyFont="1" applyFill="1" applyBorder="1" applyAlignment="1">
      <alignment horizontal="center"/>
    </xf>
    <xf numFmtId="165" fontId="5" fillId="0" borderId="13" xfId="12" applyNumberFormat="1" applyFont="1" applyBorder="1" applyAlignment="1">
      <alignment horizontal="left" vertical="center" wrapText="1"/>
    </xf>
    <xf numFmtId="165" fontId="5" fillId="0" borderId="14" xfId="12" applyNumberFormat="1" applyFont="1" applyBorder="1" applyAlignment="1">
      <alignment horizontal="left" vertical="center" wrapText="1"/>
    </xf>
    <xf numFmtId="165" fontId="5" fillId="0" borderId="15" xfId="12" applyNumberFormat="1" applyFont="1" applyBorder="1" applyAlignment="1">
      <alignment horizontal="left" vertical="center" wrapText="1"/>
    </xf>
    <xf numFmtId="44" fontId="5" fillId="0" borderId="13" xfId="12" applyNumberFormat="1" applyFont="1" applyBorder="1" applyAlignment="1">
      <alignment horizontal="center" vertical="center" wrapText="1"/>
    </xf>
    <xf numFmtId="44" fontId="5" fillId="0" borderId="14" xfId="12" applyNumberFormat="1" applyFont="1" applyBorder="1" applyAlignment="1">
      <alignment horizontal="center" vertical="center" wrapText="1"/>
    </xf>
    <xf numFmtId="44" fontId="5" fillId="0" borderId="15" xfId="12" applyNumberFormat="1" applyFont="1" applyBorder="1" applyAlignment="1">
      <alignment horizontal="center" vertical="center" wrapText="1"/>
    </xf>
    <xf numFmtId="40" fontId="5" fillId="7" borderId="0" xfId="0" applyNumberFormat="1" applyFont="1" applyFill="1" applyBorder="1" applyAlignment="1">
      <alignment horizontal="center" vertical="center" wrapText="1"/>
    </xf>
    <xf numFmtId="40" fontId="4" fillId="8" borderId="127" xfId="0" applyNumberFormat="1" applyFont="1" applyFill="1" applyBorder="1" applyAlignment="1">
      <alignment horizontal="left" wrapText="1"/>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40" fontId="5" fillId="8" borderId="0" xfId="0" applyNumberFormat="1" applyFont="1" applyFill="1" applyBorder="1" applyAlignment="1">
      <alignment horizontal="left" vertical="center"/>
    </xf>
    <xf numFmtId="0" fontId="4" fillId="3" borderId="20"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2" xfId="0" applyFont="1" applyFill="1" applyBorder="1" applyAlignment="1">
      <alignment horizontal="left" vertical="center" wrapText="1"/>
    </xf>
    <xf numFmtId="40" fontId="4" fillId="8" borderId="20" xfId="0" applyNumberFormat="1" applyFont="1" applyFill="1" applyBorder="1" applyAlignment="1">
      <alignment horizontal="left" vertical="center" wrapText="1"/>
    </xf>
    <xf numFmtId="40" fontId="4" fillId="8" borderId="19" xfId="0" applyNumberFormat="1" applyFont="1" applyFill="1" applyBorder="1" applyAlignment="1">
      <alignment horizontal="left" vertical="center" wrapText="1"/>
    </xf>
    <xf numFmtId="40" fontId="4" fillId="8" borderId="12" xfId="0" applyNumberFormat="1" applyFont="1" applyFill="1" applyBorder="1" applyAlignment="1">
      <alignment horizontal="left" vertical="center" wrapText="1"/>
    </xf>
    <xf numFmtId="2" fontId="4" fillId="3" borderId="13" xfId="0" applyNumberFormat="1" applyFont="1" applyFill="1" applyBorder="1" applyAlignment="1">
      <alignment horizontal="right" vertical="center"/>
    </xf>
    <xf numFmtId="2" fontId="4" fillId="3" borderId="15" xfId="0" applyNumberFormat="1" applyFont="1" applyFill="1" applyBorder="1" applyAlignment="1">
      <alignment horizontal="right" vertical="center"/>
    </xf>
    <xf numFmtId="40" fontId="5" fillId="8" borderId="0" xfId="0" applyNumberFormat="1" applyFont="1" applyFill="1" applyBorder="1" applyAlignment="1">
      <alignment horizontal="center" vertical="top" wrapText="1"/>
    </xf>
    <xf numFmtId="40" fontId="5" fillId="8" borderId="16" xfId="0" applyNumberFormat="1" applyFont="1" applyFill="1" applyBorder="1" applyAlignment="1">
      <alignment horizontal="center" vertical="center"/>
    </xf>
    <xf numFmtId="40" fontId="5" fillId="8" borderId="3" xfId="0" applyNumberFormat="1" applyFont="1" applyFill="1" applyBorder="1" applyAlignment="1">
      <alignment horizontal="center" vertical="center"/>
    </xf>
    <xf numFmtId="40" fontId="5" fillId="8" borderId="2" xfId="0" applyNumberFormat="1" applyFont="1" applyFill="1" applyBorder="1" applyAlignment="1">
      <alignment horizontal="center" vertical="center"/>
    </xf>
    <xf numFmtId="40" fontId="5" fillId="8" borderId="0" xfId="0" applyNumberFormat="1" applyFont="1" applyFill="1" applyAlignment="1">
      <alignment horizontal="left"/>
    </xf>
    <xf numFmtId="40" fontId="5" fillId="8" borderId="0" xfId="0" applyNumberFormat="1" applyFont="1" applyFill="1" applyAlignment="1">
      <alignment horizontal="left" wrapText="1"/>
    </xf>
    <xf numFmtId="0" fontId="5" fillId="0" borderId="0" xfId="0" applyFont="1" applyAlignment="1">
      <alignment horizontal="left" wrapText="1"/>
    </xf>
    <xf numFmtId="0" fontId="5" fillId="0" borderId="0" xfId="0" applyFont="1" applyAlignment="1">
      <alignment horizontal="left" vertical="center"/>
    </xf>
    <xf numFmtId="4" fontId="5" fillId="0" borderId="0" xfId="12" applyNumberFormat="1" applyFont="1" applyBorder="1" applyAlignment="1">
      <alignment horizontal="left" vertical="center" wrapText="1"/>
    </xf>
    <xf numFmtId="4" fontId="5" fillId="0" borderId="0" xfId="12" applyNumberFormat="1" applyFont="1" applyAlignment="1">
      <alignment horizontal="left" vertical="center" wrapText="1"/>
    </xf>
    <xf numFmtId="0" fontId="7" fillId="0" borderId="16" xfId="12" applyFont="1" applyBorder="1" applyAlignment="1">
      <alignment horizontal="center" vertical="center" wrapText="1"/>
    </xf>
    <xf numFmtId="0" fontId="7" fillId="0" borderId="3" xfId="12" applyFont="1" applyBorder="1" applyAlignment="1">
      <alignment horizontal="center" vertical="center" wrapText="1"/>
    </xf>
    <xf numFmtId="0" fontId="7" fillId="0" borderId="2" xfId="12" applyFont="1" applyBorder="1" applyAlignment="1">
      <alignment horizontal="center" vertical="center" wrapText="1"/>
    </xf>
    <xf numFmtId="0" fontId="5" fillId="0" borderId="0" xfId="12" applyFont="1" applyFill="1" applyAlignment="1">
      <alignment horizontal="left" vertical="center" wrapText="1"/>
    </xf>
    <xf numFmtId="4" fontId="5" fillId="0" borderId="0" xfId="12" applyNumberFormat="1" applyFont="1" applyAlignment="1">
      <alignment horizontal="left" vertical="center"/>
    </xf>
    <xf numFmtId="40" fontId="5" fillId="8" borderId="0" xfId="12" applyNumberFormat="1" applyFont="1" applyFill="1" applyBorder="1" applyAlignment="1">
      <alignment horizontal="left" vertical="center" wrapText="1"/>
    </xf>
    <xf numFmtId="40" fontId="5" fillId="8" borderId="0" xfId="12" applyNumberFormat="1" applyFont="1" applyFill="1" applyBorder="1" applyAlignment="1">
      <alignment horizontal="center" vertical="center" wrapText="1"/>
    </xf>
    <xf numFmtId="40" fontId="4" fillId="8" borderId="0" xfId="12" applyNumberFormat="1" applyFont="1" applyFill="1" applyBorder="1" applyAlignment="1">
      <alignment horizontal="left" vertical="center" wrapText="1"/>
    </xf>
    <xf numFmtId="40" fontId="4" fillId="8" borderId="13" xfId="12" applyNumberFormat="1" applyFont="1" applyFill="1" applyBorder="1" applyAlignment="1">
      <alignment horizontal="center" vertical="center" wrapText="1"/>
    </xf>
    <xf numFmtId="40" fontId="4" fillId="8" borderId="14" xfId="12" applyNumberFormat="1" applyFont="1" applyFill="1" applyBorder="1" applyAlignment="1">
      <alignment horizontal="center" vertical="center" wrapText="1"/>
    </xf>
    <xf numFmtId="40" fontId="4" fillId="8" borderId="15" xfId="12" applyNumberFormat="1" applyFont="1" applyFill="1" applyBorder="1" applyAlignment="1">
      <alignment horizontal="center" vertical="center" wrapText="1"/>
    </xf>
    <xf numFmtId="0" fontId="4" fillId="0" borderId="4" xfId="12" applyFont="1" applyBorder="1" applyAlignment="1">
      <alignment horizontal="center"/>
    </xf>
    <xf numFmtId="40" fontId="4" fillId="8" borderId="4" xfId="12" applyNumberFormat="1" applyFont="1" applyFill="1" applyBorder="1" applyAlignment="1">
      <alignment horizontal="center" vertical="center" wrapText="1"/>
    </xf>
    <xf numFmtId="40" fontId="4" fillId="8" borderId="18" xfId="12" applyNumberFormat="1" applyFont="1" applyFill="1" applyBorder="1" applyAlignment="1">
      <alignment horizontal="left" vertical="center" wrapText="1"/>
    </xf>
    <xf numFmtId="0" fontId="4" fillId="0" borderId="13" xfId="12" applyFont="1" applyBorder="1" applyAlignment="1">
      <alignment horizontal="center"/>
    </xf>
    <xf numFmtId="0" fontId="4" fillId="0" borderId="14" xfId="12" applyFont="1" applyBorder="1" applyAlignment="1">
      <alignment horizontal="center"/>
    </xf>
    <xf numFmtId="0" fontId="4" fillId="0" borderId="15" xfId="12" applyFont="1" applyBorder="1" applyAlignment="1">
      <alignment horizontal="center"/>
    </xf>
    <xf numFmtId="40" fontId="16" fillId="3" borderId="0" xfId="3" applyNumberFormat="1" applyFont="1" applyFill="1" applyAlignment="1">
      <alignment horizontal="left" wrapText="1"/>
    </xf>
    <xf numFmtId="40" fontId="5" fillId="8" borderId="0" xfId="12" applyNumberFormat="1" applyFont="1" applyFill="1" applyBorder="1" applyAlignment="1">
      <alignment horizontal="left" vertical="top" wrapText="1"/>
    </xf>
    <xf numFmtId="40" fontId="4" fillId="7" borderId="4" xfId="0" applyNumberFormat="1" applyFont="1" applyFill="1" applyBorder="1" applyAlignment="1">
      <alignment horizontal="left" vertical="center" wrapText="1"/>
    </xf>
    <xf numFmtId="40" fontId="4" fillId="7" borderId="19" xfId="0" applyNumberFormat="1" applyFont="1" applyFill="1" applyBorder="1" applyAlignment="1">
      <alignment horizontal="left" vertical="center" wrapText="1"/>
    </xf>
    <xf numFmtId="40" fontId="5" fillId="8" borderId="16" xfId="12" applyNumberFormat="1" applyFont="1" applyFill="1" applyBorder="1" applyAlignment="1">
      <alignment horizontal="center" vertical="center"/>
    </xf>
    <xf numFmtId="40" fontId="5" fillId="8" borderId="3" xfId="12" applyNumberFormat="1" applyFont="1" applyFill="1" applyBorder="1" applyAlignment="1">
      <alignment horizontal="center" vertical="center"/>
    </xf>
    <xf numFmtId="40" fontId="5" fillId="8" borderId="2" xfId="12" applyNumberFormat="1" applyFont="1" applyFill="1" applyBorder="1" applyAlignment="1">
      <alignment horizontal="center" vertical="center"/>
    </xf>
    <xf numFmtId="40" fontId="16" fillId="3" borderId="0" xfId="3" applyNumberFormat="1" applyFont="1" applyFill="1" applyAlignment="1">
      <alignment horizontal="left" vertical="center" wrapText="1"/>
    </xf>
    <xf numFmtId="40" fontId="5" fillId="8" borderId="0" xfId="12" applyNumberFormat="1" applyFont="1" applyFill="1" applyAlignment="1">
      <alignment horizontal="center" vertical="top" wrapText="1"/>
    </xf>
    <xf numFmtId="40" fontId="36" fillId="0" borderId="20" xfId="3" applyNumberFormat="1" applyFont="1" applyFill="1" applyBorder="1" applyAlignment="1">
      <alignment horizontal="left" vertical="center" wrapText="1"/>
    </xf>
    <xf numFmtId="40" fontId="36" fillId="0" borderId="12" xfId="3" applyNumberFormat="1" applyFont="1" applyFill="1" applyBorder="1" applyAlignment="1">
      <alignment horizontal="left" vertical="center" wrapText="1"/>
    </xf>
    <xf numFmtId="40" fontId="36" fillId="0" borderId="19" xfId="3" applyNumberFormat="1" applyFont="1" applyFill="1" applyBorder="1" applyAlignment="1">
      <alignment horizontal="left" vertical="center" wrapText="1"/>
    </xf>
    <xf numFmtId="40" fontId="36" fillId="0" borderId="4" xfId="3" applyNumberFormat="1" applyFont="1" applyFill="1" applyBorder="1" applyAlignment="1">
      <alignment horizontal="left" vertical="center" wrapText="1"/>
    </xf>
    <xf numFmtId="40" fontId="36" fillId="3" borderId="0" xfId="3" applyNumberFormat="1" applyFont="1" applyFill="1" applyAlignment="1">
      <alignment horizontal="left" vertical="center" wrapText="1"/>
    </xf>
    <xf numFmtId="40" fontId="36" fillId="3" borderId="18" xfId="3" applyNumberFormat="1" applyFont="1" applyFill="1" applyBorder="1" applyAlignment="1">
      <alignment horizontal="left" vertical="center" wrapText="1"/>
    </xf>
    <xf numFmtId="40" fontId="36" fillId="3" borderId="20" xfId="3" applyNumberFormat="1" applyFont="1" applyFill="1" applyBorder="1" applyAlignment="1">
      <alignment horizontal="left" vertical="center" wrapText="1"/>
    </xf>
    <xf numFmtId="40" fontId="36" fillId="3" borderId="12" xfId="3" applyNumberFormat="1" applyFont="1" applyFill="1" applyBorder="1" applyAlignment="1">
      <alignment horizontal="left" vertical="center" wrapText="1"/>
    </xf>
    <xf numFmtId="40" fontId="36" fillId="3" borderId="0" xfId="3" applyNumberFormat="1" applyFont="1" applyFill="1" applyAlignment="1">
      <alignment horizontal="left" wrapText="1"/>
    </xf>
    <xf numFmtId="40" fontId="36" fillId="3" borderId="18" xfId="3" applyNumberFormat="1" applyFont="1" applyFill="1" applyBorder="1" applyAlignment="1">
      <alignment horizontal="left" wrapText="1"/>
    </xf>
    <xf numFmtId="40" fontId="6" fillId="3" borderId="0" xfId="3" applyNumberFormat="1" applyFont="1" applyFill="1" applyBorder="1" applyAlignment="1">
      <alignment horizontal="center" vertical="center" wrapText="1"/>
    </xf>
    <xf numFmtId="165" fontId="5" fillId="0" borderId="13" xfId="12" applyNumberFormat="1" applyFont="1" applyBorder="1" applyAlignment="1">
      <alignment horizontal="center" vertical="center" wrapText="1"/>
    </xf>
    <xf numFmtId="165" fontId="5" fillId="0" borderId="14" xfId="12" applyNumberFormat="1" applyFont="1" applyBorder="1" applyAlignment="1">
      <alignment horizontal="center" vertical="center" wrapText="1"/>
    </xf>
    <xf numFmtId="165" fontId="5" fillId="0" borderId="15" xfId="12" applyNumberFormat="1" applyFont="1" applyBorder="1" applyAlignment="1">
      <alignment horizontal="center"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40"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40" fontId="5" fillId="0" borderId="13" xfId="0" applyNumberFormat="1" applyFont="1" applyFill="1" applyBorder="1" applyAlignment="1">
      <alignment horizontal="center" vertical="center"/>
    </xf>
    <xf numFmtId="40" fontId="5" fillId="0" borderId="14" xfId="0" applyNumberFormat="1" applyFont="1" applyFill="1" applyBorder="1" applyAlignment="1">
      <alignment horizontal="center" vertical="center"/>
    </xf>
    <xf numFmtId="40" fontId="5" fillId="0" borderId="15" xfId="0" applyNumberFormat="1" applyFont="1" applyFill="1" applyBorder="1" applyAlignment="1">
      <alignment horizontal="center" vertical="center"/>
    </xf>
    <xf numFmtId="40" fontId="5" fillId="0" borderId="0" xfId="0" applyNumberFormat="1" applyFont="1" applyFill="1" applyBorder="1" applyAlignment="1">
      <alignment horizontal="left" vertical="center" wrapText="1"/>
    </xf>
    <xf numFmtId="0" fontId="4" fillId="0" borderId="1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Border="1" applyAlignment="1">
      <alignment horizontal="center" vertical="center" wrapText="1"/>
    </xf>
    <xf numFmtId="40" fontId="4" fillId="0" borderId="0" xfId="3"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9" xfId="0" applyFont="1" applyBorder="1" applyAlignment="1">
      <alignment horizontal="left" vertical="center"/>
    </xf>
    <xf numFmtId="0" fontId="4" fillId="0" borderId="18" xfId="0" applyFont="1" applyBorder="1" applyAlignment="1">
      <alignment horizontal="center"/>
    </xf>
    <xf numFmtId="0" fontId="0" fillId="0" borderId="18" xfId="0" applyBorder="1" applyAlignment="1">
      <alignment horizont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0" fontId="5" fillId="3" borderId="0" xfId="3" applyNumberFormat="1" applyFont="1" applyFill="1" applyBorder="1" applyAlignment="1">
      <alignment horizontal="left" vertical="center" wrapText="1"/>
    </xf>
    <xf numFmtId="0" fontId="4" fillId="3" borderId="20" xfId="0" applyFont="1" applyFill="1" applyBorder="1" applyAlignment="1">
      <alignment horizontal="left" vertical="center"/>
    </xf>
    <xf numFmtId="0" fontId="4" fillId="3" borderId="19" xfId="0" applyFont="1" applyFill="1" applyBorder="1" applyAlignment="1">
      <alignment horizontal="left" vertical="center"/>
    </xf>
    <xf numFmtId="0" fontId="4" fillId="3" borderId="12" xfId="0" applyFont="1" applyFill="1" applyBorder="1" applyAlignment="1">
      <alignment horizontal="left" vertical="center"/>
    </xf>
    <xf numFmtId="40" fontId="5" fillId="3" borderId="0" xfId="3" applyNumberFormat="1" applyFont="1" applyFill="1" applyBorder="1" applyAlignment="1">
      <alignment horizontal="left" wrapText="1"/>
    </xf>
    <xf numFmtId="0" fontId="4" fillId="3"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13" xfId="12" applyFont="1" applyBorder="1" applyAlignment="1">
      <alignment horizontal="center" vertical="center" wrapText="1"/>
    </xf>
    <xf numFmtId="0" fontId="5" fillId="0" borderId="14" xfId="12" applyFont="1" applyBorder="1" applyAlignment="1">
      <alignment horizontal="center" vertical="center" wrapText="1"/>
    </xf>
    <xf numFmtId="0" fontId="5" fillId="0" borderId="15" xfId="12" applyFont="1" applyBorder="1" applyAlignment="1">
      <alignment horizontal="center" vertical="center" wrapText="1"/>
    </xf>
  </cellXfs>
  <cellStyles count="25">
    <cellStyle name="Hiperlink" xfId="24" builtinId="8"/>
    <cellStyle name="Moeda" xfId="22" builtinId="4"/>
    <cellStyle name="Moeda 2" xfId="4"/>
    <cellStyle name="Normal" xfId="0" builtinId="0"/>
    <cellStyle name="Normal 12" xfId="23"/>
    <cellStyle name="Normal 17" xfId="12"/>
    <cellStyle name="Normal 2" xfId="5"/>
    <cellStyle name="Normal 2 2 2" xfId="21"/>
    <cellStyle name="Normal 2 22" xfId="13"/>
    <cellStyle name="Normal 3" xfId="6"/>
    <cellStyle name="Normal 4" xfId="7"/>
    <cellStyle name="Normal 5" xfId="3"/>
    <cellStyle name="Normal 6" xfId="15"/>
    <cellStyle name="Normal 6 2" xfId="20"/>
    <cellStyle name="Porcentagem" xfId="2" builtinId="5"/>
    <cellStyle name="Porcentagem 2" xfId="8"/>
    <cellStyle name="Porcentagem 3" xfId="9"/>
    <cellStyle name="Separador de milhares 3" xfId="10"/>
    <cellStyle name="Separador de milhares 3 2" xfId="17"/>
    <cellStyle name="Vírgula" xfId="1" builtinId="3"/>
    <cellStyle name="Vírgula 2" xfId="11"/>
    <cellStyle name="Vírgula 2 2" xfId="18"/>
    <cellStyle name="Vírgula 4" xfId="14"/>
    <cellStyle name="Vírgula 4 2" xfId="19"/>
    <cellStyle name="Vírgula 5" xfId="16"/>
  </cellStyles>
  <dxfs count="8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5.jpeg"/><Relationship Id="rId7" Type="http://schemas.openxmlformats.org/officeDocument/2006/relationships/image" Target="../media/image10.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9.jpe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18.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2.jpeg"/><Relationship Id="rId7" Type="http://schemas.openxmlformats.org/officeDocument/2006/relationships/image" Target="../media/image26.jpe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25.png"/><Relationship Id="rId5" Type="http://schemas.openxmlformats.org/officeDocument/2006/relationships/image" Target="../media/image24.jpeg"/><Relationship Id="rId4" Type="http://schemas.openxmlformats.org/officeDocument/2006/relationships/image" Target="../media/image23.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9.jpeg"/><Relationship Id="rId4" Type="http://schemas.openxmlformats.org/officeDocument/2006/relationships/image" Target="../media/image28.png"/></Relationships>
</file>

<file path=xl/drawings/_rels/drawing2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4.png"/><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293597</xdr:colOff>
      <xdr:row>23</xdr:row>
      <xdr:rowOff>70037</xdr:rowOff>
    </xdr:from>
    <xdr:to>
      <xdr:col>6</xdr:col>
      <xdr:colOff>336177</xdr:colOff>
      <xdr:row>23</xdr:row>
      <xdr:rowOff>434350</xdr:rowOff>
    </xdr:to>
    <xdr:pic>
      <xdr:nvPicPr>
        <xdr:cNvPr id="2" name="Picture 1" descr="image001">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832" y="5460066"/>
          <a:ext cx="3863786" cy="364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464486</xdr:colOff>
      <xdr:row>6</xdr:row>
      <xdr:rowOff>59907</xdr:rowOff>
    </xdr:from>
    <xdr:to>
      <xdr:col>18</xdr:col>
      <xdr:colOff>119204</xdr:colOff>
      <xdr:row>29</xdr:row>
      <xdr:rowOff>82924</xdr:rowOff>
    </xdr:to>
    <xdr:pic>
      <xdr:nvPicPr>
        <xdr:cNvPr id="3" name="Picture 1">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39897"/>
        <a:stretch>
          <a:fillRect/>
        </a:stretch>
      </xdr:blipFill>
      <xdr:spPr bwMode="auto">
        <a:xfrm>
          <a:off x="8106898" y="2592436"/>
          <a:ext cx="5100777" cy="4146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483064</xdr:colOff>
      <xdr:row>29</xdr:row>
      <xdr:rowOff>98006</xdr:rowOff>
    </xdr:from>
    <xdr:to>
      <xdr:col>18</xdr:col>
      <xdr:colOff>5743</xdr:colOff>
      <xdr:row>55</xdr:row>
      <xdr:rowOff>40790</xdr:rowOff>
    </xdr:to>
    <xdr:pic>
      <xdr:nvPicPr>
        <xdr:cNvPr id="4" name="Picture 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1" t="60139" r="-581" b="-1096"/>
        <a:stretch>
          <a:fillRect/>
        </a:stretch>
      </xdr:blipFill>
      <xdr:spPr bwMode="auto">
        <a:xfrm>
          <a:off x="8125476" y="6754300"/>
          <a:ext cx="4968738" cy="3102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11206</xdr:rowOff>
    </xdr:from>
    <xdr:to>
      <xdr:col>8</xdr:col>
      <xdr:colOff>1378324</xdr:colOff>
      <xdr:row>1</xdr:row>
      <xdr:rowOff>11206</xdr:rowOff>
    </xdr:to>
    <xdr:pic>
      <xdr:nvPicPr>
        <xdr:cNvPr id="8" name="Imagem 7">
          <a:extLst>
            <a:ext uri="{FF2B5EF4-FFF2-40B4-BE49-F238E27FC236}">
              <a16:creationId xmlns="" xmlns:a16="http://schemas.microsoft.com/office/drawing/2014/main" id="{00000000-0008-0000-0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1206"/>
          <a:ext cx="7620000" cy="885265"/>
        </a:xfrm>
        <a:prstGeom prst="rect">
          <a:avLst/>
        </a:prstGeom>
      </xdr:spPr>
    </xdr:pic>
    <xdr:clientData/>
  </xdr:twoCellAnchor>
  <xdr:twoCellAnchor editAs="oneCell">
    <xdr:from>
      <xdr:col>2</xdr:col>
      <xdr:colOff>1824206</xdr:colOff>
      <xdr:row>0</xdr:row>
      <xdr:rowOff>159684</xdr:rowOff>
    </xdr:from>
    <xdr:to>
      <xdr:col>5</xdr:col>
      <xdr:colOff>168335</xdr:colOff>
      <xdr:row>1</xdr:row>
      <xdr:rowOff>137118</xdr:rowOff>
    </xdr:to>
    <xdr:pic>
      <xdr:nvPicPr>
        <xdr:cNvPr id="9" name="Imagem 8">
          <a:extLst>
            <a:ext uri="{FF2B5EF4-FFF2-40B4-BE49-F238E27FC236}">
              <a16:creationId xmlns="" xmlns:a16="http://schemas.microsoft.com/office/drawing/2014/main" id="{00000000-0008-0000-0000-000009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6110"/>
        <a:stretch/>
      </xdr:blipFill>
      <xdr:spPr bwMode="auto">
        <a:xfrm>
          <a:off x="3034441" y="159684"/>
          <a:ext cx="1537806" cy="8626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627529</xdr:colOff>
      <xdr:row>1</xdr:row>
      <xdr:rowOff>0</xdr:rowOff>
    </xdr:to>
    <xdr:pic>
      <xdr:nvPicPr>
        <xdr:cNvPr id="5" name="Imagem 4">
          <a:extLst>
            <a:ext uri="{FF2B5EF4-FFF2-40B4-BE49-F238E27FC236}">
              <a16:creationId xmlns=""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05264" cy="885265"/>
        </a:xfrm>
        <a:prstGeom prst="rect">
          <a:avLst/>
        </a:prstGeom>
      </xdr:spPr>
    </xdr:pic>
    <xdr:clientData/>
  </xdr:twoCellAnchor>
  <xdr:twoCellAnchor editAs="oneCell">
    <xdr:from>
      <xdr:col>1</xdr:col>
      <xdr:colOff>2182794</xdr:colOff>
      <xdr:row>0</xdr:row>
      <xdr:rowOff>204508</xdr:rowOff>
    </xdr:from>
    <xdr:to>
      <xdr:col>1</xdr:col>
      <xdr:colOff>3899257</xdr:colOff>
      <xdr:row>1</xdr:row>
      <xdr:rowOff>181942</xdr:rowOff>
    </xdr:to>
    <xdr:pic>
      <xdr:nvPicPr>
        <xdr:cNvPr id="6" name="Imagem 5">
          <a:extLst>
            <a:ext uri="{FF2B5EF4-FFF2-40B4-BE49-F238E27FC236}">
              <a16:creationId xmlns="" xmlns:a16="http://schemas.microsoft.com/office/drawing/2014/main" id="{00000000-0008-0000-01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471470" y="204508"/>
          <a:ext cx="1716463" cy="8626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1497542</xdr:colOff>
      <xdr:row>8</xdr:row>
      <xdr:rowOff>352136</xdr:rowOff>
    </xdr:to>
    <xdr:pic>
      <xdr:nvPicPr>
        <xdr:cNvPr id="4" name="Imagem 3">
          <a:extLst>
            <a:ext uri="{FF2B5EF4-FFF2-40B4-BE49-F238E27FC236}">
              <a16:creationId xmlns=""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619480" cy="1852324"/>
        </a:xfrm>
        <a:prstGeom prst="rect">
          <a:avLst/>
        </a:prstGeom>
      </xdr:spPr>
    </xdr:pic>
    <xdr:clientData/>
  </xdr:twoCellAnchor>
  <xdr:twoCellAnchor editAs="oneCell">
    <xdr:from>
      <xdr:col>4</xdr:col>
      <xdr:colOff>766370</xdr:colOff>
      <xdr:row>1</xdr:row>
      <xdr:rowOff>90208</xdr:rowOff>
    </xdr:from>
    <xdr:to>
      <xdr:col>8</xdr:col>
      <xdr:colOff>170193</xdr:colOff>
      <xdr:row>9</xdr:row>
      <xdr:rowOff>174614</xdr:rowOff>
    </xdr:to>
    <xdr:pic>
      <xdr:nvPicPr>
        <xdr:cNvPr id="5" name="Imagem 4">
          <a:extLst>
            <a:ext uri="{FF2B5EF4-FFF2-40B4-BE49-F238E27FC236}">
              <a16:creationId xmlns=""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9796070" y="242608"/>
          <a:ext cx="4890224" cy="185644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773906</xdr:colOff>
      <xdr:row>0</xdr:row>
      <xdr:rowOff>857250</xdr:rowOff>
    </xdr:to>
    <xdr:pic>
      <xdr:nvPicPr>
        <xdr:cNvPr id="2" name="Imagem 1">
          <a:extLst>
            <a:ext uri="{FF2B5EF4-FFF2-40B4-BE49-F238E27FC236}">
              <a16:creationId xmlns=""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358312" cy="857249"/>
        </a:xfrm>
        <a:prstGeom prst="rect">
          <a:avLst/>
        </a:prstGeom>
      </xdr:spPr>
    </xdr:pic>
    <xdr:clientData/>
  </xdr:twoCellAnchor>
  <xdr:twoCellAnchor editAs="oneCell">
    <xdr:from>
      <xdr:col>4</xdr:col>
      <xdr:colOff>58582</xdr:colOff>
      <xdr:row>0</xdr:row>
      <xdr:rowOff>217116</xdr:rowOff>
    </xdr:from>
    <xdr:to>
      <xdr:col>6</xdr:col>
      <xdr:colOff>216848</xdr:colOff>
      <xdr:row>1</xdr:row>
      <xdr:rowOff>166688</xdr:rowOff>
    </xdr:to>
    <xdr:pic>
      <xdr:nvPicPr>
        <xdr:cNvPr id="3" name="Imagem 2">
          <a:extLst>
            <a:ext uri="{FF2B5EF4-FFF2-40B4-BE49-F238E27FC236}">
              <a16:creationId xmlns="" xmlns:a16="http://schemas.microsoft.com/office/drawing/2014/main" id="{00000000-0008-0000-14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749520" y="217116"/>
          <a:ext cx="1813234" cy="830635"/>
        </a:xfrm>
        <a:prstGeom prst="rect">
          <a:avLst/>
        </a:prstGeom>
        <a:noFill/>
        <a:ln>
          <a:noFill/>
        </a:ln>
        <a:extLst>
          <a:ext uri="{53640926-AAD7-44D8-BBD7-CCE9431645EC}">
            <a14:shadowObscured xmlns:a14="http://schemas.microsoft.com/office/drawing/2010/main"/>
          </a:ext>
        </a:extLst>
      </xdr:spPr>
    </xdr:pic>
    <xdr:clientData/>
  </xdr:twoCellAnchor>
  <xdr:oneCellAnchor>
    <xdr:from>
      <xdr:col>16</xdr:col>
      <xdr:colOff>95250</xdr:colOff>
      <xdr:row>258</xdr:row>
      <xdr:rowOff>309562</xdr:rowOff>
    </xdr:from>
    <xdr:ext cx="2410166" cy="1876427"/>
    <xdr:pic>
      <xdr:nvPicPr>
        <xdr:cNvPr id="4" name="Imagem 3" descr="Como Definir a Pia ou Bancada da Sua Cozinha em 5 Passos • Manual da Obra">
          <a:extLst>
            <a:ext uri="{FF2B5EF4-FFF2-40B4-BE49-F238E27FC236}">
              <a16:creationId xmlns=""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15475" y="55459312"/>
          <a:ext cx="2410166" cy="1876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95250</xdr:colOff>
      <xdr:row>321</xdr:row>
      <xdr:rowOff>0</xdr:rowOff>
    </xdr:from>
    <xdr:ext cx="2410166" cy="1876427"/>
    <xdr:pic>
      <xdr:nvPicPr>
        <xdr:cNvPr id="7" name="Imagem 6" descr="Como Definir a Pia ou Bancada da Sua Cozinha em 5 Passos • Manual da Obra">
          <a:extLst>
            <a:ext uri="{FF2B5EF4-FFF2-40B4-BE49-F238E27FC236}">
              <a16:creationId xmlns=""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15475" y="77704950"/>
          <a:ext cx="2410166" cy="1876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64</xdr:row>
      <xdr:rowOff>0</xdr:rowOff>
    </xdr:from>
    <xdr:to>
      <xdr:col>0</xdr:col>
      <xdr:colOff>304800</xdr:colOff>
      <xdr:row>65</xdr:row>
      <xdr:rowOff>90488</xdr:rowOff>
    </xdr:to>
    <xdr:sp macro="" textlink="">
      <xdr:nvSpPr>
        <xdr:cNvPr id="31745" name="AutoShape 1" descr="Imagem 3 de 3 de Filtro Para Piscina Dancor Dfr 19 Até 84.000 Litros">
          <a:extLst>
            <a:ext uri="{FF2B5EF4-FFF2-40B4-BE49-F238E27FC236}">
              <a16:creationId xmlns="" xmlns:a16="http://schemas.microsoft.com/office/drawing/2014/main" id="{EFE6D717-E731-4B52-BA5D-1AD282B497AC}"/>
            </a:ext>
          </a:extLst>
        </xdr:cNvPr>
        <xdr:cNvSpPr>
          <a:spLocks noChangeAspect="1" noChangeArrowheads="1"/>
        </xdr:cNvSpPr>
      </xdr:nvSpPr>
      <xdr:spPr bwMode="auto">
        <a:xfrm>
          <a:off x="0" y="16068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71</xdr:row>
      <xdr:rowOff>0</xdr:rowOff>
    </xdr:from>
    <xdr:ext cx="304800" cy="304800"/>
    <xdr:sp macro="" textlink="">
      <xdr:nvSpPr>
        <xdr:cNvPr id="8" name="AutoShape 1" descr="Imagem 3 de 3 de Filtro Para Piscina Dancor Dfr 19 Até 84.000 Litros">
          <a:extLst>
            <a:ext uri="{FF2B5EF4-FFF2-40B4-BE49-F238E27FC236}">
              <a16:creationId xmlns="" xmlns:a16="http://schemas.microsoft.com/office/drawing/2014/main" id="{F41C4FB2-3224-47FA-9236-D28933056B1F}"/>
            </a:ext>
          </a:extLst>
        </xdr:cNvPr>
        <xdr:cNvSpPr>
          <a:spLocks noChangeAspect="1" noChangeArrowheads="1"/>
        </xdr:cNvSpPr>
      </xdr:nvSpPr>
      <xdr:spPr bwMode="auto">
        <a:xfrm>
          <a:off x="0" y="16204406"/>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78</xdr:row>
      <xdr:rowOff>0</xdr:rowOff>
    </xdr:from>
    <xdr:ext cx="304800" cy="304800"/>
    <xdr:sp macro="" textlink="">
      <xdr:nvSpPr>
        <xdr:cNvPr id="10" name="AutoShape 1" descr="Imagem 3 de 3 de Filtro Para Piscina Dancor Dfr 19 Até 84.000 Litros">
          <a:extLst>
            <a:ext uri="{FF2B5EF4-FFF2-40B4-BE49-F238E27FC236}">
              <a16:creationId xmlns="" xmlns:a16="http://schemas.microsoft.com/office/drawing/2014/main" id="{E3B6DDF5-81D2-41CA-84F9-B247D8CE6AAB}"/>
            </a:ext>
          </a:extLst>
        </xdr:cNvPr>
        <xdr:cNvSpPr>
          <a:spLocks noChangeAspect="1" noChangeArrowheads="1"/>
        </xdr:cNvSpPr>
      </xdr:nvSpPr>
      <xdr:spPr bwMode="auto">
        <a:xfrm>
          <a:off x="0" y="180736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85</xdr:row>
      <xdr:rowOff>0</xdr:rowOff>
    </xdr:from>
    <xdr:ext cx="304800" cy="304800"/>
    <xdr:sp macro="" textlink="">
      <xdr:nvSpPr>
        <xdr:cNvPr id="12" name="AutoShape 1" descr="Imagem 3 de 3 de Filtro Para Piscina Dancor Dfr 19 Até 84.000 Litros">
          <a:extLst>
            <a:ext uri="{FF2B5EF4-FFF2-40B4-BE49-F238E27FC236}">
              <a16:creationId xmlns="" xmlns:a16="http://schemas.microsoft.com/office/drawing/2014/main" id="{C4094771-3EF4-4BF4-961C-449DABAA514E}"/>
            </a:ext>
          </a:extLst>
        </xdr:cNvPr>
        <xdr:cNvSpPr>
          <a:spLocks noChangeAspect="1" noChangeArrowheads="1"/>
        </xdr:cNvSpPr>
      </xdr:nvSpPr>
      <xdr:spPr bwMode="auto">
        <a:xfrm>
          <a:off x="0" y="1924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92</xdr:row>
      <xdr:rowOff>0</xdr:rowOff>
    </xdr:from>
    <xdr:ext cx="304800" cy="304800"/>
    <xdr:sp macro="" textlink="">
      <xdr:nvSpPr>
        <xdr:cNvPr id="14" name="AutoShape 1" descr="Imagem 3 de 3 de Filtro Para Piscina Dancor Dfr 19 Até 84.000 Litros">
          <a:extLst>
            <a:ext uri="{FF2B5EF4-FFF2-40B4-BE49-F238E27FC236}">
              <a16:creationId xmlns="" xmlns:a16="http://schemas.microsoft.com/office/drawing/2014/main" id="{EF490477-7C12-4FD8-A8E3-D7608C1664EF}"/>
            </a:ext>
          </a:extLst>
        </xdr:cNvPr>
        <xdr:cNvSpPr>
          <a:spLocks noChangeAspect="1" noChangeArrowheads="1"/>
        </xdr:cNvSpPr>
      </xdr:nvSpPr>
      <xdr:spPr bwMode="auto">
        <a:xfrm>
          <a:off x="0" y="20895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99</xdr:row>
      <xdr:rowOff>0</xdr:rowOff>
    </xdr:from>
    <xdr:ext cx="304800" cy="304800"/>
    <xdr:sp macro="" textlink="">
      <xdr:nvSpPr>
        <xdr:cNvPr id="16" name="AutoShape 1" descr="Imagem 3 de 3 de Filtro Para Piscina Dancor Dfr 19 Até 84.000 Litros">
          <a:extLst>
            <a:ext uri="{FF2B5EF4-FFF2-40B4-BE49-F238E27FC236}">
              <a16:creationId xmlns="" xmlns:a16="http://schemas.microsoft.com/office/drawing/2014/main" id="{39104F9A-CE1F-4183-800A-8BF9644C7DFE}"/>
            </a:ext>
          </a:extLst>
        </xdr:cNvPr>
        <xdr:cNvSpPr>
          <a:spLocks noChangeAspect="1" noChangeArrowheads="1"/>
        </xdr:cNvSpPr>
      </xdr:nvSpPr>
      <xdr:spPr bwMode="auto">
        <a:xfrm>
          <a:off x="0" y="2250281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106</xdr:row>
      <xdr:rowOff>0</xdr:rowOff>
    </xdr:from>
    <xdr:ext cx="304800" cy="304800"/>
    <xdr:sp macro="" textlink="">
      <xdr:nvSpPr>
        <xdr:cNvPr id="17" name="AutoShape 1" descr="Imagem 3 de 3 de Filtro Para Piscina Dancor Dfr 19 Até 84.000 Litros">
          <a:extLst>
            <a:ext uri="{FF2B5EF4-FFF2-40B4-BE49-F238E27FC236}">
              <a16:creationId xmlns="" xmlns:a16="http://schemas.microsoft.com/office/drawing/2014/main" id="{8AAD0993-1D20-4E60-9A8E-0FE1F98DC8DC}"/>
            </a:ext>
          </a:extLst>
        </xdr:cNvPr>
        <xdr:cNvSpPr>
          <a:spLocks noChangeAspect="1" noChangeArrowheads="1"/>
        </xdr:cNvSpPr>
      </xdr:nvSpPr>
      <xdr:spPr bwMode="auto">
        <a:xfrm>
          <a:off x="0" y="2418159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113</xdr:row>
      <xdr:rowOff>0</xdr:rowOff>
    </xdr:from>
    <xdr:ext cx="304800" cy="304800"/>
    <xdr:sp macro="" textlink="">
      <xdr:nvSpPr>
        <xdr:cNvPr id="13" name="AutoShape 1" descr="Imagem 3 de 3 de Filtro Para Piscina Dancor Dfr 19 Até 84.000 Litros">
          <a:extLst>
            <a:ext uri="{FF2B5EF4-FFF2-40B4-BE49-F238E27FC236}">
              <a16:creationId xmlns="" xmlns:a16="http://schemas.microsoft.com/office/drawing/2014/main" id="{14E8DA12-2C67-45B9-94B3-A5F5C4AF6D94}"/>
            </a:ext>
          </a:extLst>
        </xdr:cNvPr>
        <xdr:cNvSpPr>
          <a:spLocks noChangeAspect="1" noChangeArrowheads="1"/>
        </xdr:cNvSpPr>
      </xdr:nvSpPr>
      <xdr:spPr bwMode="auto">
        <a:xfrm>
          <a:off x="0" y="25860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183</xdr:row>
      <xdr:rowOff>0</xdr:rowOff>
    </xdr:from>
    <xdr:ext cx="304800" cy="304800"/>
    <xdr:sp macro="" textlink="">
      <xdr:nvSpPr>
        <xdr:cNvPr id="15" name="AutoShape 1" descr="Imagem 3 de 3 de Filtro Para Piscina Dancor Dfr 19 Até 84.000 Litros">
          <a:extLst>
            <a:ext uri="{FF2B5EF4-FFF2-40B4-BE49-F238E27FC236}">
              <a16:creationId xmlns="" xmlns:a16="http://schemas.microsoft.com/office/drawing/2014/main" id="{A679A06C-4990-4CC9-B0AF-ACE82DEAE155}"/>
            </a:ext>
          </a:extLst>
        </xdr:cNvPr>
        <xdr:cNvSpPr>
          <a:spLocks noChangeAspect="1" noChangeArrowheads="1"/>
        </xdr:cNvSpPr>
      </xdr:nvSpPr>
      <xdr:spPr bwMode="auto">
        <a:xfrm>
          <a:off x="0" y="2699146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120</xdr:row>
      <xdr:rowOff>0</xdr:rowOff>
    </xdr:from>
    <xdr:ext cx="304800" cy="304800"/>
    <xdr:sp macro="" textlink="">
      <xdr:nvSpPr>
        <xdr:cNvPr id="18" name="AutoShape 1" descr="Imagem 3 de 3 de Filtro Para Piscina Dancor Dfr 19 Até 84.000 Litros">
          <a:extLst>
            <a:ext uri="{FF2B5EF4-FFF2-40B4-BE49-F238E27FC236}">
              <a16:creationId xmlns="" xmlns:a16="http://schemas.microsoft.com/office/drawing/2014/main" id="{9BB47E4E-94A3-42B6-AC98-EDB39F96EBDA}"/>
            </a:ext>
          </a:extLst>
        </xdr:cNvPr>
        <xdr:cNvSpPr>
          <a:spLocks noChangeAspect="1" noChangeArrowheads="1"/>
        </xdr:cNvSpPr>
      </xdr:nvSpPr>
      <xdr:spPr bwMode="auto">
        <a:xfrm>
          <a:off x="0" y="2988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127</xdr:row>
      <xdr:rowOff>0</xdr:rowOff>
    </xdr:from>
    <xdr:ext cx="304800" cy="304800"/>
    <xdr:sp macro="" textlink="">
      <xdr:nvSpPr>
        <xdr:cNvPr id="19" name="AutoShape 1" descr="Imagem 3 de 3 de Filtro Para Piscina Dancor Dfr 19 Até 84.000 Litros">
          <a:extLst>
            <a:ext uri="{FF2B5EF4-FFF2-40B4-BE49-F238E27FC236}">
              <a16:creationId xmlns="" xmlns:a16="http://schemas.microsoft.com/office/drawing/2014/main" id="{BCC31616-BF30-4B15-BEE5-68A1E95D3870}"/>
            </a:ext>
          </a:extLst>
        </xdr:cNvPr>
        <xdr:cNvSpPr>
          <a:spLocks noChangeAspect="1" noChangeArrowheads="1"/>
        </xdr:cNvSpPr>
      </xdr:nvSpPr>
      <xdr:spPr bwMode="auto">
        <a:xfrm>
          <a:off x="0" y="2842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134</xdr:row>
      <xdr:rowOff>0</xdr:rowOff>
    </xdr:from>
    <xdr:ext cx="304800" cy="304800"/>
    <xdr:sp macro="" textlink="">
      <xdr:nvSpPr>
        <xdr:cNvPr id="20" name="AutoShape 1" descr="Imagem 3 de 3 de Filtro Para Piscina Dancor Dfr 19 Até 84.000 Litros">
          <a:extLst>
            <a:ext uri="{FF2B5EF4-FFF2-40B4-BE49-F238E27FC236}">
              <a16:creationId xmlns="" xmlns:a16="http://schemas.microsoft.com/office/drawing/2014/main" id="{13E8E1C4-F559-4F94-8C15-7EDFC7F07BC9}"/>
            </a:ext>
          </a:extLst>
        </xdr:cNvPr>
        <xdr:cNvSpPr>
          <a:spLocks noChangeAspect="1" noChangeArrowheads="1"/>
        </xdr:cNvSpPr>
      </xdr:nvSpPr>
      <xdr:spPr bwMode="auto">
        <a:xfrm>
          <a:off x="0" y="29860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141</xdr:row>
      <xdr:rowOff>0</xdr:rowOff>
    </xdr:from>
    <xdr:ext cx="304800" cy="304800"/>
    <xdr:sp macro="" textlink="">
      <xdr:nvSpPr>
        <xdr:cNvPr id="21" name="AutoShape 1" descr="Imagem 3 de 3 de Filtro Para Piscina Dancor Dfr 19 Até 84.000 Litros">
          <a:extLst>
            <a:ext uri="{FF2B5EF4-FFF2-40B4-BE49-F238E27FC236}">
              <a16:creationId xmlns="" xmlns:a16="http://schemas.microsoft.com/office/drawing/2014/main" id="{7579F1E7-03A2-4A6D-A0E2-6763B8406933}"/>
            </a:ext>
          </a:extLst>
        </xdr:cNvPr>
        <xdr:cNvSpPr>
          <a:spLocks noChangeAspect="1" noChangeArrowheads="1"/>
        </xdr:cNvSpPr>
      </xdr:nvSpPr>
      <xdr:spPr bwMode="auto">
        <a:xfrm>
          <a:off x="0" y="31299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148</xdr:row>
      <xdr:rowOff>0</xdr:rowOff>
    </xdr:from>
    <xdr:ext cx="304800" cy="304800"/>
    <xdr:sp macro="" textlink="">
      <xdr:nvSpPr>
        <xdr:cNvPr id="22" name="AutoShape 1" descr="Imagem 3 de 3 de Filtro Para Piscina Dancor Dfr 19 Até 84.000 Litros">
          <a:extLst>
            <a:ext uri="{FF2B5EF4-FFF2-40B4-BE49-F238E27FC236}">
              <a16:creationId xmlns="" xmlns:a16="http://schemas.microsoft.com/office/drawing/2014/main" id="{5628BA29-C948-40AB-9113-F0D16036788A}"/>
            </a:ext>
          </a:extLst>
        </xdr:cNvPr>
        <xdr:cNvSpPr>
          <a:spLocks noChangeAspect="1" noChangeArrowheads="1"/>
        </xdr:cNvSpPr>
      </xdr:nvSpPr>
      <xdr:spPr bwMode="auto">
        <a:xfrm>
          <a:off x="0" y="327374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155</xdr:row>
      <xdr:rowOff>0</xdr:rowOff>
    </xdr:from>
    <xdr:ext cx="304800" cy="304800"/>
    <xdr:sp macro="" textlink="">
      <xdr:nvSpPr>
        <xdr:cNvPr id="23" name="AutoShape 1" descr="Imagem 3 de 3 de Filtro Para Piscina Dancor Dfr 19 Até 84.000 Litros">
          <a:extLst>
            <a:ext uri="{FF2B5EF4-FFF2-40B4-BE49-F238E27FC236}">
              <a16:creationId xmlns="" xmlns:a16="http://schemas.microsoft.com/office/drawing/2014/main" id="{3536467D-D2D1-45BF-AEC5-E7C4FF9BA037}"/>
            </a:ext>
          </a:extLst>
        </xdr:cNvPr>
        <xdr:cNvSpPr>
          <a:spLocks noChangeAspect="1" noChangeArrowheads="1"/>
        </xdr:cNvSpPr>
      </xdr:nvSpPr>
      <xdr:spPr bwMode="auto">
        <a:xfrm>
          <a:off x="0" y="34175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162</xdr:row>
      <xdr:rowOff>0</xdr:rowOff>
    </xdr:from>
    <xdr:ext cx="304800" cy="304800"/>
    <xdr:sp macro="" textlink="">
      <xdr:nvSpPr>
        <xdr:cNvPr id="24" name="AutoShape 1" descr="Imagem 3 de 3 de Filtro Para Piscina Dancor Dfr 19 Até 84.000 Litros">
          <a:extLst>
            <a:ext uri="{FF2B5EF4-FFF2-40B4-BE49-F238E27FC236}">
              <a16:creationId xmlns="" xmlns:a16="http://schemas.microsoft.com/office/drawing/2014/main" id="{9854E84D-F7F4-477F-BD21-AD71792D6E4F}"/>
            </a:ext>
          </a:extLst>
        </xdr:cNvPr>
        <xdr:cNvSpPr>
          <a:spLocks noChangeAspect="1" noChangeArrowheads="1"/>
        </xdr:cNvSpPr>
      </xdr:nvSpPr>
      <xdr:spPr bwMode="auto">
        <a:xfrm>
          <a:off x="0" y="3577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169</xdr:row>
      <xdr:rowOff>0</xdr:rowOff>
    </xdr:from>
    <xdr:ext cx="304800" cy="304800"/>
    <xdr:sp macro="" textlink="">
      <xdr:nvSpPr>
        <xdr:cNvPr id="25" name="AutoShape 1" descr="Imagem 3 de 3 de Filtro Para Piscina Dancor Dfr 19 Até 84.000 Litros">
          <a:extLst>
            <a:ext uri="{FF2B5EF4-FFF2-40B4-BE49-F238E27FC236}">
              <a16:creationId xmlns="" xmlns:a16="http://schemas.microsoft.com/office/drawing/2014/main" id="{5F1A6C59-7268-43DF-9F32-E9D06D6BFD08}"/>
            </a:ext>
          </a:extLst>
        </xdr:cNvPr>
        <xdr:cNvSpPr>
          <a:spLocks noChangeAspect="1" noChangeArrowheads="1"/>
        </xdr:cNvSpPr>
      </xdr:nvSpPr>
      <xdr:spPr bwMode="auto">
        <a:xfrm>
          <a:off x="0" y="3727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176</xdr:row>
      <xdr:rowOff>0</xdr:rowOff>
    </xdr:from>
    <xdr:ext cx="304800" cy="304800"/>
    <xdr:sp macro="" textlink="">
      <xdr:nvSpPr>
        <xdr:cNvPr id="26" name="AutoShape 1" descr="Imagem 3 de 3 de Filtro Para Piscina Dancor Dfr 19 Até 84.000 Litros">
          <a:extLst>
            <a:ext uri="{FF2B5EF4-FFF2-40B4-BE49-F238E27FC236}">
              <a16:creationId xmlns="" xmlns:a16="http://schemas.microsoft.com/office/drawing/2014/main" id="{B07617D8-C8F9-414A-A46D-09B0396F5207}"/>
            </a:ext>
          </a:extLst>
        </xdr:cNvPr>
        <xdr:cNvSpPr>
          <a:spLocks noChangeAspect="1" noChangeArrowheads="1"/>
        </xdr:cNvSpPr>
      </xdr:nvSpPr>
      <xdr:spPr bwMode="auto">
        <a:xfrm>
          <a:off x="0" y="38814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10</xdr:col>
      <xdr:colOff>0</xdr:colOff>
      <xdr:row>1</xdr:row>
      <xdr:rowOff>66675</xdr:rowOff>
    </xdr:to>
    <xdr:pic>
      <xdr:nvPicPr>
        <xdr:cNvPr id="5" name="Imagem 4">
          <a:extLst>
            <a:ext uri="{FF2B5EF4-FFF2-40B4-BE49-F238E27FC236}">
              <a16:creationId xmlns="" xmlns:a16="http://schemas.microsoft.com/office/drawing/2014/main" id="{00000000-0008-0000-1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11906250" cy="933450"/>
        </a:xfrm>
        <a:prstGeom prst="rect">
          <a:avLst/>
        </a:prstGeom>
      </xdr:spPr>
    </xdr:pic>
    <xdr:clientData/>
  </xdr:twoCellAnchor>
  <xdr:twoCellAnchor editAs="oneCell">
    <xdr:from>
      <xdr:col>3</xdr:col>
      <xdr:colOff>2357328</xdr:colOff>
      <xdr:row>0</xdr:row>
      <xdr:rowOff>137114</xdr:rowOff>
    </xdr:from>
    <xdr:to>
      <xdr:col>4</xdr:col>
      <xdr:colOff>133350</xdr:colOff>
      <xdr:row>1</xdr:row>
      <xdr:rowOff>180975</xdr:rowOff>
    </xdr:to>
    <xdr:pic>
      <xdr:nvPicPr>
        <xdr:cNvPr id="7" name="Imagem 6">
          <a:extLst>
            <a:ext uri="{FF2B5EF4-FFF2-40B4-BE49-F238E27FC236}">
              <a16:creationId xmlns="" xmlns:a16="http://schemas.microsoft.com/office/drawing/2014/main" id="{00000000-0008-0000-16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4767153" y="137114"/>
          <a:ext cx="2300397" cy="92968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12</xdr:col>
      <xdr:colOff>978693</xdr:colOff>
      <xdr:row>0</xdr:row>
      <xdr:rowOff>857250</xdr:rowOff>
    </xdr:to>
    <xdr:pic>
      <xdr:nvPicPr>
        <xdr:cNvPr id="4" name="Imagem 3">
          <a:extLst>
            <a:ext uri="{FF2B5EF4-FFF2-40B4-BE49-F238E27FC236}">
              <a16:creationId xmlns="" xmlns:a16="http://schemas.microsoft.com/office/drawing/2014/main" id="{00000000-0008-0000-1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020175" cy="857249"/>
        </a:xfrm>
        <a:prstGeom prst="rect">
          <a:avLst/>
        </a:prstGeom>
      </xdr:spPr>
    </xdr:pic>
    <xdr:clientData/>
  </xdr:twoCellAnchor>
  <xdr:twoCellAnchor editAs="oneCell">
    <xdr:from>
      <xdr:col>6</xdr:col>
      <xdr:colOff>22862</xdr:colOff>
      <xdr:row>0</xdr:row>
      <xdr:rowOff>193303</xdr:rowOff>
    </xdr:from>
    <xdr:to>
      <xdr:col>8</xdr:col>
      <xdr:colOff>490690</xdr:colOff>
      <xdr:row>1</xdr:row>
      <xdr:rowOff>142875</xdr:rowOff>
    </xdr:to>
    <xdr:pic>
      <xdr:nvPicPr>
        <xdr:cNvPr id="7" name="Imagem 6">
          <a:extLst>
            <a:ext uri="{FF2B5EF4-FFF2-40B4-BE49-F238E27FC236}">
              <a16:creationId xmlns="" xmlns:a16="http://schemas.microsoft.com/office/drawing/2014/main" id="{00000000-0008-0000-15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785237" y="193303"/>
          <a:ext cx="1820378" cy="835397"/>
        </a:xfrm>
        <a:prstGeom prst="rect">
          <a:avLst/>
        </a:prstGeom>
        <a:noFill/>
        <a:ln>
          <a:noFill/>
        </a:ln>
        <a:extLst>
          <a:ext uri="{53640926-AAD7-44D8-BBD7-CCE9431645EC}">
            <a14:shadowObscured xmlns:a14="http://schemas.microsoft.com/office/drawing/2010/main"/>
          </a:ext>
        </a:extLst>
      </xdr:spPr>
    </xdr:pic>
    <xdr:clientData/>
  </xdr:twoCellAnchor>
  <xdr:oneCellAnchor>
    <xdr:from>
      <xdr:col>10</xdr:col>
      <xdr:colOff>221456</xdr:colOff>
      <xdr:row>459</xdr:row>
      <xdr:rowOff>66843</xdr:rowOff>
    </xdr:from>
    <xdr:ext cx="2219325" cy="1727849"/>
    <xdr:pic>
      <xdr:nvPicPr>
        <xdr:cNvPr id="8" name="Imagem 7" descr="Como Definir a Pia ou Bancada da Sua Cozinha em 5 Passos • Manual da Obra">
          <a:extLst>
            <a:ext uri="{FF2B5EF4-FFF2-40B4-BE49-F238E27FC236}">
              <a16:creationId xmlns=""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38925" y="94900124"/>
          <a:ext cx="2219325" cy="17278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107777</xdr:colOff>
      <xdr:row>467</xdr:row>
      <xdr:rowOff>142875</xdr:rowOff>
    </xdr:from>
    <xdr:to>
      <xdr:col>12</xdr:col>
      <xdr:colOff>854875</xdr:colOff>
      <xdr:row>474</xdr:row>
      <xdr:rowOff>42773</xdr:rowOff>
    </xdr:to>
    <xdr:pic>
      <xdr:nvPicPr>
        <xdr:cNvPr id="2" name="Imagem 1">
          <a:extLst>
            <a:ext uri="{FF2B5EF4-FFF2-40B4-BE49-F238E27FC236}">
              <a16:creationId xmlns="" xmlns:a16="http://schemas.microsoft.com/office/drawing/2014/main" id="{00000000-0008-0000-1500-000002000000}"/>
            </a:ext>
          </a:extLst>
        </xdr:cNvPr>
        <xdr:cNvPicPr>
          <a:picLocks noChangeAspect="1"/>
        </xdr:cNvPicPr>
      </xdr:nvPicPr>
      <xdr:blipFill>
        <a:blip xmlns:r="http://schemas.openxmlformats.org/officeDocument/2006/relationships" r:embed="rId4"/>
        <a:stretch>
          <a:fillRect/>
        </a:stretch>
      </xdr:blipFill>
      <xdr:spPr>
        <a:xfrm>
          <a:off x="6525246" y="96654938"/>
          <a:ext cx="2354442" cy="1566774"/>
        </a:xfrm>
        <a:prstGeom prst="rect">
          <a:avLst/>
        </a:prstGeom>
      </xdr:spPr>
    </xdr:pic>
    <xdr:clientData/>
  </xdr:twoCellAnchor>
  <xdr:twoCellAnchor editAs="oneCell">
    <xdr:from>
      <xdr:col>2</xdr:col>
      <xdr:colOff>583406</xdr:colOff>
      <xdr:row>523</xdr:row>
      <xdr:rowOff>23810</xdr:rowOff>
    </xdr:from>
    <xdr:to>
      <xdr:col>7</xdr:col>
      <xdr:colOff>59531</xdr:colOff>
      <xdr:row>533</xdr:row>
      <xdr:rowOff>100010</xdr:rowOff>
    </xdr:to>
    <xdr:pic>
      <xdr:nvPicPr>
        <xdr:cNvPr id="3" name="Imagem 2">
          <a:extLst>
            <a:ext uri="{FF2B5EF4-FFF2-40B4-BE49-F238E27FC236}">
              <a16:creationId xmlns="" xmlns:a16="http://schemas.microsoft.com/office/drawing/2014/main" id="{00000000-0008-0000-1500-000003000000}"/>
            </a:ext>
          </a:extLst>
        </xdr:cNvPr>
        <xdr:cNvPicPr>
          <a:picLocks noChangeAspect="1"/>
        </xdr:cNvPicPr>
      </xdr:nvPicPr>
      <xdr:blipFill>
        <a:blip xmlns:r="http://schemas.openxmlformats.org/officeDocument/2006/relationships" r:embed="rId5"/>
        <a:stretch>
          <a:fillRect/>
        </a:stretch>
      </xdr:blipFill>
      <xdr:spPr>
        <a:xfrm>
          <a:off x="1905000" y="134504904"/>
          <a:ext cx="2619375" cy="1743075"/>
        </a:xfrm>
        <a:prstGeom prst="rect">
          <a:avLst/>
        </a:prstGeom>
      </xdr:spPr>
    </xdr:pic>
    <xdr:clientData/>
  </xdr:twoCellAnchor>
  <xdr:twoCellAnchor editAs="oneCell">
    <xdr:from>
      <xdr:col>7</xdr:col>
      <xdr:colOff>642938</xdr:colOff>
      <xdr:row>522</xdr:row>
      <xdr:rowOff>59532</xdr:rowOff>
    </xdr:from>
    <xdr:to>
      <xdr:col>11</xdr:col>
      <xdr:colOff>195977</xdr:colOff>
      <xdr:row>534</xdr:row>
      <xdr:rowOff>2384</xdr:rowOff>
    </xdr:to>
    <xdr:pic>
      <xdr:nvPicPr>
        <xdr:cNvPr id="15" name="Imagem 14" descr="13 Labour room ideas | hospital curtains, curtain track, curtains">
          <a:extLst>
            <a:ext uri="{FF2B5EF4-FFF2-40B4-BE49-F238E27FC236}">
              <a16:creationId xmlns=""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07782" y="134373938"/>
          <a:ext cx="2148601" cy="1943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551</xdr:row>
      <xdr:rowOff>0</xdr:rowOff>
    </xdr:from>
    <xdr:to>
      <xdr:col>2</xdr:col>
      <xdr:colOff>304800</xdr:colOff>
      <xdr:row>552</xdr:row>
      <xdr:rowOff>142876</xdr:rowOff>
    </xdr:to>
    <xdr:sp macro="" textlink="">
      <xdr:nvSpPr>
        <xdr:cNvPr id="6" name="AutoShape 2">
          <a:extLst>
            <a:ext uri="{FF2B5EF4-FFF2-40B4-BE49-F238E27FC236}">
              <a16:creationId xmlns="" xmlns:a16="http://schemas.microsoft.com/office/drawing/2014/main" id="{00000000-0008-0000-1500-000006000000}"/>
            </a:ext>
          </a:extLst>
        </xdr:cNvPr>
        <xdr:cNvSpPr>
          <a:spLocks noChangeAspect="1" noChangeArrowheads="1"/>
        </xdr:cNvSpPr>
      </xdr:nvSpPr>
      <xdr:spPr bwMode="auto">
        <a:xfrm>
          <a:off x="1323975" y="89049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595314</xdr:colOff>
      <xdr:row>547</xdr:row>
      <xdr:rowOff>35717</xdr:rowOff>
    </xdr:from>
    <xdr:to>
      <xdr:col>6</xdr:col>
      <xdr:colOff>238436</xdr:colOff>
      <xdr:row>556</xdr:row>
      <xdr:rowOff>154782</xdr:rowOff>
    </xdr:to>
    <xdr:pic>
      <xdr:nvPicPr>
        <xdr:cNvPr id="20" name="Imagem 19" descr="CORTINA HOSPITALAR @ Crisdan Shopping - A sua Loja online de Persianas">
          <a:extLst>
            <a:ext uri="{FF2B5EF4-FFF2-40B4-BE49-F238E27FC236}">
              <a16:creationId xmlns="" xmlns:a16="http://schemas.microsoft.com/office/drawing/2014/main" id="{00000000-0008-0000-1500-000014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524127" y="139791280"/>
          <a:ext cx="1571934" cy="1619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178595</xdr:colOff>
      <xdr:row>547</xdr:row>
      <xdr:rowOff>44291</xdr:rowOff>
    </xdr:from>
    <xdr:to>
      <xdr:col>10</xdr:col>
      <xdr:colOff>236624</xdr:colOff>
      <xdr:row>556</xdr:row>
      <xdr:rowOff>71438</xdr:rowOff>
    </xdr:to>
    <xdr:pic>
      <xdr:nvPicPr>
        <xdr:cNvPr id="21" name="Imagem 20" descr="08 Und Cortina Hospitalar, Divisória De Leitos 4,50 X 2,50 | Parcelamento  sem juros">
          <a:extLst>
            <a:ext uri="{FF2B5EF4-FFF2-40B4-BE49-F238E27FC236}">
              <a16:creationId xmlns="" xmlns:a16="http://schemas.microsoft.com/office/drawing/2014/main" id="{00000000-0008-0000-1500-000015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43439" y="139799854"/>
          <a:ext cx="2010654" cy="152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643</xdr:row>
      <xdr:rowOff>59532</xdr:rowOff>
    </xdr:from>
    <xdr:to>
      <xdr:col>8</xdr:col>
      <xdr:colOff>476250</xdr:colOff>
      <xdr:row>663</xdr:row>
      <xdr:rowOff>4688</xdr:rowOff>
    </xdr:to>
    <xdr:pic>
      <xdr:nvPicPr>
        <xdr:cNvPr id="11" name="Imagem 10">
          <a:extLst>
            <a:ext uri="{FF2B5EF4-FFF2-40B4-BE49-F238E27FC236}">
              <a16:creationId xmlns="" xmlns:a16="http://schemas.microsoft.com/office/drawing/2014/main" id="{6A19F192-7460-41F5-AA02-9E519A3F291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5250" y="165604032"/>
          <a:ext cx="5584031" cy="3509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583406</xdr:colOff>
      <xdr:row>685</xdr:row>
      <xdr:rowOff>23812</xdr:rowOff>
    </xdr:from>
    <xdr:to>
      <xdr:col>12</xdr:col>
      <xdr:colOff>142875</xdr:colOff>
      <xdr:row>695</xdr:row>
      <xdr:rowOff>2095</xdr:rowOff>
    </xdr:to>
    <xdr:pic>
      <xdr:nvPicPr>
        <xdr:cNvPr id="13" name="Imagem 12" descr="TCM articulado com grelha invisível | GDA">
          <a:extLst>
            <a:ext uri="{FF2B5EF4-FFF2-40B4-BE49-F238E27FC236}">
              <a16:creationId xmlns="" xmlns:a16="http://schemas.microsoft.com/office/drawing/2014/main" id="{71BF1230-721F-4939-ABFF-E224845BBD15}"/>
            </a:ext>
          </a:extLst>
        </xdr:cNvPr>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10427" r="33204" b="36297"/>
        <a:stretch/>
      </xdr:blipFill>
      <xdr:spPr bwMode="auto">
        <a:xfrm>
          <a:off x="4441031" y="175319531"/>
          <a:ext cx="3726657" cy="1764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47624</xdr:colOff>
      <xdr:row>685</xdr:row>
      <xdr:rowOff>35719</xdr:rowOff>
    </xdr:from>
    <xdr:to>
      <xdr:col>6</xdr:col>
      <xdr:colOff>488156</xdr:colOff>
      <xdr:row>694</xdr:row>
      <xdr:rowOff>126035</xdr:rowOff>
    </xdr:to>
    <xdr:pic>
      <xdr:nvPicPr>
        <xdr:cNvPr id="5" name="Imagem 4">
          <a:extLst>
            <a:ext uri="{FF2B5EF4-FFF2-40B4-BE49-F238E27FC236}">
              <a16:creationId xmlns="" xmlns:a16="http://schemas.microsoft.com/office/drawing/2014/main" id="{0D05D7D9-4EA8-4B57-A8E1-55DEA502BA7A}"/>
            </a:ext>
          </a:extLst>
        </xdr:cNvPr>
        <xdr:cNvPicPr>
          <a:picLocks noChangeAspect="1"/>
        </xdr:cNvPicPr>
      </xdr:nvPicPr>
      <xdr:blipFill rotWithShape="1">
        <a:blip xmlns:r="http://schemas.openxmlformats.org/officeDocument/2006/relationships" r:embed="rId11"/>
        <a:srcRect l="33804" t="39898" r="24630" b="17956"/>
        <a:stretch/>
      </xdr:blipFill>
      <xdr:spPr>
        <a:xfrm>
          <a:off x="1369218" y="175331438"/>
          <a:ext cx="2976563" cy="1697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0</xdr:colOff>
      <xdr:row>1</xdr:row>
      <xdr:rowOff>580160</xdr:rowOff>
    </xdr:to>
    <xdr:pic>
      <xdr:nvPicPr>
        <xdr:cNvPr id="4" name="Imagem 3">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7005205" cy="744682"/>
        </a:xfrm>
        <a:prstGeom prst="rect">
          <a:avLst/>
        </a:prstGeom>
      </xdr:spPr>
    </xdr:pic>
    <xdr:clientData/>
  </xdr:twoCellAnchor>
  <xdr:twoCellAnchor editAs="oneCell">
    <xdr:from>
      <xdr:col>4</xdr:col>
      <xdr:colOff>103085</xdr:colOff>
      <xdr:row>1</xdr:row>
      <xdr:rowOff>57303</xdr:rowOff>
    </xdr:from>
    <xdr:to>
      <xdr:col>6</xdr:col>
      <xdr:colOff>251115</xdr:colOff>
      <xdr:row>2</xdr:row>
      <xdr:rowOff>43295</xdr:rowOff>
    </xdr:to>
    <xdr:pic>
      <xdr:nvPicPr>
        <xdr:cNvPr id="5" name="Imagem 4">
          <a:extLst>
            <a:ext uri="{FF2B5EF4-FFF2-40B4-BE49-F238E27FC236}">
              <a16:creationId xmlns="" xmlns:a16="http://schemas.microsoft.com/office/drawing/2014/main"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951926" y="221826"/>
          <a:ext cx="1308348" cy="86921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718705</xdr:colOff>
      <xdr:row>1</xdr:row>
      <xdr:rowOff>822613</xdr:rowOff>
    </xdr:to>
    <xdr:pic>
      <xdr:nvPicPr>
        <xdr:cNvPr id="5" name="Imagem 4">
          <a:extLst>
            <a:ext uri="{FF2B5EF4-FFF2-40B4-BE49-F238E27FC236}">
              <a16:creationId xmlns=""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52705" cy="987136"/>
        </a:xfrm>
        <a:prstGeom prst="rect">
          <a:avLst/>
        </a:prstGeom>
      </xdr:spPr>
    </xdr:pic>
    <xdr:clientData/>
  </xdr:twoCellAnchor>
  <xdr:twoCellAnchor editAs="oneCell">
    <xdr:from>
      <xdr:col>3</xdr:col>
      <xdr:colOff>172356</xdr:colOff>
      <xdr:row>1</xdr:row>
      <xdr:rowOff>22668</xdr:rowOff>
    </xdr:from>
    <xdr:to>
      <xdr:col>5</xdr:col>
      <xdr:colOff>415637</xdr:colOff>
      <xdr:row>2</xdr:row>
      <xdr:rowOff>155864</xdr:rowOff>
    </xdr:to>
    <xdr:pic>
      <xdr:nvPicPr>
        <xdr:cNvPr id="6" name="Imagem 5">
          <a:extLst>
            <a:ext uri="{FF2B5EF4-FFF2-40B4-BE49-F238E27FC236}">
              <a16:creationId xmlns="" xmlns:a16="http://schemas.microsoft.com/office/drawing/2014/main" id="{00000000-0008-0000-04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657515" y="187191"/>
          <a:ext cx="1602758"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891886</xdr:colOff>
      <xdr:row>1</xdr:row>
      <xdr:rowOff>822613</xdr:rowOff>
    </xdr:to>
    <xdr:pic>
      <xdr:nvPicPr>
        <xdr:cNvPr id="7" name="Imagem 6">
          <a:extLst>
            <a:ext uri="{FF2B5EF4-FFF2-40B4-BE49-F238E27FC236}">
              <a16:creationId xmlns=""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78386" cy="987136"/>
        </a:xfrm>
        <a:prstGeom prst="rect">
          <a:avLst/>
        </a:prstGeom>
      </xdr:spPr>
    </xdr:pic>
    <xdr:clientData/>
  </xdr:twoCellAnchor>
  <xdr:twoCellAnchor editAs="oneCell">
    <xdr:from>
      <xdr:col>3</xdr:col>
      <xdr:colOff>51129</xdr:colOff>
      <xdr:row>0</xdr:row>
      <xdr:rowOff>152555</xdr:rowOff>
    </xdr:from>
    <xdr:to>
      <xdr:col>5</xdr:col>
      <xdr:colOff>227734</xdr:colOff>
      <xdr:row>2</xdr:row>
      <xdr:rowOff>121228</xdr:rowOff>
    </xdr:to>
    <xdr:pic>
      <xdr:nvPicPr>
        <xdr:cNvPr id="8" name="Imagem 7">
          <a:extLst>
            <a:ext uri="{FF2B5EF4-FFF2-40B4-BE49-F238E27FC236}">
              <a16:creationId xmlns="" xmlns:a16="http://schemas.microsoft.com/office/drawing/2014/main" id="{00000000-0008-0000-05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796061" y="152555"/>
          <a:ext cx="1605355"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485774</xdr:colOff>
      <xdr:row>1</xdr:row>
      <xdr:rowOff>825211</xdr:rowOff>
    </xdr:to>
    <xdr:pic>
      <xdr:nvPicPr>
        <xdr:cNvPr id="2" name="Imagem 1">
          <a:extLst>
            <a:ext uri="{FF2B5EF4-FFF2-40B4-BE49-F238E27FC236}">
              <a16:creationId xmlns=""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648574" cy="987136"/>
        </a:xfrm>
        <a:prstGeom prst="rect">
          <a:avLst/>
        </a:prstGeom>
      </xdr:spPr>
    </xdr:pic>
    <xdr:clientData/>
  </xdr:twoCellAnchor>
  <xdr:twoCellAnchor editAs="oneCell">
    <xdr:from>
      <xdr:col>4</xdr:col>
      <xdr:colOff>138586</xdr:colOff>
      <xdr:row>0</xdr:row>
      <xdr:rowOff>152555</xdr:rowOff>
    </xdr:from>
    <xdr:to>
      <xdr:col>6</xdr:col>
      <xdr:colOff>362816</xdr:colOff>
      <xdr:row>2</xdr:row>
      <xdr:rowOff>121228</xdr:rowOff>
    </xdr:to>
    <xdr:pic>
      <xdr:nvPicPr>
        <xdr:cNvPr id="3" name="Imagem 2">
          <a:extLst>
            <a:ext uri="{FF2B5EF4-FFF2-40B4-BE49-F238E27FC236}">
              <a16:creationId xmlns="" xmlns:a16="http://schemas.microsoft.com/office/drawing/2014/main" id="{00000000-0008-0000-06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796061" y="152555"/>
          <a:ext cx="1605355"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590550</xdr:colOff>
      <xdr:row>1</xdr:row>
      <xdr:rowOff>825211</xdr:rowOff>
    </xdr:to>
    <xdr:pic>
      <xdr:nvPicPr>
        <xdr:cNvPr id="2" name="Imagem 1">
          <a:extLst>
            <a:ext uri="{FF2B5EF4-FFF2-40B4-BE49-F238E27FC236}">
              <a16:creationId xmlns=""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20300" cy="987136"/>
        </a:xfrm>
        <a:prstGeom prst="rect">
          <a:avLst/>
        </a:prstGeom>
      </xdr:spPr>
    </xdr:pic>
    <xdr:clientData/>
  </xdr:twoCellAnchor>
  <xdr:twoCellAnchor editAs="oneCell">
    <xdr:from>
      <xdr:col>4</xdr:col>
      <xdr:colOff>557686</xdr:colOff>
      <xdr:row>0</xdr:row>
      <xdr:rowOff>143030</xdr:rowOff>
    </xdr:from>
    <xdr:to>
      <xdr:col>6</xdr:col>
      <xdr:colOff>70041</xdr:colOff>
      <xdr:row>2</xdr:row>
      <xdr:rowOff>111703</xdr:rowOff>
    </xdr:to>
    <xdr:pic>
      <xdr:nvPicPr>
        <xdr:cNvPr id="3" name="Imagem 2">
          <a:extLst>
            <a:ext uri="{FF2B5EF4-FFF2-40B4-BE49-F238E27FC236}">
              <a16:creationId xmlns="" xmlns:a16="http://schemas.microsoft.com/office/drawing/2014/main" id="{00000000-0008-0000-07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967636" y="143030"/>
          <a:ext cx="2103155"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314325</xdr:colOff>
      <xdr:row>1</xdr:row>
      <xdr:rowOff>825211</xdr:rowOff>
    </xdr:to>
    <xdr:pic>
      <xdr:nvPicPr>
        <xdr:cNvPr id="2" name="Imagem 1">
          <a:extLst>
            <a:ext uri="{FF2B5EF4-FFF2-40B4-BE49-F238E27FC236}">
              <a16:creationId xmlns=""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553450" cy="987136"/>
        </a:xfrm>
        <a:prstGeom prst="rect">
          <a:avLst/>
        </a:prstGeom>
      </xdr:spPr>
    </xdr:pic>
    <xdr:clientData/>
  </xdr:twoCellAnchor>
  <xdr:twoCellAnchor editAs="oneCell">
    <xdr:from>
      <xdr:col>4</xdr:col>
      <xdr:colOff>329086</xdr:colOff>
      <xdr:row>1</xdr:row>
      <xdr:rowOff>66830</xdr:rowOff>
    </xdr:from>
    <xdr:to>
      <xdr:col>6</xdr:col>
      <xdr:colOff>143165</xdr:colOff>
      <xdr:row>2</xdr:row>
      <xdr:rowOff>197428</xdr:rowOff>
    </xdr:to>
    <xdr:pic>
      <xdr:nvPicPr>
        <xdr:cNvPr id="3" name="Imagem 2">
          <a:extLst>
            <a:ext uri="{FF2B5EF4-FFF2-40B4-BE49-F238E27FC236}">
              <a16:creationId xmlns="" xmlns:a16="http://schemas.microsoft.com/office/drawing/2014/main" id="{00000000-0008-0000-08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377086" y="228755"/>
          <a:ext cx="1795279"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149087</xdr:colOff>
      <xdr:row>1</xdr:row>
      <xdr:rowOff>821484</xdr:rowOff>
    </xdr:to>
    <xdr:pic>
      <xdr:nvPicPr>
        <xdr:cNvPr id="2" name="Imagem 1">
          <a:extLst>
            <a:ext uri="{FF2B5EF4-FFF2-40B4-BE49-F238E27FC236}">
              <a16:creationId xmlns=""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475304" cy="987136"/>
        </a:xfrm>
        <a:prstGeom prst="rect">
          <a:avLst/>
        </a:prstGeom>
      </xdr:spPr>
    </xdr:pic>
    <xdr:clientData/>
  </xdr:twoCellAnchor>
  <xdr:twoCellAnchor editAs="oneCell">
    <xdr:from>
      <xdr:col>4</xdr:col>
      <xdr:colOff>295956</xdr:colOff>
      <xdr:row>1</xdr:row>
      <xdr:rowOff>63103</xdr:rowOff>
    </xdr:from>
    <xdr:to>
      <xdr:col>6</xdr:col>
      <xdr:colOff>285626</xdr:colOff>
      <xdr:row>2</xdr:row>
      <xdr:rowOff>189560</xdr:rowOff>
    </xdr:to>
    <xdr:pic>
      <xdr:nvPicPr>
        <xdr:cNvPr id="3" name="Imagem 2">
          <a:extLst>
            <a:ext uri="{FF2B5EF4-FFF2-40B4-BE49-F238E27FC236}">
              <a16:creationId xmlns="" xmlns:a16="http://schemas.microsoft.com/office/drawing/2014/main" id="{00000000-0008-0000-09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849195" y="228755"/>
          <a:ext cx="1795279"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581025</xdr:colOff>
      <xdr:row>1</xdr:row>
      <xdr:rowOff>825211</xdr:rowOff>
    </xdr:to>
    <xdr:pic>
      <xdr:nvPicPr>
        <xdr:cNvPr id="2" name="Imagem 1">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782050" cy="987136"/>
        </a:xfrm>
        <a:prstGeom prst="rect">
          <a:avLst/>
        </a:prstGeom>
      </xdr:spPr>
    </xdr:pic>
    <xdr:clientData/>
  </xdr:twoCellAnchor>
  <xdr:twoCellAnchor editAs="oneCell">
    <xdr:from>
      <xdr:col>3</xdr:col>
      <xdr:colOff>1024411</xdr:colOff>
      <xdr:row>1</xdr:row>
      <xdr:rowOff>66830</xdr:rowOff>
    </xdr:from>
    <xdr:to>
      <xdr:col>5</xdr:col>
      <xdr:colOff>505115</xdr:colOff>
      <xdr:row>3</xdr:row>
      <xdr:rowOff>35503</xdr:rowOff>
    </xdr:to>
    <xdr:pic>
      <xdr:nvPicPr>
        <xdr:cNvPr id="3" name="Imagem 2">
          <a:extLst>
            <a:ext uri="{FF2B5EF4-FFF2-40B4-BE49-F238E27FC236}">
              <a16:creationId xmlns="" xmlns:a16="http://schemas.microsoft.com/office/drawing/2014/main" id="{00000000-0008-0000-0A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377086" y="228755"/>
          <a:ext cx="1795279" cy="1016423"/>
        </a:xfrm>
        <a:prstGeom prst="rect">
          <a:avLst/>
        </a:prstGeom>
        <a:noFill/>
        <a:ln>
          <a:noFill/>
        </a:ln>
        <a:extLst>
          <a:ext uri="{53640926-AAD7-44D8-BBD7-CCE9431645EC}">
            <a14:shadowObscured xmlns:a14="http://schemas.microsoft.com/office/drawing/2010/main"/>
          </a:ext>
        </a:extLst>
      </xdr:spPr>
    </xdr:pic>
    <xdr:clientData/>
  </xdr:twoCellAnchor>
  <xdr:twoCellAnchor>
    <xdr:from>
      <xdr:col>7</xdr:col>
      <xdr:colOff>114300</xdr:colOff>
      <xdr:row>53</xdr:row>
      <xdr:rowOff>133350</xdr:rowOff>
    </xdr:from>
    <xdr:to>
      <xdr:col>7</xdr:col>
      <xdr:colOff>971550</xdr:colOff>
      <xdr:row>53</xdr:row>
      <xdr:rowOff>333375</xdr:rowOff>
    </xdr:to>
    <xdr:sp macro="" textlink="">
      <xdr:nvSpPr>
        <xdr:cNvPr id="4" name="Seta: para a Direita 3">
          <a:extLst>
            <a:ext uri="{FF2B5EF4-FFF2-40B4-BE49-F238E27FC236}">
              <a16:creationId xmlns="" xmlns:a16="http://schemas.microsoft.com/office/drawing/2014/main" id="{DDDEF2CE-BF43-43D3-91E7-B2188D912AB1}"/>
            </a:ext>
          </a:extLst>
        </xdr:cNvPr>
        <xdr:cNvSpPr/>
      </xdr:nvSpPr>
      <xdr:spPr>
        <a:xfrm>
          <a:off x="6334125" y="11658600"/>
          <a:ext cx="857250"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7</xdr:col>
      <xdr:colOff>123825</xdr:colOff>
      <xdr:row>56</xdr:row>
      <xdr:rowOff>28575</xdr:rowOff>
    </xdr:from>
    <xdr:to>
      <xdr:col>9</xdr:col>
      <xdr:colOff>476250</xdr:colOff>
      <xdr:row>60</xdr:row>
      <xdr:rowOff>23813</xdr:rowOff>
    </xdr:to>
    <xdr:pic>
      <xdr:nvPicPr>
        <xdr:cNvPr id="5" name="Imagem 4" descr="Medida da Mediana relativa a Hipotenusa">
          <a:extLst>
            <a:ext uri="{FF2B5EF4-FFF2-40B4-BE49-F238E27FC236}">
              <a16:creationId xmlns="" xmlns:a16="http://schemas.microsoft.com/office/drawing/2014/main" id="{6C0D490D-C84D-4DB2-B59F-656F13C065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43650" y="12420600"/>
          <a:ext cx="2333625" cy="738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352425</xdr:colOff>
      <xdr:row>1</xdr:row>
      <xdr:rowOff>825211</xdr:rowOff>
    </xdr:to>
    <xdr:pic>
      <xdr:nvPicPr>
        <xdr:cNvPr id="2" name="Imagem 1">
          <a:extLst>
            <a:ext uri="{FF2B5EF4-FFF2-40B4-BE49-F238E27FC236}">
              <a16:creationId xmlns=""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5650" cy="987136"/>
        </a:xfrm>
        <a:prstGeom prst="rect">
          <a:avLst/>
        </a:prstGeom>
      </xdr:spPr>
    </xdr:pic>
    <xdr:clientData/>
  </xdr:twoCellAnchor>
  <xdr:twoCellAnchor editAs="oneCell">
    <xdr:from>
      <xdr:col>4</xdr:col>
      <xdr:colOff>24286</xdr:colOff>
      <xdr:row>1</xdr:row>
      <xdr:rowOff>76355</xdr:rowOff>
    </xdr:from>
    <xdr:to>
      <xdr:col>6</xdr:col>
      <xdr:colOff>400049</xdr:colOff>
      <xdr:row>3</xdr:row>
      <xdr:rowOff>6928</xdr:rowOff>
    </xdr:to>
    <xdr:pic>
      <xdr:nvPicPr>
        <xdr:cNvPr id="3" name="Imagem 2">
          <a:extLst>
            <a:ext uri="{FF2B5EF4-FFF2-40B4-BE49-F238E27FC236}">
              <a16:creationId xmlns="" xmlns:a16="http://schemas.microsoft.com/office/drawing/2014/main" id="{00000000-0008-0000-0B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681761" y="238280"/>
          <a:ext cx="1594963"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819149</xdr:colOff>
      <xdr:row>1</xdr:row>
      <xdr:rowOff>825211</xdr:rowOff>
    </xdr:to>
    <xdr:pic>
      <xdr:nvPicPr>
        <xdr:cNvPr id="2" name="Imagem 1">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10874" cy="987136"/>
        </a:xfrm>
        <a:prstGeom prst="rect">
          <a:avLst/>
        </a:prstGeom>
      </xdr:spPr>
    </xdr:pic>
    <xdr:clientData/>
  </xdr:twoCellAnchor>
  <xdr:twoCellAnchor editAs="oneCell">
    <xdr:from>
      <xdr:col>4</xdr:col>
      <xdr:colOff>414811</xdr:colOff>
      <xdr:row>1</xdr:row>
      <xdr:rowOff>57305</xdr:rowOff>
    </xdr:from>
    <xdr:to>
      <xdr:col>5</xdr:col>
      <xdr:colOff>1215134</xdr:colOff>
      <xdr:row>2</xdr:row>
      <xdr:rowOff>184728</xdr:rowOff>
    </xdr:to>
    <xdr:pic>
      <xdr:nvPicPr>
        <xdr:cNvPr id="3" name="Imagem 2">
          <a:extLst>
            <a:ext uri="{FF2B5EF4-FFF2-40B4-BE49-F238E27FC236}">
              <a16:creationId xmlns="" xmlns:a16="http://schemas.microsoft.com/office/drawing/2014/main" id="{00000000-0008-0000-0C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4272436" y="219230"/>
          <a:ext cx="2210023"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1009649</xdr:colOff>
      <xdr:row>1</xdr:row>
      <xdr:rowOff>825211</xdr:rowOff>
    </xdr:to>
    <xdr:pic>
      <xdr:nvPicPr>
        <xdr:cNvPr id="2" name="Imagem 1">
          <a:extLst>
            <a:ext uri="{FF2B5EF4-FFF2-40B4-BE49-F238E27FC236}">
              <a16:creationId xmlns=""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191624" cy="987136"/>
        </a:xfrm>
        <a:prstGeom prst="rect">
          <a:avLst/>
        </a:prstGeom>
      </xdr:spPr>
    </xdr:pic>
    <xdr:clientData/>
  </xdr:twoCellAnchor>
  <xdr:twoCellAnchor editAs="oneCell">
    <xdr:from>
      <xdr:col>4</xdr:col>
      <xdr:colOff>14761</xdr:colOff>
      <xdr:row>1</xdr:row>
      <xdr:rowOff>76355</xdr:rowOff>
    </xdr:from>
    <xdr:to>
      <xdr:col>6</xdr:col>
      <xdr:colOff>192000</xdr:colOff>
      <xdr:row>3</xdr:row>
      <xdr:rowOff>16453</xdr:rowOff>
    </xdr:to>
    <xdr:pic>
      <xdr:nvPicPr>
        <xdr:cNvPr id="3" name="Imagem 2">
          <a:extLst>
            <a:ext uri="{FF2B5EF4-FFF2-40B4-BE49-F238E27FC236}">
              <a16:creationId xmlns="" xmlns:a16="http://schemas.microsoft.com/office/drawing/2014/main" id="{00000000-0008-0000-0D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548536" y="238280"/>
          <a:ext cx="2063189"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1</xdr:row>
      <xdr:rowOff>825211</xdr:rowOff>
    </xdr:to>
    <xdr:pic>
      <xdr:nvPicPr>
        <xdr:cNvPr id="2" name="Imagem 1">
          <a:extLst>
            <a:ext uri="{FF2B5EF4-FFF2-40B4-BE49-F238E27FC236}">
              <a16:creationId xmlns=""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24925" cy="987136"/>
        </a:xfrm>
        <a:prstGeom prst="rect">
          <a:avLst/>
        </a:prstGeom>
      </xdr:spPr>
    </xdr:pic>
    <xdr:clientData/>
  </xdr:twoCellAnchor>
  <xdr:twoCellAnchor editAs="oneCell">
    <xdr:from>
      <xdr:col>3</xdr:col>
      <xdr:colOff>976786</xdr:colOff>
      <xdr:row>1</xdr:row>
      <xdr:rowOff>76355</xdr:rowOff>
    </xdr:from>
    <xdr:to>
      <xdr:col>5</xdr:col>
      <xdr:colOff>836986</xdr:colOff>
      <xdr:row>3</xdr:row>
      <xdr:rowOff>6928</xdr:rowOff>
    </xdr:to>
    <xdr:pic>
      <xdr:nvPicPr>
        <xdr:cNvPr id="3" name="Imagem 2">
          <a:extLst>
            <a:ext uri="{FF2B5EF4-FFF2-40B4-BE49-F238E27FC236}">
              <a16:creationId xmlns="" xmlns:a16="http://schemas.microsoft.com/office/drawing/2014/main" id="{00000000-0008-0000-0E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548536" y="238280"/>
          <a:ext cx="2003325"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12</xdr:col>
      <xdr:colOff>557893</xdr:colOff>
      <xdr:row>1</xdr:row>
      <xdr:rowOff>834736</xdr:rowOff>
    </xdr:to>
    <xdr:pic>
      <xdr:nvPicPr>
        <xdr:cNvPr id="2" name="Imagem 1">
          <a:extLst>
            <a:ext uri="{FF2B5EF4-FFF2-40B4-BE49-F238E27FC236}">
              <a16:creationId xmlns=""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9525"/>
          <a:ext cx="8410575" cy="987136"/>
        </a:xfrm>
        <a:prstGeom prst="rect">
          <a:avLst/>
        </a:prstGeom>
      </xdr:spPr>
    </xdr:pic>
    <xdr:clientData/>
  </xdr:twoCellAnchor>
  <xdr:twoCellAnchor editAs="oneCell">
    <xdr:from>
      <xdr:col>4</xdr:col>
      <xdr:colOff>367187</xdr:colOff>
      <xdr:row>1</xdr:row>
      <xdr:rowOff>76355</xdr:rowOff>
    </xdr:from>
    <xdr:to>
      <xdr:col>7</xdr:col>
      <xdr:colOff>165781</xdr:colOff>
      <xdr:row>2</xdr:row>
      <xdr:rowOff>206953</xdr:rowOff>
    </xdr:to>
    <xdr:pic>
      <xdr:nvPicPr>
        <xdr:cNvPr id="3" name="Imagem 2">
          <a:extLst>
            <a:ext uri="{FF2B5EF4-FFF2-40B4-BE49-F238E27FC236}">
              <a16:creationId xmlns="" xmlns:a16="http://schemas.microsoft.com/office/drawing/2014/main" id="{00000000-0008-0000-0F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253262" y="238280"/>
          <a:ext cx="1875044" cy="1016423"/>
        </a:xfrm>
        <a:prstGeom prst="rect">
          <a:avLst/>
        </a:prstGeom>
        <a:noFill/>
        <a:ln>
          <a:noFill/>
        </a:ln>
        <a:extLst>
          <a:ext uri="{53640926-AAD7-44D8-BBD7-CCE9431645EC}">
            <a14:shadowObscured xmlns:a14="http://schemas.microsoft.com/office/drawing/2010/main"/>
          </a:ext>
        </a:extLst>
      </xdr:spPr>
    </xdr:pic>
    <xdr:clientData/>
  </xdr:twoCellAnchor>
  <xdr:oneCellAnchor>
    <xdr:from>
      <xdr:col>4</xdr:col>
      <xdr:colOff>174593</xdr:colOff>
      <xdr:row>254</xdr:row>
      <xdr:rowOff>46513</xdr:rowOff>
    </xdr:from>
    <xdr:ext cx="779188" cy="172227"/>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 xmlns:a16="http://schemas.microsoft.com/office/drawing/2014/main" id="{00000000-0008-0000-0F00-000004000000}"/>
                </a:ext>
              </a:extLst>
            </xdr:cNvPr>
            <xdr:cNvSpPr txBox="1"/>
          </xdr:nvSpPr>
          <xdr:spPr>
            <a:xfrm>
              <a:off x="2860643" y="37098763"/>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=2.</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m:t>
                    </m:r>
                    <m:r>
                      <a:rPr lang="pt-BR" sz="1100" b="0" i="1">
                        <a:latin typeface="Cambria Math" panose="02040503050406030204" pitchFamily="18" charset="0"/>
                      </a:rPr>
                      <m:t>h</m:t>
                    </m:r>
                  </m:oMath>
                </m:oMathPara>
              </a14:m>
              <a:endParaRPr lang="pt-BR" sz="1100"/>
            </a:p>
          </xdr:txBody>
        </xdr:sp>
      </mc:Choice>
      <mc:Fallback xmlns="">
        <xdr:sp macro="" textlink="">
          <xdr:nvSpPr>
            <xdr:cNvPr id="4" name="CaixaDeTexto 3">
              <a:extLst>
                <a:ext uri="{FF2B5EF4-FFF2-40B4-BE49-F238E27FC236}">
                  <a16:creationId xmlns:a16="http://schemas.microsoft.com/office/drawing/2014/main" id="{2EFAB780-50D6-4635-9D7C-E54536354AD2}"/>
                </a:ext>
              </a:extLst>
            </xdr:cNvPr>
            <xdr:cNvSpPr txBox="1"/>
          </xdr:nvSpPr>
          <xdr:spPr>
            <a:xfrm>
              <a:off x="2860643" y="37098763"/>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i="0">
                  <a:latin typeface="Cambria Math" panose="02040503050406030204" pitchFamily="18" charset="0"/>
                </a:rPr>
                <a:t>𝐴=</a:t>
              </a:r>
              <a:r>
                <a:rPr lang="pt-BR" sz="1100" b="0" i="0">
                  <a:latin typeface="Cambria Math" panose="02040503050406030204" pitchFamily="18" charset="0"/>
                </a:rPr>
                <a:t>2.</a:t>
              </a:r>
              <a:r>
                <a:rPr lang="el-GR" sz="1100" i="0">
                  <a:latin typeface="Cambria Math" panose="02040503050406030204" pitchFamily="18" charset="0"/>
                </a:rPr>
                <a:t>𝜋</a:t>
              </a:r>
              <a:r>
                <a:rPr lang="pt-BR" sz="1100" b="0" i="0">
                  <a:latin typeface="Cambria Math" panose="02040503050406030204" pitchFamily="18" charset="0"/>
                </a:rPr>
                <a:t>.𝑟.ℎ</a:t>
              </a:r>
              <a:endParaRPr lang="pt-BR" sz="1100"/>
            </a:p>
          </xdr:txBody>
        </xdr:sp>
      </mc:Fallback>
    </mc:AlternateContent>
    <xdr:clientData/>
  </xdr:oneCellAnchor>
  <xdr:oneCellAnchor>
    <xdr:from>
      <xdr:col>4</xdr:col>
      <xdr:colOff>174593</xdr:colOff>
      <xdr:row>281</xdr:row>
      <xdr:rowOff>46513</xdr:rowOff>
    </xdr:from>
    <xdr:ext cx="703013" cy="174022"/>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 xmlns:a16="http://schemas.microsoft.com/office/drawing/2014/main" id="{00000000-0008-0000-0F00-000005000000}"/>
                </a:ext>
              </a:extLst>
            </xdr:cNvPr>
            <xdr:cNvSpPr txBox="1"/>
          </xdr:nvSpPr>
          <xdr:spPr>
            <a:xfrm>
              <a:off x="2860643" y="43671013"/>
              <a:ext cx="703013"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².</m:t>
                    </m:r>
                    <m:r>
                      <a:rPr lang="pt-BR" sz="1100" b="0" i="1">
                        <a:latin typeface="Cambria Math" panose="02040503050406030204" pitchFamily="18" charset="0"/>
                      </a:rPr>
                      <m:t>h</m:t>
                    </m:r>
                  </m:oMath>
                </m:oMathPara>
              </a14:m>
              <a:endParaRPr lang="pt-BR" sz="1100"/>
            </a:p>
          </xdr:txBody>
        </xdr:sp>
      </mc:Choice>
      <mc:Fallback xmlns="">
        <xdr:sp macro="" textlink="">
          <xdr:nvSpPr>
            <xdr:cNvPr id="5" name="CaixaDeTexto 4">
              <a:extLst>
                <a:ext uri="{FF2B5EF4-FFF2-40B4-BE49-F238E27FC236}">
                  <a16:creationId xmlns:a16="http://schemas.microsoft.com/office/drawing/2014/main" id="{AA96CE6F-8057-4EA8-949C-EF9B3FA3B2A7}"/>
                </a:ext>
              </a:extLst>
            </xdr:cNvPr>
            <xdr:cNvSpPr txBox="1"/>
          </xdr:nvSpPr>
          <xdr:spPr>
            <a:xfrm>
              <a:off x="2860643" y="43671013"/>
              <a:ext cx="703013"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a:t>
              </a:r>
              <a:r>
                <a:rPr lang="el-GR" sz="1100" i="0">
                  <a:latin typeface="Cambria Math" panose="02040503050406030204" pitchFamily="18" charset="0"/>
                </a:rPr>
                <a:t>𝜋</a:t>
              </a:r>
              <a:r>
                <a:rPr lang="pt-BR" sz="1100" b="0" i="0">
                  <a:latin typeface="Cambria Math" panose="02040503050406030204" pitchFamily="18" charset="0"/>
                </a:rPr>
                <a:t>.𝑟².ℎ</a:t>
              </a:r>
              <a:endParaRPr lang="pt-BR" sz="1100"/>
            </a:p>
          </xdr:txBody>
        </xdr:sp>
      </mc:Fallback>
    </mc:AlternateContent>
    <xdr:clientData/>
  </xdr:oneCellAnchor>
  <xdr:oneCellAnchor>
    <xdr:from>
      <xdr:col>4</xdr:col>
      <xdr:colOff>174593</xdr:colOff>
      <xdr:row>296</xdr:row>
      <xdr:rowOff>46513</xdr:rowOff>
    </xdr:from>
    <xdr:ext cx="779188" cy="172227"/>
    <mc:AlternateContent xmlns:mc="http://schemas.openxmlformats.org/markup-compatibility/2006" xmlns:a14="http://schemas.microsoft.com/office/drawing/2010/main">
      <mc:Choice Requires="a14">
        <xdr:sp macro="" textlink="">
          <xdr:nvSpPr>
            <xdr:cNvPr id="6" name="CaixaDeTexto 5">
              <a:extLst>
                <a:ext uri="{FF2B5EF4-FFF2-40B4-BE49-F238E27FC236}">
                  <a16:creationId xmlns="" xmlns:a16="http://schemas.microsoft.com/office/drawing/2014/main" id="{00000000-0008-0000-0F00-000006000000}"/>
                </a:ext>
              </a:extLst>
            </xdr:cNvPr>
            <xdr:cNvSpPr txBox="1"/>
          </xdr:nvSpPr>
          <xdr:spPr>
            <a:xfrm>
              <a:off x="2860643" y="37498813"/>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=2.</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m:t>
                    </m:r>
                    <m:r>
                      <a:rPr lang="pt-BR" sz="1100" b="0" i="1">
                        <a:latin typeface="Cambria Math" panose="02040503050406030204" pitchFamily="18" charset="0"/>
                      </a:rPr>
                      <m:t>h</m:t>
                    </m:r>
                  </m:oMath>
                </m:oMathPara>
              </a14:m>
              <a:endParaRPr lang="pt-BR" sz="1100"/>
            </a:p>
          </xdr:txBody>
        </xdr:sp>
      </mc:Choice>
      <mc:Fallback xmlns="">
        <xdr:sp macro="" textlink="">
          <xdr:nvSpPr>
            <xdr:cNvPr id="6" name="CaixaDeTexto 5">
              <a:extLst>
                <a:ext uri="{FF2B5EF4-FFF2-40B4-BE49-F238E27FC236}">
                  <a16:creationId xmlns:a16="http://schemas.microsoft.com/office/drawing/2014/main" id="{DB25E713-5260-4F4E-8A61-0B89CCC4B5A7}"/>
                </a:ext>
              </a:extLst>
            </xdr:cNvPr>
            <xdr:cNvSpPr txBox="1"/>
          </xdr:nvSpPr>
          <xdr:spPr>
            <a:xfrm>
              <a:off x="2860643" y="37498813"/>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𝐴=2.</a:t>
              </a:r>
              <a:r>
                <a:rPr lang="el-GR" sz="1100" i="0">
                  <a:latin typeface="Cambria Math" panose="02040503050406030204" pitchFamily="18" charset="0"/>
                </a:rPr>
                <a:t>𝜋</a:t>
              </a:r>
              <a:r>
                <a:rPr lang="pt-BR" sz="1100" b="0" i="0">
                  <a:latin typeface="Cambria Math" panose="02040503050406030204" pitchFamily="18" charset="0"/>
                </a:rPr>
                <a:t>.𝑟.ℎ</a:t>
              </a:r>
              <a:endParaRPr lang="pt-BR" sz="1100"/>
            </a:p>
          </xdr:txBody>
        </xdr:sp>
      </mc:Fallback>
    </mc:AlternateContent>
    <xdr:clientData/>
  </xdr:oneCellAnchor>
  <xdr:twoCellAnchor editAs="oneCell">
    <xdr:from>
      <xdr:col>8</xdr:col>
      <xdr:colOff>28575</xdr:colOff>
      <xdr:row>299</xdr:row>
      <xdr:rowOff>266699</xdr:rowOff>
    </xdr:from>
    <xdr:to>
      <xdr:col>12</xdr:col>
      <xdr:colOff>590550</xdr:colOff>
      <xdr:row>311</xdr:row>
      <xdr:rowOff>78398</xdr:rowOff>
    </xdr:to>
    <xdr:pic>
      <xdr:nvPicPr>
        <xdr:cNvPr id="10" name="Imagem 9">
          <a:extLst>
            <a:ext uri="{FF2B5EF4-FFF2-40B4-BE49-F238E27FC236}">
              <a16:creationId xmlns="" xmlns:a16="http://schemas.microsoft.com/office/drawing/2014/main" id="{00000000-0008-0000-0F00-00000A000000}"/>
            </a:ext>
          </a:extLst>
        </xdr:cNvPr>
        <xdr:cNvPicPr>
          <a:picLocks noChangeAspect="1"/>
        </xdr:cNvPicPr>
      </xdr:nvPicPr>
      <xdr:blipFill rotWithShape="1">
        <a:blip xmlns:r="http://schemas.openxmlformats.org/officeDocument/2006/relationships" r:embed="rId3"/>
        <a:srcRect l="35625" t="30889" r="34039" b="29009"/>
        <a:stretch/>
      </xdr:blipFill>
      <xdr:spPr>
        <a:xfrm>
          <a:off x="5400675" y="48025049"/>
          <a:ext cx="3000376" cy="2231049"/>
        </a:xfrm>
        <a:prstGeom prst="rect">
          <a:avLst/>
        </a:prstGeom>
      </xdr:spPr>
    </xdr:pic>
    <xdr:clientData/>
  </xdr:twoCellAnchor>
  <xdr:oneCellAnchor>
    <xdr:from>
      <xdr:col>4</xdr:col>
      <xdr:colOff>174593</xdr:colOff>
      <xdr:row>362</xdr:row>
      <xdr:rowOff>46513</xdr:rowOff>
    </xdr:from>
    <xdr:ext cx="703013" cy="174022"/>
    <mc:AlternateContent xmlns:mc="http://schemas.openxmlformats.org/markup-compatibility/2006" xmlns:a14="http://schemas.microsoft.com/office/drawing/2010/main">
      <mc:Choice Requires="a14">
        <xdr:sp macro="" textlink="">
          <xdr:nvSpPr>
            <xdr:cNvPr id="11" name="CaixaDeTexto 10">
              <a:extLst>
                <a:ext uri="{FF2B5EF4-FFF2-40B4-BE49-F238E27FC236}">
                  <a16:creationId xmlns="" xmlns:a16="http://schemas.microsoft.com/office/drawing/2014/main" id="{00000000-0008-0000-0F00-00000B000000}"/>
                </a:ext>
              </a:extLst>
            </xdr:cNvPr>
            <xdr:cNvSpPr txBox="1"/>
          </xdr:nvSpPr>
          <xdr:spPr>
            <a:xfrm>
              <a:off x="2860643" y="43671013"/>
              <a:ext cx="703013"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².</m:t>
                    </m:r>
                    <m:r>
                      <a:rPr lang="pt-BR" sz="1100" b="0" i="1">
                        <a:latin typeface="Cambria Math" panose="02040503050406030204" pitchFamily="18" charset="0"/>
                      </a:rPr>
                      <m:t>h</m:t>
                    </m:r>
                  </m:oMath>
                </m:oMathPara>
              </a14:m>
              <a:endParaRPr lang="pt-BR" sz="1100"/>
            </a:p>
          </xdr:txBody>
        </xdr:sp>
      </mc:Choice>
      <mc:Fallback xmlns="">
        <xdr:sp macro="" textlink="">
          <xdr:nvSpPr>
            <xdr:cNvPr id="11" name="CaixaDeTexto 10">
              <a:extLst>
                <a:ext uri="{FF2B5EF4-FFF2-40B4-BE49-F238E27FC236}">
                  <a16:creationId xmlns:a16="http://schemas.microsoft.com/office/drawing/2014/main" id="{F01EEC46-7F5F-46F6-93B0-DB1E395BEF25}"/>
                </a:ext>
              </a:extLst>
            </xdr:cNvPr>
            <xdr:cNvSpPr txBox="1"/>
          </xdr:nvSpPr>
          <xdr:spPr>
            <a:xfrm>
              <a:off x="2860643" y="43671013"/>
              <a:ext cx="703013"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a:t>
              </a:r>
              <a:r>
                <a:rPr lang="el-GR" sz="1100" i="0">
                  <a:latin typeface="Cambria Math" panose="02040503050406030204" pitchFamily="18" charset="0"/>
                </a:rPr>
                <a:t>𝜋</a:t>
              </a:r>
              <a:r>
                <a:rPr lang="pt-BR" sz="1100" b="0" i="0">
                  <a:latin typeface="Cambria Math" panose="02040503050406030204" pitchFamily="18" charset="0"/>
                </a:rPr>
                <a:t>.𝑟².ℎ</a:t>
              </a:r>
              <a:endParaRPr lang="pt-BR" sz="1100"/>
            </a:p>
          </xdr:txBody>
        </xdr:sp>
      </mc:Fallback>
    </mc:AlternateContent>
    <xdr:clientData/>
  </xdr:oneCellAnchor>
  <xdr:oneCellAnchor>
    <xdr:from>
      <xdr:col>4</xdr:col>
      <xdr:colOff>174593</xdr:colOff>
      <xdr:row>373</xdr:row>
      <xdr:rowOff>46513</xdr:rowOff>
    </xdr:from>
    <xdr:ext cx="779188" cy="172227"/>
    <mc:AlternateContent xmlns:mc="http://schemas.openxmlformats.org/markup-compatibility/2006" xmlns:a14="http://schemas.microsoft.com/office/drawing/2010/main">
      <mc:Choice Requires="a14">
        <xdr:sp macro="" textlink="">
          <xdr:nvSpPr>
            <xdr:cNvPr id="12" name="CaixaDeTexto 11">
              <a:extLst>
                <a:ext uri="{FF2B5EF4-FFF2-40B4-BE49-F238E27FC236}">
                  <a16:creationId xmlns="" xmlns:a16="http://schemas.microsoft.com/office/drawing/2014/main" id="{00000000-0008-0000-0F00-00000C000000}"/>
                </a:ext>
              </a:extLst>
            </xdr:cNvPr>
            <xdr:cNvSpPr txBox="1"/>
          </xdr:nvSpPr>
          <xdr:spPr>
            <a:xfrm>
              <a:off x="2860643" y="47204788"/>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=2.</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m:t>
                    </m:r>
                    <m:r>
                      <a:rPr lang="pt-BR" sz="1100" b="0" i="1">
                        <a:latin typeface="Cambria Math" panose="02040503050406030204" pitchFamily="18" charset="0"/>
                      </a:rPr>
                      <m:t>h</m:t>
                    </m:r>
                  </m:oMath>
                </m:oMathPara>
              </a14:m>
              <a:endParaRPr lang="pt-BR" sz="1100"/>
            </a:p>
          </xdr:txBody>
        </xdr:sp>
      </mc:Choice>
      <mc:Fallback xmlns="">
        <xdr:sp macro="" textlink="">
          <xdr:nvSpPr>
            <xdr:cNvPr id="12" name="CaixaDeTexto 11">
              <a:extLst>
                <a:ext uri="{FF2B5EF4-FFF2-40B4-BE49-F238E27FC236}">
                  <a16:creationId xmlns:a16="http://schemas.microsoft.com/office/drawing/2014/main" id="{0568A82C-97E5-4B0A-8B5F-5601F06A1BBF}"/>
                </a:ext>
              </a:extLst>
            </xdr:cNvPr>
            <xdr:cNvSpPr txBox="1"/>
          </xdr:nvSpPr>
          <xdr:spPr>
            <a:xfrm>
              <a:off x="2860643" y="47204788"/>
              <a:ext cx="77918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𝐴=2.</a:t>
              </a:r>
              <a:r>
                <a:rPr lang="el-GR" sz="1100" i="0">
                  <a:latin typeface="Cambria Math" panose="02040503050406030204" pitchFamily="18" charset="0"/>
                </a:rPr>
                <a:t>𝜋</a:t>
              </a:r>
              <a:r>
                <a:rPr lang="pt-BR" sz="1100" b="0" i="0">
                  <a:latin typeface="Cambria Math" panose="02040503050406030204" pitchFamily="18" charset="0"/>
                </a:rPr>
                <a:t>.𝑟.ℎ</a:t>
              </a:r>
              <a:endParaRPr lang="pt-BR" sz="1100"/>
            </a:p>
          </xdr:txBody>
        </xdr:sp>
      </mc:Fallback>
    </mc:AlternateContent>
    <xdr:clientData/>
  </xdr:oneCellAnchor>
  <xdr:oneCellAnchor>
    <xdr:from>
      <xdr:col>4</xdr:col>
      <xdr:colOff>184118</xdr:colOff>
      <xdr:row>377</xdr:row>
      <xdr:rowOff>27463</xdr:rowOff>
    </xdr:from>
    <xdr:ext cx="569900" cy="174022"/>
    <mc:AlternateContent xmlns:mc="http://schemas.openxmlformats.org/markup-compatibility/2006" xmlns:a14="http://schemas.microsoft.com/office/drawing/2010/main">
      <mc:Choice Requires="a14">
        <xdr:sp macro="" textlink="">
          <xdr:nvSpPr>
            <xdr:cNvPr id="14" name="CaixaDeTexto 13">
              <a:extLst>
                <a:ext uri="{FF2B5EF4-FFF2-40B4-BE49-F238E27FC236}">
                  <a16:creationId xmlns="" xmlns:a16="http://schemas.microsoft.com/office/drawing/2014/main" id="{00000000-0008-0000-0F00-00000E000000}"/>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²</m:t>
                    </m:r>
                  </m:oMath>
                </m:oMathPara>
              </a14:m>
              <a:endParaRPr lang="pt-BR" sz="1100"/>
            </a:p>
          </xdr:txBody>
        </xdr:sp>
      </mc:Choice>
      <mc:Fallback xmlns="">
        <xdr:sp macro="" textlink="">
          <xdr:nvSpPr>
            <xdr:cNvPr id="14" name="CaixaDeTexto 13">
              <a:extLst>
                <a:ext uri="{FF2B5EF4-FFF2-40B4-BE49-F238E27FC236}">
                  <a16:creationId xmlns:a16="http://schemas.microsoft.com/office/drawing/2014/main" id="{B181D605-8CE3-4582-B2DE-5C354108F39E}"/>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a:t>
              </a:r>
              <a:r>
                <a:rPr lang="el-GR" sz="1100" i="0">
                  <a:latin typeface="Cambria Math" panose="02040503050406030204" pitchFamily="18" charset="0"/>
                </a:rPr>
                <a:t>𝜋</a:t>
              </a:r>
              <a:r>
                <a:rPr lang="pt-BR" sz="1100" b="0" i="0">
                  <a:latin typeface="Cambria Math" panose="02040503050406030204" pitchFamily="18" charset="0"/>
                </a:rPr>
                <a:t>.𝑟²</a:t>
              </a:r>
              <a:endParaRPr lang="pt-BR" sz="1100"/>
            </a:p>
          </xdr:txBody>
        </xdr:sp>
      </mc:Fallback>
    </mc:AlternateContent>
    <xdr:clientData/>
  </xdr:oneCellAnchor>
  <xdr:oneCellAnchor>
    <xdr:from>
      <xdr:col>4</xdr:col>
      <xdr:colOff>184118</xdr:colOff>
      <xdr:row>393</xdr:row>
      <xdr:rowOff>27463</xdr:rowOff>
    </xdr:from>
    <xdr:ext cx="569900" cy="174022"/>
    <mc:AlternateContent xmlns:mc="http://schemas.openxmlformats.org/markup-compatibility/2006" xmlns:a14="http://schemas.microsoft.com/office/drawing/2010/main">
      <mc:Choice Requires="a14">
        <xdr:sp macro="" textlink="">
          <xdr:nvSpPr>
            <xdr:cNvPr id="15" name="CaixaDeTexto 14">
              <a:extLst>
                <a:ext uri="{FF2B5EF4-FFF2-40B4-BE49-F238E27FC236}">
                  <a16:creationId xmlns="" xmlns:a16="http://schemas.microsoft.com/office/drawing/2014/main" id="{00000000-0008-0000-0F00-00000F000000}"/>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²</m:t>
                    </m:r>
                  </m:oMath>
                </m:oMathPara>
              </a14:m>
              <a:endParaRPr lang="pt-BR" sz="1100"/>
            </a:p>
          </xdr:txBody>
        </xdr:sp>
      </mc:Choice>
      <mc:Fallback xmlns="">
        <xdr:sp macro="" textlink="">
          <xdr:nvSpPr>
            <xdr:cNvPr id="15" name="CaixaDeTexto 14">
              <a:extLst>
                <a:ext uri="{FF2B5EF4-FFF2-40B4-BE49-F238E27FC236}">
                  <a16:creationId xmlns:a16="http://schemas.microsoft.com/office/drawing/2014/main" id="{A23C9741-6CFE-4C5C-B15C-E2075BBB313B}"/>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a:t>
              </a:r>
              <a:r>
                <a:rPr lang="el-GR" sz="1100" i="0">
                  <a:latin typeface="Cambria Math" panose="02040503050406030204" pitchFamily="18" charset="0"/>
                </a:rPr>
                <a:t>𝜋</a:t>
              </a:r>
              <a:r>
                <a:rPr lang="pt-BR" sz="1100" b="0" i="0">
                  <a:latin typeface="Cambria Math" panose="02040503050406030204" pitchFamily="18" charset="0"/>
                </a:rPr>
                <a:t>.𝑟²</a:t>
              </a:r>
              <a:endParaRPr lang="pt-BR" sz="1100"/>
            </a:p>
          </xdr:txBody>
        </xdr:sp>
      </mc:Fallback>
    </mc:AlternateContent>
    <xdr:clientData/>
  </xdr:oneCellAnchor>
  <xdr:oneCellAnchor>
    <xdr:from>
      <xdr:col>4</xdr:col>
      <xdr:colOff>184118</xdr:colOff>
      <xdr:row>400</xdr:row>
      <xdr:rowOff>27463</xdr:rowOff>
    </xdr:from>
    <xdr:ext cx="569900" cy="174022"/>
    <mc:AlternateContent xmlns:mc="http://schemas.openxmlformats.org/markup-compatibility/2006" xmlns:a14="http://schemas.microsoft.com/office/drawing/2010/main">
      <mc:Choice Requires="a14">
        <xdr:sp macro="" textlink="">
          <xdr:nvSpPr>
            <xdr:cNvPr id="16" name="CaixaDeTexto 15">
              <a:extLst>
                <a:ext uri="{FF2B5EF4-FFF2-40B4-BE49-F238E27FC236}">
                  <a16:creationId xmlns="" xmlns:a16="http://schemas.microsoft.com/office/drawing/2014/main" id="{00000000-0008-0000-0F00-000010000000}"/>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i="1">
                        <a:latin typeface="Cambria Math" panose="02040503050406030204" pitchFamily="18" charset="0"/>
                      </a:rPr>
                      <m:t>𝐴</m:t>
                    </m:r>
                    <m:r>
                      <a:rPr lang="pt-BR" sz="1100" i="1">
                        <a:latin typeface="Cambria Math" panose="02040503050406030204" pitchFamily="18" charset="0"/>
                      </a:rPr>
                      <m:t>=</m:t>
                    </m:r>
                    <m:r>
                      <a:rPr lang="el-GR" sz="1100" i="1">
                        <a:latin typeface="Cambria Math" panose="02040503050406030204" pitchFamily="18" charset="0"/>
                      </a:rPr>
                      <m:t>𝜋</m:t>
                    </m:r>
                    <m:r>
                      <a:rPr lang="pt-BR" sz="1100" b="0" i="1">
                        <a:latin typeface="Cambria Math" panose="02040503050406030204" pitchFamily="18" charset="0"/>
                      </a:rPr>
                      <m:t>.</m:t>
                    </m:r>
                    <m:r>
                      <a:rPr lang="pt-BR" sz="1100" b="0" i="1">
                        <a:latin typeface="Cambria Math" panose="02040503050406030204" pitchFamily="18" charset="0"/>
                      </a:rPr>
                      <m:t>𝑟</m:t>
                    </m:r>
                    <m:r>
                      <a:rPr lang="pt-BR" sz="1100" b="0" i="1">
                        <a:latin typeface="Cambria Math" panose="02040503050406030204" pitchFamily="18" charset="0"/>
                      </a:rPr>
                      <m:t>²</m:t>
                    </m:r>
                  </m:oMath>
                </m:oMathPara>
              </a14:m>
              <a:endParaRPr lang="pt-BR" sz="1100"/>
            </a:p>
          </xdr:txBody>
        </xdr:sp>
      </mc:Choice>
      <mc:Fallback xmlns="">
        <xdr:sp macro="" textlink="">
          <xdr:nvSpPr>
            <xdr:cNvPr id="16" name="CaixaDeTexto 15">
              <a:extLst>
                <a:ext uri="{FF2B5EF4-FFF2-40B4-BE49-F238E27FC236}">
                  <a16:creationId xmlns:a16="http://schemas.microsoft.com/office/drawing/2014/main" id="{CC61FA1D-BBC1-4CF1-B41A-9F82E5B738D5}"/>
                </a:ext>
              </a:extLst>
            </xdr:cNvPr>
            <xdr:cNvSpPr txBox="1"/>
          </xdr:nvSpPr>
          <xdr:spPr>
            <a:xfrm>
              <a:off x="2870168" y="64083088"/>
              <a:ext cx="569900" cy="1740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i="0">
                  <a:latin typeface="Cambria Math" panose="02040503050406030204" pitchFamily="18" charset="0"/>
                </a:rPr>
                <a:t>𝐴=</a:t>
              </a:r>
              <a:r>
                <a:rPr lang="el-GR" sz="1100" i="0">
                  <a:latin typeface="Cambria Math" panose="02040503050406030204" pitchFamily="18" charset="0"/>
                </a:rPr>
                <a:t>𝜋</a:t>
              </a:r>
              <a:r>
                <a:rPr lang="pt-BR" sz="1100" b="0" i="0">
                  <a:latin typeface="Cambria Math" panose="02040503050406030204" pitchFamily="18" charset="0"/>
                </a:rPr>
                <a:t>.𝑟²</a:t>
              </a:r>
              <a:endParaRPr lang="pt-BR" sz="1100"/>
            </a:p>
          </xdr:txBody>
        </xdr:sp>
      </mc:Fallback>
    </mc:AlternateContent>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xdr:colOff>
      <xdr:row>1</xdr:row>
      <xdr:rowOff>825211</xdr:rowOff>
    </xdr:to>
    <xdr:pic>
      <xdr:nvPicPr>
        <xdr:cNvPr id="2" name="Imagem 1">
          <a:extLst>
            <a:ext uri="{FF2B5EF4-FFF2-40B4-BE49-F238E27FC236}">
              <a16:creationId xmlns=""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124825" cy="987136"/>
        </a:xfrm>
        <a:prstGeom prst="rect">
          <a:avLst/>
        </a:prstGeom>
      </xdr:spPr>
    </xdr:pic>
    <xdr:clientData/>
  </xdr:twoCellAnchor>
  <xdr:twoCellAnchor editAs="oneCell">
    <xdr:from>
      <xdr:col>4</xdr:col>
      <xdr:colOff>481487</xdr:colOff>
      <xdr:row>1</xdr:row>
      <xdr:rowOff>47780</xdr:rowOff>
    </xdr:from>
    <xdr:to>
      <xdr:col>7</xdr:col>
      <xdr:colOff>208950</xdr:colOff>
      <xdr:row>3</xdr:row>
      <xdr:rowOff>16453</xdr:rowOff>
    </xdr:to>
    <xdr:pic>
      <xdr:nvPicPr>
        <xdr:cNvPr id="3" name="Imagem 2">
          <a:extLst>
            <a:ext uri="{FF2B5EF4-FFF2-40B4-BE49-F238E27FC236}">
              <a16:creationId xmlns="" xmlns:a16="http://schemas.microsoft.com/office/drawing/2014/main" id="{00000000-0008-0000-1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919887" y="209705"/>
          <a:ext cx="1746763" cy="101642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714374</xdr:colOff>
      <xdr:row>14</xdr:row>
      <xdr:rowOff>123824</xdr:rowOff>
    </xdr:from>
    <xdr:to>
      <xdr:col>11</xdr:col>
      <xdr:colOff>48941</xdr:colOff>
      <xdr:row>21</xdr:row>
      <xdr:rowOff>276225</xdr:rowOff>
    </xdr:to>
    <xdr:pic>
      <xdr:nvPicPr>
        <xdr:cNvPr id="4" name="Imagem 3" descr="INCEPA KIT VASO/CX ACOPL/ACESSORIOS THEMA PRETO - Chafariz - Materiais de  Construção">
          <a:extLst>
            <a:ext uri="{FF2B5EF4-FFF2-40B4-BE49-F238E27FC236}">
              <a16:creationId xmlns="" xmlns:a16="http://schemas.microsoft.com/office/drawing/2014/main" id="{00000000-0008-0000-1000-000004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0807" b="20807"/>
        <a:stretch/>
      </xdr:blipFill>
      <xdr:spPr bwMode="auto">
        <a:xfrm>
          <a:off x="3895724" y="4067174"/>
          <a:ext cx="3649392" cy="2000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209550</xdr:colOff>
      <xdr:row>27</xdr:row>
      <xdr:rowOff>37542</xdr:rowOff>
    </xdr:from>
    <xdr:to>
      <xdr:col>12</xdr:col>
      <xdr:colOff>405392</xdr:colOff>
      <xdr:row>35</xdr:row>
      <xdr:rowOff>257176</xdr:rowOff>
    </xdr:to>
    <xdr:pic>
      <xdr:nvPicPr>
        <xdr:cNvPr id="9" name="Imagem 8">
          <a:extLst>
            <a:ext uri="{FF2B5EF4-FFF2-40B4-BE49-F238E27FC236}">
              <a16:creationId xmlns="" xmlns:a16="http://schemas.microsoft.com/office/drawing/2014/main" id="{00000000-0008-0000-1000-000009000000}"/>
            </a:ext>
          </a:extLst>
        </xdr:cNvPr>
        <xdr:cNvPicPr>
          <a:picLocks noChangeAspect="1"/>
        </xdr:cNvPicPr>
      </xdr:nvPicPr>
      <xdr:blipFill rotWithShape="1">
        <a:blip xmlns:r="http://schemas.openxmlformats.org/officeDocument/2006/relationships" r:embed="rId4"/>
        <a:srcRect l="21983" t="7631" r="14337" b="69606"/>
        <a:stretch/>
      </xdr:blipFill>
      <xdr:spPr>
        <a:xfrm>
          <a:off x="4800600" y="7305117"/>
          <a:ext cx="3710567" cy="187698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686953</xdr:colOff>
      <xdr:row>1</xdr:row>
      <xdr:rowOff>822613</xdr:rowOff>
    </xdr:to>
    <xdr:pic>
      <xdr:nvPicPr>
        <xdr:cNvPr id="2" name="Imagem 1">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57678" cy="984538"/>
        </a:xfrm>
        <a:prstGeom prst="rect">
          <a:avLst/>
        </a:prstGeom>
      </xdr:spPr>
    </xdr:pic>
    <xdr:clientData/>
  </xdr:twoCellAnchor>
  <xdr:twoCellAnchor editAs="oneCell">
    <xdr:from>
      <xdr:col>4</xdr:col>
      <xdr:colOff>521319</xdr:colOff>
      <xdr:row>1</xdr:row>
      <xdr:rowOff>71159</xdr:rowOff>
    </xdr:from>
    <xdr:to>
      <xdr:col>6</xdr:col>
      <xdr:colOff>452325</xdr:colOff>
      <xdr:row>3</xdr:row>
      <xdr:rowOff>3272</xdr:rowOff>
    </xdr:to>
    <xdr:pic>
      <xdr:nvPicPr>
        <xdr:cNvPr id="3" name="Imagem 2">
          <a:extLst>
            <a:ext uri="{FF2B5EF4-FFF2-40B4-BE49-F238E27FC236}">
              <a16:creationId xmlns="" xmlns:a16="http://schemas.microsoft.com/office/drawing/2014/main" id="{00000000-0008-0000-11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245469" y="233084"/>
          <a:ext cx="1597881" cy="10190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349251</xdr:colOff>
      <xdr:row>34</xdr:row>
      <xdr:rowOff>116417</xdr:rowOff>
    </xdr:from>
    <xdr:to>
      <xdr:col>7</xdr:col>
      <xdr:colOff>95250</xdr:colOff>
      <xdr:row>43</xdr:row>
      <xdr:rowOff>33485</xdr:rowOff>
    </xdr:to>
    <xdr:pic>
      <xdr:nvPicPr>
        <xdr:cNvPr id="6" name="Imagem 5">
          <a:extLst>
            <a:ext uri="{FF2B5EF4-FFF2-40B4-BE49-F238E27FC236}">
              <a16:creationId xmlns="" xmlns:a16="http://schemas.microsoft.com/office/drawing/2014/main" id="{00000000-0008-0000-1100-000006000000}"/>
            </a:ext>
          </a:extLst>
        </xdr:cNvPr>
        <xdr:cNvPicPr>
          <a:picLocks noChangeAspect="1"/>
        </xdr:cNvPicPr>
      </xdr:nvPicPr>
      <xdr:blipFill rotWithShape="1">
        <a:blip xmlns:r="http://schemas.openxmlformats.org/officeDocument/2006/relationships" r:embed="rId3"/>
        <a:srcRect l="38602" t="43641" r="38500" b="33844"/>
        <a:stretch/>
      </xdr:blipFill>
      <xdr:spPr>
        <a:xfrm>
          <a:off x="2328334" y="6096000"/>
          <a:ext cx="3122083" cy="172681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184245</xdr:colOff>
      <xdr:row>1</xdr:row>
      <xdr:rowOff>822613</xdr:rowOff>
    </xdr:to>
    <xdr:pic>
      <xdr:nvPicPr>
        <xdr:cNvPr id="2" name="Imagem 1">
          <a:extLst>
            <a:ext uri="{FF2B5EF4-FFF2-40B4-BE49-F238E27FC236}">
              <a16:creationId xmlns=""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64028" cy="984538"/>
        </a:xfrm>
        <a:prstGeom prst="rect">
          <a:avLst/>
        </a:prstGeom>
      </xdr:spPr>
    </xdr:pic>
    <xdr:clientData/>
  </xdr:twoCellAnchor>
  <xdr:twoCellAnchor editAs="oneCell">
    <xdr:from>
      <xdr:col>4</xdr:col>
      <xdr:colOff>521319</xdr:colOff>
      <xdr:row>1</xdr:row>
      <xdr:rowOff>71159</xdr:rowOff>
    </xdr:from>
    <xdr:to>
      <xdr:col>6</xdr:col>
      <xdr:colOff>345168</xdr:colOff>
      <xdr:row>3</xdr:row>
      <xdr:rowOff>3272</xdr:rowOff>
    </xdr:to>
    <xdr:pic>
      <xdr:nvPicPr>
        <xdr:cNvPr id="3" name="Imagem 2">
          <a:extLst>
            <a:ext uri="{FF2B5EF4-FFF2-40B4-BE49-F238E27FC236}">
              <a16:creationId xmlns="" xmlns:a16="http://schemas.microsoft.com/office/drawing/2014/main" id="{00000000-0008-0000-12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283569" y="233084"/>
          <a:ext cx="1597881" cy="10190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63500</xdr:colOff>
      <xdr:row>12</xdr:row>
      <xdr:rowOff>134567</xdr:rowOff>
    </xdr:from>
    <xdr:to>
      <xdr:col>4</xdr:col>
      <xdr:colOff>632354</xdr:colOff>
      <xdr:row>23</xdr:row>
      <xdr:rowOff>15239</xdr:rowOff>
    </xdr:to>
    <xdr:pic>
      <xdr:nvPicPr>
        <xdr:cNvPr id="4" name="Imagem 3">
          <a:extLst>
            <a:ext uri="{FF2B5EF4-FFF2-40B4-BE49-F238E27FC236}">
              <a16:creationId xmlns="" xmlns:a16="http://schemas.microsoft.com/office/drawing/2014/main" id="{00000000-0008-0000-1200-000004000000}"/>
            </a:ext>
          </a:extLst>
        </xdr:cNvPr>
        <xdr:cNvPicPr>
          <a:picLocks noChangeAspect="1"/>
        </xdr:cNvPicPr>
      </xdr:nvPicPr>
      <xdr:blipFill>
        <a:blip xmlns:r="http://schemas.openxmlformats.org/officeDocument/2006/relationships" r:embed="rId3"/>
        <a:stretch>
          <a:fillRect/>
        </a:stretch>
      </xdr:blipFill>
      <xdr:spPr>
        <a:xfrm>
          <a:off x="63500" y="3648234"/>
          <a:ext cx="3725333" cy="2092589"/>
        </a:xfrm>
        <a:prstGeom prst="rect">
          <a:avLst/>
        </a:prstGeom>
      </xdr:spPr>
    </xdr:pic>
    <xdr:clientData/>
  </xdr:twoCellAnchor>
  <xdr:twoCellAnchor editAs="oneCell">
    <xdr:from>
      <xdr:col>5</xdr:col>
      <xdr:colOff>476249</xdr:colOff>
      <xdr:row>12</xdr:row>
      <xdr:rowOff>113853</xdr:rowOff>
    </xdr:from>
    <xdr:to>
      <xdr:col>9</xdr:col>
      <xdr:colOff>567677</xdr:colOff>
      <xdr:row>23</xdr:row>
      <xdr:rowOff>5012</xdr:rowOff>
    </xdr:to>
    <xdr:pic>
      <xdr:nvPicPr>
        <xdr:cNvPr id="5" name="Imagem 4">
          <a:extLst>
            <a:ext uri="{FF2B5EF4-FFF2-40B4-BE49-F238E27FC236}">
              <a16:creationId xmlns="" xmlns:a16="http://schemas.microsoft.com/office/drawing/2014/main" id="{00000000-0008-0000-1200-000005000000}"/>
            </a:ext>
          </a:extLst>
        </xdr:cNvPr>
        <xdr:cNvPicPr>
          <a:picLocks noChangeAspect="1"/>
        </xdr:cNvPicPr>
      </xdr:nvPicPr>
      <xdr:blipFill>
        <a:blip xmlns:r="http://schemas.openxmlformats.org/officeDocument/2006/relationships" r:embed="rId4"/>
        <a:stretch>
          <a:fillRect/>
        </a:stretch>
      </xdr:blipFill>
      <xdr:spPr>
        <a:xfrm>
          <a:off x="4011082" y="3627520"/>
          <a:ext cx="3744000" cy="21030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243776</xdr:colOff>
      <xdr:row>1</xdr:row>
      <xdr:rowOff>822613</xdr:rowOff>
    </xdr:to>
    <xdr:pic>
      <xdr:nvPicPr>
        <xdr:cNvPr id="2" name="Imagem 1">
          <a:extLst>
            <a:ext uri="{FF2B5EF4-FFF2-40B4-BE49-F238E27FC236}">
              <a16:creationId xmlns=""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54238" cy="984538"/>
        </a:xfrm>
        <a:prstGeom prst="rect">
          <a:avLst/>
        </a:prstGeom>
      </xdr:spPr>
    </xdr:pic>
    <xdr:clientData/>
  </xdr:twoCellAnchor>
  <xdr:twoCellAnchor editAs="oneCell">
    <xdr:from>
      <xdr:col>4</xdr:col>
      <xdr:colOff>521319</xdr:colOff>
      <xdr:row>1</xdr:row>
      <xdr:rowOff>71159</xdr:rowOff>
    </xdr:from>
    <xdr:to>
      <xdr:col>6</xdr:col>
      <xdr:colOff>452325</xdr:colOff>
      <xdr:row>3</xdr:row>
      <xdr:rowOff>4330</xdr:rowOff>
    </xdr:to>
    <xdr:pic>
      <xdr:nvPicPr>
        <xdr:cNvPr id="3" name="Imagem 2">
          <a:extLst>
            <a:ext uri="{FF2B5EF4-FFF2-40B4-BE49-F238E27FC236}">
              <a16:creationId xmlns="" xmlns:a16="http://schemas.microsoft.com/office/drawing/2014/main" id="{00000000-0008-0000-13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597894" y="233084"/>
          <a:ext cx="1597881" cy="10190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164305</xdr:colOff>
      <xdr:row>21</xdr:row>
      <xdr:rowOff>271462</xdr:rowOff>
    </xdr:from>
    <xdr:to>
      <xdr:col>7</xdr:col>
      <xdr:colOff>134273</xdr:colOff>
      <xdr:row>28</xdr:row>
      <xdr:rowOff>180975</xdr:rowOff>
    </xdr:to>
    <xdr:pic>
      <xdr:nvPicPr>
        <xdr:cNvPr id="14" name="Imagem 13">
          <a:extLst>
            <a:ext uri="{FF2B5EF4-FFF2-40B4-BE49-F238E27FC236}">
              <a16:creationId xmlns="" xmlns:a16="http://schemas.microsoft.com/office/drawing/2014/main" id="{00000000-0008-0000-1300-00000E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757" b="-1"/>
        <a:stretch/>
      </xdr:blipFill>
      <xdr:spPr bwMode="auto">
        <a:xfrm>
          <a:off x="4136230" y="5710237"/>
          <a:ext cx="1817818" cy="190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631031</xdr:colOff>
      <xdr:row>140</xdr:row>
      <xdr:rowOff>68527</xdr:rowOff>
    </xdr:from>
    <xdr:to>
      <xdr:col>8</xdr:col>
      <xdr:colOff>369093</xdr:colOff>
      <xdr:row>149</xdr:row>
      <xdr:rowOff>107154</xdr:rowOff>
    </xdr:to>
    <xdr:pic>
      <xdr:nvPicPr>
        <xdr:cNvPr id="18" name="Imagem 17" descr="19 ideias de Jardim sensorial | jardim sensorial, jardim, sensoriais">
          <a:extLst>
            <a:ext uri="{FF2B5EF4-FFF2-40B4-BE49-F238E27FC236}">
              <a16:creationId xmlns="" xmlns:a16="http://schemas.microsoft.com/office/drawing/2014/main" id="{00000000-0008-0000-1300-000012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7697" r="24438" b="26555"/>
        <a:stretch/>
      </xdr:blipFill>
      <xdr:spPr bwMode="auto">
        <a:xfrm>
          <a:off x="4607719" y="31381965"/>
          <a:ext cx="2452687" cy="2074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552450</xdr:colOff>
      <xdr:row>22</xdr:row>
      <xdr:rowOff>14287</xdr:rowOff>
    </xdr:from>
    <xdr:to>
      <xdr:col>4</xdr:col>
      <xdr:colOff>230274</xdr:colOff>
      <xdr:row>28</xdr:row>
      <xdr:rowOff>219075</xdr:rowOff>
    </xdr:to>
    <xdr:pic>
      <xdr:nvPicPr>
        <xdr:cNvPr id="9" name="Imagem 8" descr="Apae Limeira ganha novo parque em ação solidária">
          <a:extLst>
            <a:ext uri="{FF2B5EF4-FFF2-40B4-BE49-F238E27FC236}">
              <a16:creationId xmlns=""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2450" y="5738812"/>
          <a:ext cx="2878224" cy="1919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395740</xdr:colOff>
      <xdr:row>30</xdr:row>
      <xdr:rowOff>66675</xdr:rowOff>
    </xdr:from>
    <xdr:to>
      <xdr:col>8</xdr:col>
      <xdr:colOff>762857</xdr:colOff>
      <xdr:row>48</xdr:row>
      <xdr:rowOff>223836</xdr:rowOff>
    </xdr:to>
    <xdr:pic>
      <xdr:nvPicPr>
        <xdr:cNvPr id="5" name="Imagem 4">
          <a:extLst>
            <a:ext uri="{FF2B5EF4-FFF2-40B4-BE49-F238E27FC236}">
              <a16:creationId xmlns="" xmlns:a16="http://schemas.microsoft.com/office/drawing/2014/main" id="{6D8D9652-FE0E-4DF5-B444-9DE02E102953}"/>
            </a:ext>
          </a:extLst>
        </xdr:cNvPr>
        <xdr:cNvPicPr>
          <a:picLocks noChangeAspect="1"/>
        </xdr:cNvPicPr>
      </xdr:nvPicPr>
      <xdr:blipFill rotWithShape="1">
        <a:blip xmlns:r="http://schemas.openxmlformats.org/officeDocument/2006/relationships" r:embed="rId6"/>
        <a:srcRect l="26373" t="21031" r="38834" b="11164"/>
        <a:stretch/>
      </xdr:blipFill>
      <xdr:spPr>
        <a:xfrm>
          <a:off x="3596140" y="8601075"/>
          <a:ext cx="3853267" cy="4271961"/>
        </a:xfrm>
        <a:prstGeom prst="rect">
          <a:avLst/>
        </a:prstGeom>
      </xdr:spPr>
    </xdr:pic>
    <xdr:clientData/>
  </xdr:twoCellAnchor>
  <xdr:twoCellAnchor editAs="oneCell">
    <xdr:from>
      <xdr:col>0</xdr:col>
      <xdr:colOff>552451</xdr:colOff>
      <xdr:row>41</xdr:row>
      <xdr:rowOff>190500</xdr:rowOff>
    </xdr:from>
    <xdr:to>
      <xdr:col>3</xdr:col>
      <xdr:colOff>466258</xdr:colOff>
      <xdr:row>48</xdr:row>
      <xdr:rowOff>161925</xdr:rowOff>
    </xdr:to>
    <xdr:pic>
      <xdr:nvPicPr>
        <xdr:cNvPr id="8" name="Imagem 7" descr="Escola inaugura jardim sensorial para estimular sentidos dos alunos –  Imprensa Rio Claro-SP">
          <a:extLst>
            <a:ext uri="{FF2B5EF4-FFF2-40B4-BE49-F238E27FC236}">
              <a16:creationId xmlns="" xmlns:a16="http://schemas.microsoft.com/office/drawing/2014/main" id="{60830F53-40C9-4F03-8EF4-D60A42B08BF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2451" y="11239500"/>
          <a:ext cx="2361732"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677334</xdr:colOff>
      <xdr:row>2</xdr:row>
      <xdr:rowOff>0</xdr:rowOff>
    </xdr:to>
    <xdr:pic>
      <xdr:nvPicPr>
        <xdr:cNvPr id="2" name="Imagem 1">
          <a:extLst>
            <a:ext uri="{FF2B5EF4-FFF2-40B4-BE49-F238E27FC236}">
              <a16:creationId xmlns=""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085667" cy="1047750"/>
        </a:xfrm>
        <a:prstGeom prst="rect">
          <a:avLst/>
        </a:prstGeom>
      </xdr:spPr>
    </xdr:pic>
    <xdr:clientData/>
  </xdr:twoCellAnchor>
  <xdr:twoCellAnchor editAs="oneCell">
    <xdr:from>
      <xdr:col>4</xdr:col>
      <xdr:colOff>521319</xdr:colOff>
      <xdr:row>1</xdr:row>
      <xdr:rowOff>71159</xdr:rowOff>
    </xdr:from>
    <xdr:to>
      <xdr:col>6</xdr:col>
      <xdr:colOff>452325</xdr:colOff>
      <xdr:row>2</xdr:row>
      <xdr:rowOff>204355</xdr:rowOff>
    </xdr:to>
    <xdr:pic>
      <xdr:nvPicPr>
        <xdr:cNvPr id="3" name="Imagem 2">
          <a:extLst>
            <a:ext uri="{FF2B5EF4-FFF2-40B4-BE49-F238E27FC236}">
              <a16:creationId xmlns="" xmlns:a16="http://schemas.microsoft.com/office/drawing/2014/main" id="{00000000-0008-0000-17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245469" y="233084"/>
          <a:ext cx="1597881" cy="10190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84677</xdr:colOff>
      <xdr:row>12</xdr:row>
      <xdr:rowOff>74082</xdr:rowOff>
    </xdr:from>
    <xdr:to>
      <xdr:col>2</xdr:col>
      <xdr:colOff>836084</xdr:colOff>
      <xdr:row>24</xdr:row>
      <xdr:rowOff>31749</xdr:rowOff>
    </xdr:to>
    <xdr:pic>
      <xdr:nvPicPr>
        <xdr:cNvPr id="6" name="Imagem 5">
          <a:extLst>
            <a:ext uri="{FF2B5EF4-FFF2-40B4-BE49-F238E27FC236}">
              <a16:creationId xmlns="" xmlns:a16="http://schemas.microsoft.com/office/drawing/2014/main" id="{03B0BACE-9604-4E89-80CE-60A8C25860EB}"/>
            </a:ext>
          </a:extLst>
        </xdr:cNvPr>
        <xdr:cNvPicPr/>
      </xdr:nvPicPr>
      <xdr:blipFill rotWithShape="1">
        <a:blip xmlns:r="http://schemas.openxmlformats.org/officeDocument/2006/relationships" r:embed="rId3"/>
        <a:srcRect l="35101" t="16829" r="37735" b="45092"/>
        <a:stretch/>
      </xdr:blipFill>
      <xdr:spPr bwMode="auto">
        <a:xfrm>
          <a:off x="84677" y="3524249"/>
          <a:ext cx="2222490" cy="198966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95256</xdr:colOff>
      <xdr:row>12</xdr:row>
      <xdr:rowOff>52916</xdr:rowOff>
    </xdr:from>
    <xdr:to>
      <xdr:col>6</xdr:col>
      <xdr:colOff>137585</xdr:colOff>
      <xdr:row>24</xdr:row>
      <xdr:rowOff>0</xdr:rowOff>
    </xdr:to>
    <xdr:pic>
      <xdr:nvPicPr>
        <xdr:cNvPr id="7" name="Imagem 6">
          <a:extLst>
            <a:ext uri="{FF2B5EF4-FFF2-40B4-BE49-F238E27FC236}">
              <a16:creationId xmlns="" xmlns:a16="http://schemas.microsoft.com/office/drawing/2014/main" id="{7258451F-D6D9-4276-A01D-C641798DD639}"/>
            </a:ext>
          </a:extLst>
        </xdr:cNvPr>
        <xdr:cNvPicPr/>
      </xdr:nvPicPr>
      <xdr:blipFill rotWithShape="1">
        <a:blip xmlns:r="http://schemas.openxmlformats.org/officeDocument/2006/relationships" r:embed="rId3"/>
        <a:srcRect l="35101" t="55081" r="37735" b="10270"/>
        <a:stretch/>
      </xdr:blipFill>
      <xdr:spPr bwMode="auto">
        <a:xfrm>
          <a:off x="2317756" y="3503083"/>
          <a:ext cx="2465912" cy="197908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0</xdr:colOff>
      <xdr:row>25</xdr:row>
      <xdr:rowOff>0</xdr:rowOff>
    </xdr:from>
    <xdr:to>
      <xdr:col>8</xdr:col>
      <xdr:colOff>304800</xdr:colOff>
      <xdr:row>26</xdr:row>
      <xdr:rowOff>133351</xdr:rowOff>
    </xdr:to>
    <xdr:sp macro="" textlink="">
      <xdr:nvSpPr>
        <xdr:cNvPr id="35842" name="AutoShape 2">
          <a:extLst>
            <a:ext uri="{FF2B5EF4-FFF2-40B4-BE49-F238E27FC236}">
              <a16:creationId xmlns="" xmlns:a16="http://schemas.microsoft.com/office/drawing/2014/main" id="{E53FEB88-5567-44A3-B766-E3B970FB30F3}"/>
            </a:ext>
          </a:extLst>
        </xdr:cNvPr>
        <xdr:cNvSpPr>
          <a:spLocks noChangeAspect="1" noChangeArrowheads="1"/>
        </xdr:cNvSpPr>
      </xdr:nvSpPr>
      <xdr:spPr bwMode="auto">
        <a:xfrm>
          <a:off x="6457950" y="5857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317497</xdr:colOff>
      <xdr:row>10</xdr:row>
      <xdr:rowOff>10579</xdr:rowOff>
    </xdr:from>
    <xdr:to>
      <xdr:col>9</xdr:col>
      <xdr:colOff>624415</xdr:colOff>
      <xdr:row>24</xdr:row>
      <xdr:rowOff>60892</xdr:rowOff>
    </xdr:to>
    <xdr:pic>
      <xdr:nvPicPr>
        <xdr:cNvPr id="9" name="Imagem 8" descr="Piscinas: o que preciso saber para construir uma? - Alcance Engenharia Jr">
          <a:extLst>
            <a:ext uri="{FF2B5EF4-FFF2-40B4-BE49-F238E27FC236}">
              <a16:creationId xmlns="" xmlns:a16="http://schemas.microsoft.com/office/drawing/2014/main" id="{53B8639E-4862-46DD-BB7D-560393128DC5}"/>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047" t="2848" r="29338" b="-1"/>
        <a:stretch/>
      </xdr:blipFill>
      <xdr:spPr bwMode="auto">
        <a:xfrm>
          <a:off x="5079997" y="2920996"/>
          <a:ext cx="2952751" cy="242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0</xdr:colOff>
      <xdr:row>25</xdr:row>
      <xdr:rowOff>0</xdr:rowOff>
    </xdr:from>
    <xdr:ext cx="304800" cy="301438"/>
    <xdr:sp macro="" textlink="">
      <xdr:nvSpPr>
        <xdr:cNvPr id="8" name="AutoShape 2">
          <a:extLst>
            <a:ext uri="{FF2B5EF4-FFF2-40B4-BE49-F238E27FC236}">
              <a16:creationId xmlns="" xmlns:a16="http://schemas.microsoft.com/office/drawing/2014/main" id="{08FE5D01-FBB8-47AD-9E4C-253E7F672D7C}"/>
            </a:ext>
          </a:extLst>
        </xdr:cNvPr>
        <xdr:cNvSpPr>
          <a:spLocks noChangeAspect="1" noChangeArrowheads="1"/>
        </xdr:cNvSpPr>
      </xdr:nvSpPr>
      <xdr:spPr bwMode="auto">
        <a:xfrm>
          <a:off x="6454588" y="5793441"/>
          <a:ext cx="304800" cy="301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369795</xdr:colOff>
      <xdr:row>467</xdr:row>
      <xdr:rowOff>112059</xdr:rowOff>
    </xdr:from>
    <xdr:to>
      <xdr:col>4</xdr:col>
      <xdr:colOff>249065</xdr:colOff>
      <xdr:row>475</xdr:row>
      <xdr:rowOff>134472</xdr:rowOff>
    </xdr:to>
    <xdr:pic>
      <xdr:nvPicPr>
        <xdr:cNvPr id="14" name="Imagem 13" descr="Lajes Real de Sorocaba - Abertura na laje e fechamento de bordo">
          <a:extLst>
            <a:ext uri="{FF2B5EF4-FFF2-40B4-BE49-F238E27FC236}">
              <a16:creationId xmlns="" xmlns:a16="http://schemas.microsoft.com/office/drawing/2014/main" id="{5B40D2F3-A38B-41CA-B90A-29181731D03F}"/>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1917"/>
        <a:stretch/>
      </xdr:blipFill>
      <xdr:spPr bwMode="auto">
        <a:xfrm>
          <a:off x="369795" y="102287294"/>
          <a:ext cx="2965245" cy="1815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649430</xdr:colOff>
      <xdr:row>1</xdr:row>
      <xdr:rowOff>822613</xdr:rowOff>
    </xdr:to>
    <xdr:pic>
      <xdr:nvPicPr>
        <xdr:cNvPr id="2" name="Imagem 1">
          <a:extLst>
            <a:ext uri="{FF2B5EF4-FFF2-40B4-BE49-F238E27FC236}">
              <a16:creationId xmlns=""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57678" cy="984538"/>
        </a:xfrm>
        <a:prstGeom prst="rect">
          <a:avLst/>
        </a:prstGeom>
      </xdr:spPr>
    </xdr:pic>
    <xdr:clientData/>
  </xdr:twoCellAnchor>
  <xdr:twoCellAnchor editAs="oneCell">
    <xdr:from>
      <xdr:col>4</xdr:col>
      <xdr:colOff>521319</xdr:colOff>
      <xdr:row>1</xdr:row>
      <xdr:rowOff>71159</xdr:rowOff>
    </xdr:from>
    <xdr:to>
      <xdr:col>6</xdr:col>
      <xdr:colOff>452324</xdr:colOff>
      <xdr:row>2</xdr:row>
      <xdr:rowOff>204355</xdr:rowOff>
    </xdr:to>
    <xdr:pic>
      <xdr:nvPicPr>
        <xdr:cNvPr id="3" name="Imagem 2">
          <a:extLst>
            <a:ext uri="{FF2B5EF4-FFF2-40B4-BE49-F238E27FC236}">
              <a16:creationId xmlns="" xmlns:a16="http://schemas.microsoft.com/office/drawing/2014/main" id="{00000000-0008-0000-18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3245469" y="233084"/>
          <a:ext cx="1597881" cy="10190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580158</xdr:colOff>
      <xdr:row>1</xdr:row>
      <xdr:rowOff>822613</xdr:rowOff>
    </xdr:to>
    <xdr:pic>
      <xdr:nvPicPr>
        <xdr:cNvPr id="2" name="Imagem 1">
          <a:extLst>
            <a:ext uri="{FF2B5EF4-FFF2-40B4-BE49-F238E27FC236}">
              <a16:creationId xmlns="" xmlns:a16="http://schemas.microsoft.com/office/drawing/2014/main" id="{00000000-0008-0000-1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49885" cy="987136"/>
        </a:xfrm>
        <a:prstGeom prst="rect">
          <a:avLst/>
        </a:prstGeom>
      </xdr:spPr>
    </xdr:pic>
    <xdr:clientData/>
  </xdr:twoCellAnchor>
  <xdr:twoCellAnchor editAs="oneCell">
    <xdr:from>
      <xdr:col>4</xdr:col>
      <xdr:colOff>521319</xdr:colOff>
      <xdr:row>1</xdr:row>
      <xdr:rowOff>71159</xdr:rowOff>
    </xdr:from>
    <xdr:to>
      <xdr:col>6</xdr:col>
      <xdr:colOff>452325</xdr:colOff>
      <xdr:row>2</xdr:row>
      <xdr:rowOff>204355</xdr:rowOff>
    </xdr:to>
    <xdr:pic>
      <xdr:nvPicPr>
        <xdr:cNvPr id="3" name="Imagem 2">
          <a:extLst>
            <a:ext uri="{FF2B5EF4-FFF2-40B4-BE49-F238E27FC236}">
              <a16:creationId xmlns="" xmlns:a16="http://schemas.microsoft.com/office/drawing/2014/main" id="{00000000-0008-0000-19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945864" y="235682"/>
          <a:ext cx="1593551" cy="101642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7</xdr:col>
      <xdr:colOff>329045</xdr:colOff>
      <xdr:row>29</xdr:row>
      <xdr:rowOff>25977</xdr:rowOff>
    </xdr:from>
    <xdr:to>
      <xdr:col>9</xdr:col>
      <xdr:colOff>690505</xdr:colOff>
      <xdr:row>37</xdr:row>
      <xdr:rowOff>121226</xdr:rowOff>
    </xdr:to>
    <xdr:pic>
      <xdr:nvPicPr>
        <xdr:cNvPr id="4" name="Imagem 3">
          <a:extLst>
            <a:ext uri="{FF2B5EF4-FFF2-40B4-BE49-F238E27FC236}">
              <a16:creationId xmlns="" xmlns:a16="http://schemas.microsoft.com/office/drawing/2014/main" id="{00000000-0008-0000-1900-000004000000}"/>
            </a:ext>
          </a:extLst>
        </xdr:cNvPr>
        <xdr:cNvPicPr>
          <a:picLocks noChangeAspect="1"/>
        </xdr:cNvPicPr>
      </xdr:nvPicPr>
      <xdr:blipFill rotWithShape="1">
        <a:blip xmlns:r="http://schemas.openxmlformats.org/officeDocument/2006/relationships" r:embed="rId3"/>
        <a:srcRect l="63858" t="25670" r="15779" b="40221"/>
        <a:stretch/>
      </xdr:blipFill>
      <xdr:spPr>
        <a:xfrm>
          <a:off x="5663045" y="5905500"/>
          <a:ext cx="2058642" cy="193963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xdr:colOff>
      <xdr:row>0</xdr:row>
      <xdr:rowOff>17318</xdr:rowOff>
    </xdr:from>
    <xdr:to>
      <xdr:col>9</xdr:col>
      <xdr:colOff>519545</xdr:colOff>
      <xdr:row>1</xdr:row>
      <xdr:rowOff>839931</xdr:rowOff>
    </xdr:to>
    <xdr:pic>
      <xdr:nvPicPr>
        <xdr:cNvPr id="2" name="Imagem 1">
          <a:extLst>
            <a:ext uri="{FF2B5EF4-FFF2-40B4-BE49-F238E27FC236}">
              <a16:creationId xmlns="" xmlns:a16="http://schemas.microsoft.com/office/drawing/2014/main" id="{00000000-0008-0000-1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7318"/>
          <a:ext cx="6961908" cy="987136"/>
        </a:xfrm>
        <a:prstGeom prst="rect">
          <a:avLst/>
        </a:prstGeom>
      </xdr:spPr>
    </xdr:pic>
    <xdr:clientData/>
  </xdr:twoCellAnchor>
  <xdr:twoCellAnchor editAs="oneCell">
    <xdr:from>
      <xdr:col>3</xdr:col>
      <xdr:colOff>495341</xdr:colOff>
      <xdr:row>1</xdr:row>
      <xdr:rowOff>36522</xdr:rowOff>
    </xdr:from>
    <xdr:to>
      <xdr:col>5</xdr:col>
      <xdr:colOff>556233</xdr:colOff>
      <xdr:row>3</xdr:row>
      <xdr:rowOff>5195</xdr:rowOff>
    </xdr:to>
    <xdr:pic>
      <xdr:nvPicPr>
        <xdr:cNvPr id="3" name="Imagem 2">
          <a:extLst>
            <a:ext uri="{FF2B5EF4-FFF2-40B4-BE49-F238E27FC236}">
              <a16:creationId xmlns="" xmlns:a16="http://schemas.microsoft.com/office/drawing/2014/main" id="{00000000-0008-0000-1A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110"/>
        <a:stretch/>
      </xdr:blipFill>
      <xdr:spPr bwMode="auto">
        <a:xfrm>
          <a:off x="2313750" y="201045"/>
          <a:ext cx="1593551" cy="101642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hyperlink" Target="https://www.magazineluiza.com.br/" TargetMode="External"/><Relationship Id="rId21" Type="http://schemas.openxmlformats.org/officeDocument/2006/relationships/hyperlink" Target="https://www.submarino.com.br/" TargetMode="External"/><Relationship Id="rId42" Type="http://schemas.openxmlformats.org/officeDocument/2006/relationships/hyperlink" Target="http://www.eletrofrigor.com.br/" TargetMode="External"/><Relationship Id="rId47" Type="http://schemas.openxmlformats.org/officeDocument/2006/relationships/hyperlink" Target="http://www.extra.com.br/" TargetMode="External"/><Relationship Id="rId63" Type="http://schemas.openxmlformats.org/officeDocument/2006/relationships/hyperlink" Target="http://www.lojacentraleletrica.com.br/" TargetMode="External"/><Relationship Id="rId68" Type="http://schemas.openxmlformats.org/officeDocument/2006/relationships/hyperlink" Target="http://www.casasbahia.com.br/" TargetMode="External"/><Relationship Id="rId7" Type="http://schemas.openxmlformats.org/officeDocument/2006/relationships/hyperlink" Target="https://bearti.com.br/" TargetMode="External"/><Relationship Id="rId2" Type="http://schemas.openxmlformats.org/officeDocument/2006/relationships/hyperlink" Target="https://www.magazineluiza.com.br/" TargetMode="External"/><Relationship Id="rId16" Type="http://schemas.openxmlformats.org/officeDocument/2006/relationships/hyperlink" Target="https://olist.com/" TargetMode="External"/><Relationship Id="rId29" Type="http://schemas.openxmlformats.org/officeDocument/2006/relationships/hyperlink" Target="https://www.americanas.com.br/" TargetMode="External"/><Relationship Id="rId11" Type="http://schemas.openxmlformats.org/officeDocument/2006/relationships/hyperlink" Target="https://www.americanas.com.br/" TargetMode="External"/><Relationship Id="rId24" Type="http://schemas.openxmlformats.org/officeDocument/2006/relationships/hyperlink" Target="https://www.americanas.com.br/" TargetMode="External"/><Relationship Id="rId32" Type="http://schemas.openxmlformats.org/officeDocument/2006/relationships/hyperlink" Target="https://www.americanas.com.br/" TargetMode="External"/><Relationship Id="rId37" Type="http://schemas.openxmlformats.org/officeDocument/2006/relationships/hyperlink" Target="https://loja.eletrotransol.com.br/" TargetMode="External"/><Relationship Id="rId40" Type="http://schemas.openxmlformats.org/officeDocument/2006/relationships/hyperlink" Target="http://www.refritron.com.br/" TargetMode="External"/><Relationship Id="rId45" Type="http://schemas.openxmlformats.org/officeDocument/2006/relationships/hyperlink" Target="https://www.leroymerlin.com.br/" TargetMode="External"/><Relationship Id="rId53" Type="http://schemas.openxmlformats.org/officeDocument/2006/relationships/hyperlink" Target="https://produto.mercadolivre.com.br/" TargetMode="External"/><Relationship Id="rId58" Type="http://schemas.openxmlformats.org/officeDocument/2006/relationships/hyperlink" Target="https://produto.mercadolivre.com.br/" TargetMode="External"/><Relationship Id="rId66" Type="http://schemas.openxmlformats.org/officeDocument/2006/relationships/hyperlink" Target="http://www.anhangueraferramentas.com.br/" TargetMode="External"/><Relationship Id="rId5" Type="http://schemas.openxmlformats.org/officeDocument/2006/relationships/hyperlink" Target="https://www.magazineluiza.com.br/" TargetMode="External"/><Relationship Id="rId61" Type="http://schemas.openxmlformats.org/officeDocument/2006/relationships/hyperlink" Target="http://www.lojacentraleletrica.com.br/" TargetMode="External"/><Relationship Id="rId19" Type="http://schemas.openxmlformats.org/officeDocument/2006/relationships/hyperlink" Target="https://www.smartgiro.com/" TargetMode="External"/><Relationship Id="rId14" Type="http://schemas.openxmlformats.org/officeDocument/2006/relationships/hyperlink" Target="https://www.poolstore.com.br/" TargetMode="External"/><Relationship Id="rId22" Type="http://schemas.openxmlformats.org/officeDocument/2006/relationships/hyperlink" Target="http://www.globaltechbrasil.com/" TargetMode="External"/><Relationship Id="rId27" Type="http://schemas.openxmlformats.org/officeDocument/2006/relationships/hyperlink" Target="https://www.leroymerlin.com.br/" TargetMode="External"/><Relationship Id="rId30" Type="http://schemas.openxmlformats.org/officeDocument/2006/relationships/hyperlink" Target="https://www.magazineluiza.com.br/" TargetMode="External"/><Relationship Id="rId35" Type="http://schemas.openxmlformats.org/officeDocument/2006/relationships/hyperlink" Target="https://www.magazineluiza.com.br/" TargetMode="External"/><Relationship Id="rId43" Type="http://schemas.openxmlformats.org/officeDocument/2006/relationships/hyperlink" Target="https://www.magazineluiza.com.br/" TargetMode="External"/><Relationship Id="rId48" Type="http://schemas.openxmlformats.org/officeDocument/2006/relationships/hyperlink" Target="http://www.eletrorastro.com.br/" TargetMode="External"/><Relationship Id="rId56" Type="http://schemas.openxmlformats.org/officeDocument/2006/relationships/hyperlink" Target="http://www.ferramentaskennedy.com.br/" TargetMode="External"/><Relationship Id="rId64" Type="http://schemas.openxmlformats.org/officeDocument/2006/relationships/hyperlink" Target="https://www.magazineluiza.com.br/" TargetMode="External"/><Relationship Id="rId69" Type="http://schemas.openxmlformats.org/officeDocument/2006/relationships/printerSettings" Target="../printerSettings/printerSettings4.bin"/><Relationship Id="rId8" Type="http://schemas.openxmlformats.org/officeDocument/2006/relationships/hyperlink" Target="http://www.mdosbrinquedos.com.br/" TargetMode="External"/><Relationship Id="rId51" Type="http://schemas.openxmlformats.org/officeDocument/2006/relationships/hyperlink" Target="http://www.extra.com.br/" TargetMode="External"/><Relationship Id="rId3" Type="http://schemas.openxmlformats.org/officeDocument/2006/relationships/hyperlink" Target="mailto:eascon@eascon.com.br" TargetMode="External"/><Relationship Id="rId12" Type="http://schemas.openxmlformats.org/officeDocument/2006/relationships/hyperlink" Target="https://www.acquafort.com.br/" TargetMode="External"/><Relationship Id="rId17" Type="http://schemas.openxmlformats.org/officeDocument/2006/relationships/hyperlink" Target="http://www.paraisodasbombas.com.br/" TargetMode="External"/><Relationship Id="rId25" Type="http://schemas.openxmlformats.org/officeDocument/2006/relationships/hyperlink" Target="https://www.americanas.com.br/" TargetMode="External"/><Relationship Id="rId33" Type="http://schemas.openxmlformats.org/officeDocument/2006/relationships/hyperlink" Target="https://www.magazineluiza.com.br/" TargetMode="External"/><Relationship Id="rId38" Type="http://schemas.openxmlformats.org/officeDocument/2006/relationships/hyperlink" Target="https://www.magazineluiza.com.br/" TargetMode="External"/><Relationship Id="rId46" Type="http://schemas.openxmlformats.org/officeDocument/2006/relationships/hyperlink" Target="https://www.magazineluiza.com.br/" TargetMode="External"/><Relationship Id="rId59" Type="http://schemas.openxmlformats.org/officeDocument/2006/relationships/hyperlink" Target="http://www.lojacentraleletrica.com.br/" TargetMode="External"/><Relationship Id="rId67" Type="http://schemas.openxmlformats.org/officeDocument/2006/relationships/hyperlink" Target="http://www.lojacentraleletrica.com.br/" TargetMode="External"/><Relationship Id="rId20" Type="http://schemas.openxmlformats.org/officeDocument/2006/relationships/hyperlink" Target="https://himater.com.br/" TargetMode="External"/><Relationship Id="rId41" Type="http://schemas.openxmlformats.org/officeDocument/2006/relationships/hyperlink" Target="http://www.refrigeracaocatavento.com.br/" TargetMode="External"/><Relationship Id="rId54" Type="http://schemas.openxmlformats.org/officeDocument/2006/relationships/hyperlink" Target="http://www.dimensional.com.br/" TargetMode="External"/><Relationship Id="rId62" Type="http://schemas.openxmlformats.org/officeDocument/2006/relationships/hyperlink" Target="https://produto.mercadolivre.com.br/" TargetMode="External"/><Relationship Id="rId70" Type="http://schemas.openxmlformats.org/officeDocument/2006/relationships/drawing" Target="../drawings/drawing4.xml"/><Relationship Id="rId1" Type="http://schemas.openxmlformats.org/officeDocument/2006/relationships/hyperlink" Target="https://produto.mercadolivre.com.br/" TargetMode="External"/><Relationship Id="rId6" Type="http://schemas.openxmlformats.org/officeDocument/2006/relationships/hyperlink" Target="http://www.cortinashospitalares.com.br/" TargetMode="External"/><Relationship Id="rId15" Type="http://schemas.openxmlformats.org/officeDocument/2006/relationships/hyperlink" Target="https://www.aguazul.net.br/" TargetMode="External"/><Relationship Id="rId23" Type="http://schemas.openxmlformats.org/officeDocument/2006/relationships/hyperlink" Target="https://www.magazineluiza.com.br/" TargetMode="External"/><Relationship Id="rId28" Type="http://schemas.openxmlformats.org/officeDocument/2006/relationships/hyperlink" Target="https://www.aguazul.net.br/" TargetMode="External"/><Relationship Id="rId36" Type="http://schemas.openxmlformats.org/officeDocument/2006/relationships/hyperlink" Target="https://www.planetaenergia.com.br/" TargetMode="External"/><Relationship Id="rId49" Type="http://schemas.openxmlformats.org/officeDocument/2006/relationships/hyperlink" Target="https://www.magazineluiza.com.br/" TargetMode="External"/><Relationship Id="rId57" Type="http://schemas.openxmlformats.org/officeDocument/2006/relationships/hyperlink" Target="https://rceletrica.com.br/" TargetMode="External"/><Relationship Id="rId10" Type="http://schemas.openxmlformats.org/officeDocument/2006/relationships/hyperlink" Target="https://www.carajasonline.com/" TargetMode="External"/><Relationship Id="rId31" Type="http://schemas.openxmlformats.org/officeDocument/2006/relationships/hyperlink" Target="https://www.aguazul.net.br/" TargetMode="External"/><Relationship Id="rId44" Type="http://schemas.openxmlformats.org/officeDocument/2006/relationships/hyperlink" Target="https://www.americanas.com.br/" TargetMode="External"/><Relationship Id="rId52" Type="http://schemas.openxmlformats.org/officeDocument/2006/relationships/hyperlink" Target="https://produto.mercadolivre.com.br/" TargetMode="External"/><Relationship Id="rId60" Type="http://schemas.openxmlformats.org/officeDocument/2006/relationships/hyperlink" Target="http://www.eletrorastro.com.br/" TargetMode="External"/><Relationship Id="rId65" Type="http://schemas.openxmlformats.org/officeDocument/2006/relationships/hyperlink" Target="http://www.casasbahia.com.br/" TargetMode="External"/><Relationship Id="rId4" Type="http://schemas.openxmlformats.org/officeDocument/2006/relationships/hyperlink" Target="https://produto.mercadolivre.com.br/" TargetMode="External"/><Relationship Id="rId9" Type="http://schemas.openxmlformats.org/officeDocument/2006/relationships/hyperlink" Target="http://www.megaplaygrounds.com.br/" TargetMode="External"/><Relationship Id="rId13" Type="http://schemas.openxmlformats.org/officeDocument/2006/relationships/hyperlink" Target="https://www.americanas.com.br/" TargetMode="External"/><Relationship Id="rId18" Type="http://schemas.openxmlformats.org/officeDocument/2006/relationships/hyperlink" Target="https://www.americanas.com.br/" TargetMode="External"/><Relationship Id="rId39" Type="http://schemas.openxmlformats.org/officeDocument/2006/relationships/hyperlink" Target="https://www.submarino.com.br/" TargetMode="External"/><Relationship Id="rId34" Type="http://schemas.openxmlformats.org/officeDocument/2006/relationships/hyperlink" Target="https://www.extra.com.br/" TargetMode="External"/><Relationship Id="rId50" Type="http://schemas.openxmlformats.org/officeDocument/2006/relationships/hyperlink" Target="http://www.lojacentraleletrica.com.br/" TargetMode="External"/><Relationship Id="rId55" Type="http://schemas.openxmlformats.org/officeDocument/2006/relationships/hyperlink" Target="https://www.magazineluiza.com.b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showGridLines="0" view="pageBreakPreview" zoomScale="85" zoomScaleNormal="62" zoomScaleSheetLayoutView="85" zoomScalePageLayoutView="40" workbookViewId="0">
      <selection activeCell="E26" sqref="E26:F26"/>
    </sheetView>
  </sheetViews>
  <sheetFormatPr defaultRowHeight="12.75" x14ac:dyDescent="0.2"/>
  <cols>
    <col min="3" max="3" width="29.7109375" bestFit="1" customWidth="1"/>
    <col min="6" max="6" width="9.42578125" customWidth="1"/>
    <col min="9" max="9" width="21" customWidth="1"/>
  </cols>
  <sheetData>
    <row r="1" spans="1:19" ht="69.95" customHeight="1" x14ac:dyDescent="0.2">
      <c r="A1" s="1307"/>
      <c r="B1" s="1307"/>
      <c r="C1" s="1307"/>
      <c r="D1" s="1307"/>
      <c r="E1" s="1307"/>
      <c r="F1" s="1307"/>
      <c r="G1" s="1307"/>
      <c r="H1" s="1307"/>
      <c r="I1" s="1307"/>
      <c r="J1" s="218"/>
      <c r="K1" s="219"/>
      <c r="L1" s="219"/>
    </row>
    <row r="2" spans="1:19" ht="24" customHeight="1" x14ac:dyDescent="0.2">
      <c r="A2" s="1316" t="s">
        <v>79</v>
      </c>
      <c r="B2" s="1317"/>
      <c r="C2" s="1321" t="str">
        <f>ORÇ!B2</f>
        <v>PREFEITURA MUNICIPAL DE OURÉM</v>
      </c>
      <c r="D2" s="1322"/>
      <c r="E2" s="1326" t="s">
        <v>85</v>
      </c>
      <c r="F2" s="1327"/>
      <c r="G2" s="1323" t="str">
        <f>ORÇ!I2</f>
        <v>OURÉM/PA</v>
      </c>
      <c r="H2" s="1324"/>
      <c r="I2" s="1325"/>
      <c r="K2" s="1202"/>
      <c r="L2" s="1202"/>
      <c r="M2" s="1202"/>
      <c r="N2" s="1202"/>
      <c r="O2" s="1202"/>
      <c r="P2" s="122"/>
      <c r="Q2" s="122"/>
      <c r="R2" s="123"/>
    </row>
    <row r="3" spans="1:19" ht="21.75" customHeight="1" x14ac:dyDescent="0.2">
      <c r="A3" s="1316" t="s">
        <v>80</v>
      </c>
      <c r="B3" s="1317"/>
      <c r="C3" s="213" t="str">
        <f>ORÇ!B3</f>
        <v>CONSTRUÇÃO DO CENTRO DE FISIOTERAPIA, NO MUNICÍPIO DE OURÉM/PA</v>
      </c>
      <c r="D3" s="168"/>
      <c r="E3" s="168"/>
      <c r="F3" s="168"/>
      <c r="G3" s="168"/>
      <c r="H3" s="168"/>
      <c r="I3" s="214"/>
      <c r="K3" s="1202"/>
      <c r="L3" s="1202"/>
      <c r="M3" s="1202"/>
      <c r="N3" s="1202"/>
      <c r="O3" s="1202"/>
      <c r="P3" s="122"/>
      <c r="Q3" s="122"/>
      <c r="R3" s="124"/>
    </row>
    <row r="4" spans="1:19" ht="27" customHeight="1" x14ac:dyDescent="0.2">
      <c r="A4" s="1316" t="s">
        <v>161</v>
      </c>
      <c r="B4" s="1317"/>
      <c r="C4" s="410" t="str">
        <f>ORÇ!B4</f>
        <v>AV. PADRE ANGELO MORETTE, S/Nº - OURÉM/PA</v>
      </c>
      <c r="D4" s="411"/>
      <c r="E4" s="1308" t="s">
        <v>169</v>
      </c>
      <c r="F4" s="1308"/>
      <c r="G4" s="1333" t="str">
        <f>ORÇ!G5</f>
        <v>SINAPI FEVEREIRO 2022 - DESONERADA                                 SEDOP FEVEREIRO 2022 - DESONERADA</v>
      </c>
      <c r="H4" s="1334"/>
      <c r="I4" s="1335"/>
      <c r="K4" s="1202"/>
      <c r="L4" s="1202"/>
      <c r="M4" s="1202"/>
      <c r="N4" s="1202"/>
      <c r="O4" s="1202"/>
      <c r="P4" s="122"/>
      <c r="Q4" s="122"/>
      <c r="R4" s="123"/>
    </row>
    <row r="5" spans="1:19" ht="30.75" customHeight="1" x14ac:dyDescent="0.2">
      <c r="A5" s="1310" t="s">
        <v>81</v>
      </c>
      <c r="B5" s="1311"/>
      <c r="C5" s="1312">
        <f>I24</f>
        <v>0.2881986483454233</v>
      </c>
      <c r="D5" s="1313"/>
      <c r="E5" s="1308"/>
      <c r="F5" s="1308"/>
      <c r="G5" s="1336"/>
      <c r="H5" s="1337"/>
      <c r="I5" s="1338"/>
      <c r="K5" s="1202"/>
      <c r="L5" s="1202"/>
      <c r="M5" s="1202"/>
      <c r="N5" s="1202"/>
      <c r="O5" s="1202"/>
      <c r="P5" s="122"/>
      <c r="Q5" s="122"/>
      <c r="R5" s="123"/>
    </row>
    <row r="6" spans="1:19" ht="25.5" customHeight="1" x14ac:dyDescent="0.2">
      <c r="A6" s="1316" t="s">
        <v>82</v>
      </c>
      <c r="B6" s="1317"/>
      <c r="C6" s="1314" t="str">
        <f>ORÇ!B6</f>
        <v>MARUZA BAPTISTA</v>
      </c>
      <c r="D6" s="1315"/>
      <c r="E6" s="1342" t="s">
        <v>170</v>
      </c>
      <c r="F6" s="1343"/>
      <c r="G6" s="1344" t="str">
        <f>ORÇ!G7</f>
        <v>CAU: 28510-2 A</v>
      </c>
      <c r="H6" s="1344"/>
      <c r="I6" s="1344"/>
      <c r="J6" s="63"/>
      <c r="K6" s="1309"/>
      <c r="L6" s="1309"/>
      <c r="M6" s="1309"/>
      <c r="N6" s="1309"/>
      <c r="O6" s="1309"/>
      <c r="P6" s="125"/>
      <c r="Q6" s="125"/>
      <c r="R6" s="125"/>
    </row>
    <row r="7" spans="1:19" ht="13.5" thickBot="1" x14ac:dyDescent="0.25">
      <c r="A7" s="169"/>
      <c r="B7" s="170"/>
      <c r="C7" s="170"/>
      <c r="D7" s="170"/>
      <c r="E7" s="170"/>
      <c r="F7" s="170"/>
      <c r="G7" s="170"/>
      <c r="H7" s="170"/>
      <c r="I7" s="171"/>
      <c r="K7" s="48"/>
      <c r="L7" s="48"/>
      <c r="M7" s="48"/>
      <c r="N7" s="48"/>
      <c r="O7" s="48"/>
      <c r="P7" s="48"/>
      <c r="Q7" s="48"/>
      <c r="R7" s="48"/>
    </row>
    <row r="8" spans="1:19" ht="18.75" customHeight="1" x14ac:dyDescent="0.2">
      <c r="A8" s="1318" t="s">
        <v>78</v>
      </c>
      <c r="B8" s="1319"/>
      <c r="C8" s="1319"/>
      <c r="D8" s="1319"/>
      <c r="E8" s="1319"/>
      <c r="F8" s="1319"/>
      <c r="G8" s="1319"/>
      <c r="H8" s="1319"/>
      <c r="I8" s="1320"/>
    </row>
    <row r="9" spans="1:19" ht="13.5" thickBot="1" x14ac:dyDescent="0.25">
      <c r="A9" s="101" t="s">
        <v>15</v>
      </c>
      <c r="B9" s="49" t="s">
        <v>56</v>
      </c>
      <c r="C9" s="48"/>
      <c r="D9" s="48"/>
      <c r="E9" s="48"/>
      <c r="F9" s="48"/>
      <c r="G9" s="48"/>
      <c r="H9" s="48"/>
      <c r="I9" s="102"/>
    </row>
    <row r="10" spans="1:19" x14ac:dyDescent="0.2">
      <c r="A10" s="103">
        <v>1</v>
      </c>
      <c r="B10" s="50" t="s">
        <v>57</v>
      </c>
      <c r="C10" s="51"/>
      <c r="D10" s="51"/>
      <c r="E10" s="51"/>
      <c r="F10" s="51"/>
      <c r="G10" s="51"/>
      <c r="H10" s="52"/>
      <c r="I10" s="104">
        <v>0.03</v>
      </c>
    </row>
    <row r="11" spans="1:19" x14ac:dyDescent="0.2">
      <c r="A11" s="105">
        <v>2</v>
      </c>
      <c r="B11" s="53" t="s">
        <v>58</v>
      </c>
      <c r="C11" s="48"/>
      <c r="D11" s="48"/>
      <c r="E11" s="48"/>
      <c r="F11" s="48"/>
      <c r="G11" s="48"/>
      <c r="H11" s="48"/>
      <c r="I11" s="106">
        <v>8.0000000000000002E-3</v>
      </c>
      <c r="S11" s="64"/>
    </row>
    <row r="12" spans="1:19" x14ac:dyDescent="0.2">
      <c r="A12" s="107">
        <v>3</v>
      </c>
      <c r="B12" s="53" t="s">
        <v>59</v>
      </c>
      <c r="C12" s="48"/>
      <c r="D12" s="48"/>
      <c r="E12" s="48"/>
      <c r="F12" s="48"/>
      <c r="G12" s="48"/>
      <c r="H12" s="54"/>
      <c r="I12" s="108">
        <v>9.7000000000000003E-3</v>
      </c>
    </row>
    <row r="13" spans="1:19" x14ac:dyDescent="0.2">
      <c r="A13" s="105">
        <v>4</v>
      </c>
      <c r="B13" s="53" t="s">
        <v>60</v>
      </c>
      <c r="C13" s="48"/>
      <c r="D13" s="48"/>
      <c r="E13" s="48"/>
      <c r="F13" s="48"/>
      <c r="G13" s="48"/>
      <c r="H13" s="54"/>
      <c r="I13" s="106">
        <v>5.8999999999999999E-3</v>
      </c>
      <c r="J13" s="65"/>
    </row>
    <row r="14" spans="1:19" x14ac:dyDescent="0.2">
      <c r="A14" s="105">
        <v>5</v>
      </c>
      <c r="B14" s="53" t="s">
        <v>61</v>
      </c>
      <c r="C14" s="48"/>
      <c r="D14" s="48"/>
      <c r="E14" s="48"/>
      <c r="F14" s="48"/>
      <c r="G14" s="48"/>
      <c r="H14" s="54"/>
      <c r="I14" s="106">
        <v>6.1600000000000002E-2</v>
      </c>
    </row>
    <row r="15" spans="1:19" ht="13.5" thickBot="1" x14ac:dyDescent="0.25">
      <c r="A15" s="109">
        <v>6</v>
      </c>
      <c r="B15" s="55" t="s">
        <v>62</v>
      </c>
      <c r="C15" s="56"/>
      <c r="D15" s="56"/>
      <c r="E15" s="56"/>
      <c r="F15" s="56"/>
      <c r="G15" s="56"/>
      <c r="H15" s="57"/>
      <c r="I15" s="113">
        <f>I22</f>
        <v>0.13150000000000001</v>
      </c>
    </row>
    <row r="16" spans="1:19" x14ac:dyDescent="0.2">
      <c r="A16" s="110"/>
      <c r="B16" s="48"/>
      <c r="C16" s="48"/>
      <c r="D16" s="48"/>
      <c r="E16" s="48"/>
      <c r="F16" s="48"/>
      <c r="G16" s="48"/>
      <c r="H16" s="48"/>
      <c r="I16" s="111"/>
    </row>
    <row r="17" spans="1:9" ht="13.5" thickBot="1" x14ac:dyDescent="0.25">
      <c r="A17" s="101" t="s">
        <v>15</v>
      </c>
      <c r="B17" s="49" t="s">
        <v>63</v>
      </c>
      <c r="C17" s="48"/>
      <c r="D17" s="48"/>
      <c r="E17" s="48"/>
      <c r="F17" s="48"/>
      <c r="G17" s="48"/>
      <c r="H17" s="48"/>
      <c r="I17" s="111"/>
    </row>
    <row r="18" spans="1:9" x14ac:dyDescent="0.2">
      <c r="A18" s="103" t="s">
        <v>7</v>
      </c>
      <c r="B18" s="58" t="s">
        <v>64</v>
      </c>
      <c r="C18" s="51"/>
      <c r="D18" s="51"/>
      <c r="E18" s="51"/>
      <c r="F18" s="51"/>
      <c r="G18" s="51"/>
      <c r="H18" s="51"/>
      <c r="I18" s="112">
        <v>0.05</v>
      </c>
    </row>
    <row r="19" spans="1:9" x14ac:dyDescent="0.2">
      <c r="A19" s="105" t="s">
        <v>8</v>
      </c>
      <c r="B19" s="53" t="s">
        <v>65</v>
      </c>
      <c r="C19" s="48"/>
      <c r="D19" s="48"/>
      <c r="E19" s="48"/>
      <c r="F19" s="48"/>
      <c r="G19" s="48"/>
      <c r="H19" s="48"/>
      <c r="I19" s="106">
        <v>6.4999999999999997E-3</v>
      </c>
    </row>
    <row r="20" spans="1:9" x14ac:dyDescent="0.2">
      <c r="A20" s="105" t="s">
        <v>9</v>
      </c>
      <c r="B20" s="59" t="s">
        <v>66</v>
      </c>
      <c r="C20" s="48"/>
      <c r="D20" s="48"/>
      <c r="E20" s="48"/>
      <c r="F20" s="48"/>
      <c r="G20" s="48"/>
      <c r="H20" s="48"/>
      <c r="I20" s="106">
        <v>0.03</v>
      </c>
    </row>
    <row r="21" spans="1:9" ht="13.5" thickBot="1" x14ac:dyDescent="0.25">
      <c r="A21" s="109" t="s">
        <v>67</v>
      </c>
      <c r="B21" s="55" t="s">
        <v>68</v>
      </c>
      <c r="C21" s="56"/>
      <c r="D21" s="56"/>
      <c r="E21" s="56"/>
      <c r="F21" s="56"/>
      <c r="G21" s="56"/>
      <c r="H21" s="56"/>
      <c r="I21" s="113">
        <v>4.4999999999999998E-2</v>
      </c>
    </row>
    <row r="22" spans="1:9" ht="13.5" thickBot="1" x14ac:dyDescent="0.25">
      <c r="A22" s="100"/>
      <c r="B22" s="48"/>
      <c r="C22" s="48"/>
      <c r="D22" s="48"/>
      <c r="E22" s="48"/>
      <c r="F22" s="48"/>
      <c r="G22" s="1328" t="s">
        <v>69</v>
      </c>
      <c r="H22" s="1329"/>
      <c r="I22" s="142">
        <f>SUM(I18:I21)</f>
        <v>0.13150000000000001</v>
      </c>
    </row>
    <row r="23" spans="1:9" ht="15.75" thickBot="1" x14ac:dyDescent="0.3">
      <c r="A23" s="1330" t="s">
        <v>70</v>
      </c>
      <c r="B23" s="1331"/>
      <c r="C23" s="1331"/>
      <c r="D23" s="1331"/>
      <c r="E23" s="1331"/>
      <c r="F23" s="1331"/>
      <c r="G23" s="1331"/>
      <c r="H23" s="1331"/>
      <c r="I23" s="1332"/>
    </row>
    <row r="24" spans="1:9" ht="37.5" customHeight="1" thickBot="1" x14ac:dyDescent="0.25">
      <c r="A24" s="1339"/>
      <c r="B24" s="1340"/>
      <c r="C24" s="1340"/>
      <c r="D24" s="1340"/>
      <c r="E24" s="1340"/>
      <c r="F24" s="1340"/>
      <c r="G24" s="1340"/>
      <c r="H24" s="1341"/>
      <c r="I24" s="143">
        <f>(((1+I10+I11+I12)*(1+I13)*(1+I14))/(1-I15))-1</f>
        <v>0.2881986483454233</v>
      </c>
    </row>
    <row r="25" spans="1:9" x14ac:dyDescent="0.2">
      <c r="A25" s="114"/>
      <c r="B25" s="48"/>
      <c r="C25" s="48"/>
      <c r="D25" s="48"/>
      <c r="E25" s="48"/>
      <c r="F25" s="48"/>
      <c r="G25" s="48"/>
      <c r="H25" s="48"/>
      <c r="I25" s="115"/>
    </row>
    <row r="26" spans="1:9" x14ac:dyDescent="0.2">
      <c r="A26" s="116" t="s">
        <v>71</v>
      </c>
      <c r="B26" s="60"/>
      <c r="C26" s="60"/>
      <c r="D26" s="60"/>
      <c r="E26" s="60"/>
      <c r="F26" s="60"/>
      <c r="G26" s="60"/>
      <c r="H26" s="60"/>
      <c r="I26" s="117"/>
    </row>
    <row r="27" spans="1:9" x14ac:dyDescent="0.2">
      <c r="A27" s="1345" t="s">
        <v>72</v>
      </c>
      <c r="B27" s="1346"/>
      <c r="C27" s="1346"/>
      <c r="D27" s="1346"/>
      <c r="E27" s="1346"/>
      <c r="F27" s="1346"/>
      <c r="G27" s="1346"/>
      <c r="H27" s="1346"/>
      <c r="I27" s="1347"/>
    </row>
    <row r="28" spans="1:9" x14ac:dyDescent="0.2">
      <c r="A28" s="1345" t="s">
        <v>73</v>
      </c>
      <c r="B28" s="1346"/>
      <c r="C28" s="1346"/>
      <c r="D28" s="1346"/>
      <c r="E28" s="1346"/>
      <c r="F28" s="1346"/>
      <c r="G28" s="1346"/>
      <c r="H28" s="1346"/>
      <c r="I28" s="1347"/>
    </row>
    <row r="29" spans="1:9" x14ac:dyDescent="0.2">
      <c r="A29" s="1352" t="s">
        <v>74</v>
      </c>
      <c r="B29" s="1353"/>
      <c r="C29" s="1353"/>
      <c r="D29" s="1353"/>
      <c r="E29" s="1353"/>
      <c r="F29" s="1353"/>
      <c r="G29" s="1353"/>
      <c r="H29" s="1353"/>
      <c r="I29" s="1354"/>
    </row>
    <row r="30" spans="1:9" x14ac:dyDescent="0.2">
      <c r="A30" s="1345" t="s">
        <v>75</v>
      </c>
      <c r="B30" s="1346"/>
      <c r="C30" s="1346"/>
      <c r="D30" s="1346"/>
      <c r="E30" s="1346"/>
      <c r="F30" s="1346"/>
      <c r="G30" s="1346"/>
      <c r="H30" s="1346"/>
      <c r="I30" s="1347"/>
    </row>
    <row r="31" spans="1:9" x14ac:dyDescent="0.2">
      <c r="A31" s="1345" t="s">
        <v>76</v>
      </c>
      <c r="B31" s="1346"/>
      <c r="C31" s="1346"/>
      <c r="D31" s="1346"/>
      <c r="E31" s="1346"/>
      <c r="F31" s="1346"/>
      <c r="G31" s="1346"/>
      <c r="H31" s="1346"/>
      <c r="I31" s="1347"/>
    </row>
    <row r="32" spans="1:9" ht="13.5" thickBot="1" x14ac:dyDescent="0.25">
      <c r="A32" s="118"/>
      <c r="B32" s="56"/>
      <c r="C32" s="56"/>
      <c r="D32" s="56"/>
      <c r="E32" s="56"/>
      <c r="F32" s="56"/>
      <c r="G32" s="56"/>
      <c r="H32" s="56"/>
      <c r="I32" s="119"/>
    </row>
    <row r="33" spans="1:9" x14ac:dyDescent="0.2">
      <c r="A33" s="100"/>
      <c r="B33" s="48"/>
      <c r="C33" s="48"/>
      <c r="D33" s="48"/>
      <c r="E33" s="48"/>
      <c r="F33" s="48"/>
      <c r="G33" s="48"/>
      <c r="H33" s="48"/>
      <c r="I33" s="85"/>
    </row>
    <row r="34" spans="1:9" x14ac:dyDescent="0.2">
      <c r="A34" s="48"/>
      <c r="B34" s="48"/>
      <c r="C34" s="48"/>
      <c r="D34" s="48"/>
      <c r="E34" s="48"/>
      <c r="F34" s="48"/>
      <c r="G34" s="48"/>
      <c r="H34" s="48"/>
      <c r="I34" s="48"/>
    </row>
    <row r="35" spans="1:9" x14ac:dyDescent="0.2">
      <c r="A35" s="88"/>
      <c r="B35" s="120"/>
      <c r="C35" s="120"/>
      <c r="D35" s="120"/>
      <c r="E35" s="120"/>
      <c r="F35" s="48"/>
      <c r="G35" s="48"/>
      <c r="H35" s="48"/>
      <c r="I35" s="48"/>
    </row>
    <row r="36" spans="1:9" x14ac:dyDescent="0.2">
      <c r="A36" s="120"/>
      <c r="B36" s="120"/>
      <c r="C36" s="120"/>
      <c r="D36" s="120"/>
      <c r="E36" s="120"/>
      <c r="F36" s="121"/>
      <c r="G36" s="121"/>
      <c r="H36" s="121"/>
      <c r="I36" s="48"/>
    </row>
    <row r="37" spans="1:9" x14ac:dyDescent="0.2">
      <c r="A37" s="1309"/>
      <c r="B37" s="1309"/>
      <c r="C37" s="1309"/>
      <c r="D37" s="1309"/>
      <c r="E37" s="1309"/>
      <c r="F37" s="122"/>
      <c r="G37" s="122"/>
      <c r="H37" s="123"/>
      <c r="I37" s="48"/>
    </row>
    <row r="38" spans="1:9" x14ac:dyDescent="0.2">
      <c r="A38" s="1309"/>
      <c r="B38" s="1309"/>
      <c r="C38" s="1309"/>
      <c r="D38" s="1309"/>
      <c r="E38" s="1309"/>
      <c r="F38" s="122"/>
      <c r="G38" s="122"/>
      <c r="H38" s="123"/>
      <c r="I38" s="48"/>
    </row>
    <row r="39" spans="1:9" x14ac:dyDescent="0.2">
      <c r="A39" s="1309"/>
      <c r="B39" s="1309"/>
      <c r="C39" s="1309"/>
      <c r="D39" s="1309"/>
      <c r="E39" s="1309"/>
      <c r="F39" s="122"/>
      <c r="G39" s="122"/>
      <c r="H39" s="124"/>
      <c r="I39" s="48"/>
    </row>
    <row r="40" spans="1:9" x14ac:dyDescent="0.2">
      <c r="A40" s="1309"/>
      <c r="B40" s="1309"/>
      <c r="C40" s="1309"/>
      <c r="D40" s="1309"/>
      <c r="E40" s="1309"/>
      <c r="F40" s="122"/>
      <c r="G40" s="122"/>
      <c r="H40" s="123"/>
      <c r="I40" s="48"/>
    </row>
    <row r="41" spans="1:9" x14ac:dyDescent="0.2">
      <c r="A41" s="1348" t="s">
        <v>77</v>
      </c>
      <c r="B41" s="1349"/>
      <c r="C41" s="1349"/>
      <c r="D41" s="1349"/>
      <c r="E41" s="1349"/>
      <c r="F41" s="1349"/>
      <c r="G41" s="1349"/>
      <c r="H41" s="1349"/>
      <c r="I41" s="1350"/>
    </row>
    <row r="42" spans="1:9" x14ac:dyDescent="0.2">
      <c r="A42" s="1348" t="s">
        <v>193</v>
      </c>
      <c r="B42" s="1349"/>
      <c r="C42" s="1349"/>
      <c r="D42" s="1349"/>
      <c r="E42" s="1349"/>
      <c r="F42" s="1349"/>
      <c r="G42" s="1349"/>
      <c r="H42" s="1349"/>
      <c r="I42" s="1350"/>
    </row>
    <row r="43" spans="1:9" ht="13.5" customHeight="1" x14ac:dyDescent="0.2">
      <c r="A43" s="1351" t="s">
        <v>194</v>
      </c>
      <c r="B43" s="1351"/>
      <c r="C43" s="1351"/>
      <c r="D43" s="1351"/>
      <c r="E43" s="1351"/>
      <c r="F43" s="1351"/>
      <c r="G43" s="1351"/>
      <c r="H43" s="1351"/>
      <c r="I43" s="1351"/>
    </row>
    <row r="44" spans="1:9" x14ac:dyDescent="0.2">
      <c r="A44" s="1351"/>
      <c r="B44" s="1351"/>
      <c r="C44" s="1351"/>
      <c r="D44" s="1351"/>
      <c r="E44" s="1351"/>
      <c r="F44" s="1351"/>
      <c r="G44" s="1351"/>
      <c r="H44" s="1351"/>
      <c r="I44" s="1351"/>
    </row>
    <row r="45" spans="1:9" x14ac:dyDescent="0.2">
      <c r="A45" s="98"/>
      <c r="B45" s="98"/>
      <c r="C45" s="98"/>
      <c r="D45" s="98"/>
      <c r="E45" s="98"/>
      <c r="F45" s="98"/>
      <c r="G45" s="98"/>
      <c r="H45" s="98"/>
      <c r="I45" s="98"/>
    </row>
    <row r="47" spans="1:9" x14ac:dyDescent="0.2">
      <c r="A47" s="48"/>
      <c r="B47" s="48"/>
      <c r="C47" s="48"/>
      <c r="D47" s="48"/>
      <c r="E47" s="48"/>
      <c r="F47" s="48"/>
      <c r="G47" s="48"/>
      <c r="H47" s="48"/>
      <c r="I47" s="48"/>
    </row>
    <row r="48" spans="1:9" x14ac:dyDescent="0.2">
      <c r="A48" s="88"/>
      <c r="B48" s="120"/>
      <c r="C48" s="120"/>
      <c r="D48" s="120"/>
      <c r="E48" s="120"/>
      <c r="F48" s="48"/>
      <c r="G48" s="48"/>
      <c r="H48" s="48"/>
      <c r="I48" s="48"/>
    </row>
    <row r="49" spans="1:9" x14ac:dyDescent="0.2">
      <c r="A49" s="120"/>
      <c r="B49" s="120"/>
      <c r="C49" s="120"/>
      <c r="D49" s="120"/>
      <c r="E49" s="120"/>
      <c r="F49" s="121"/>
      <c r="G49" s="121"/>
      <c r="H49" s="121"/>
      <c r="I49" s="48"/>
    </row>
    <row r="50" spans="1:9" x14ac:dyDescent="0.2">
      <c r="A50" s="1309"/>
      <c r="B50" s="1309"/>
      <c r="C50" s="1309"/>
      <c r="D50" s="1309"/>
      <c r="E50" s="1309"/>
      <c r="F50" s="122"/>
      <c r="G50" s="122"/>
      <c r="H50" s="123"/>
      <c r="I50" s="48"/>
    </row>
    <row r="51" spans="1:9" x14ac:dyDescent="0.2">
      <c r="A51" s="1309"/>
      <c r="B51" s="1309"/>
      <c r="C51" s="1309"/>
      <c r="D51" s="1309"/>
      <c r="E51" s="1309"/>
      <c r="F51" s="122"/>
      <c r="G51" s="122"/>
      <c r="H51" s="123"/>
      <c r="I51" s="48"/>
    </row>
    <row r="52" spans="1:9" x14ac:dyDescent="0.2">
      <c r="A52" s="1309"/>
      <c r="B52" s="1309"/>
      <c r="C52" s="1309"/>
      <c r="D52" s="1309"/>
      <c r="E52" s="1309"/>
      <c r="F52" s="122"/>
      <c r="G52" s="122"/>
      <c r="H52" s="124"/>
      <c r="I52" s="48"/>
    </row>
    <row r="53" spans="1:9" x14ac:dyDescent="0.2">
      <c r="A53" s="1309"/>
      <c r="B53" s="1309"/>
      <c r="C53" s="1309"/>
      <c r="D53" s="1309"/>
      <c r="E53" s="1309"/>
      <c r="F53" s="122"/>
      <c r="G53" s="122"/>
      <c r="H53" s="123"/>
      <c r="I53" s="48"/>
    </row>
    <row r="54" spans="1:9" x14ac:dyDescent="0.2">
      <c r="A54" s="1309"/>
      <c r="B54" s="1309"/>
      <c r="C54" s="1309"/>
      <c r="D54" s="1309"/>
      <c r="E54" s="1309"/>
      <c r="F54" s="122"/>
      <c r="G54" s="122"/>
      <c r="H54" s="123"/>
      <c r="I54" s="48"/>
    </row>
    <row r="55" spans="1:9" x14ac:dyDescent="0.2">
      <c r="A55" s="1309"/>
      <c r="B55" s="1309"/>
      <c r="C55" s="1309"/>
      <c r="D55" s="1309"/>
      <c r="E55" s="1309"/>
      <c r="F55" s="125"/>
      <c r="G55" s="125"/>
      <c r="H55" s="125"/>
      <c r="I55" s="48"/>
    </row>
  </sheetData>
  <mergeCells count="38">
    <mergeCell ref="A28:I28"/>
    <mergeCell ref="A42:I42"/>
    <mergeCell ref="A43:I44"/>
    <mergeCell ref="A29:I29"/>
    <mergeCell ref="A30:I30"/>
    <mergeCell ref="A31:I31"/>
    <mergeCell ref="A41:I41"/>
    <mergeCell ref="A37:E37"/>
    <mergeCell ref="A38:E38"/>
    <mergeCell ref="A39:E39"/>
    <mergeCell ref="A40:E40"/>
    <mergeCell ref="A24:H24"/>
    <mergeCell ref="A6:B6"/>
    <mergeCell ref="E6:F6"/>
    <mergeCell ref="G6:I6"/>
    <mergeCell ref="A27:I27"/>
    <mergeCell ref="E2:F2"/>
    <mergeCell ref="K6:O6"/>
    <mergeCell ref="G22:H22"/>
    <mergeCell ref="A23:I23"/>
    <mergeCell ref="A4:B4"/>
    <mergeCell ref="G4:I5"/>
    <mergeCell ref="A1:I1"/>
    <mergeCell ref="E4:F5"/>
    <mergeCell ref="A55:E55"/>
    <mergeCell ref="A50:E50"/>
    <mergeCell ref="A51:E51"/>
    <mergeCell ref="A52:E52"/>
    <mergeCell ref="A53:E53"/>
    <mergeCell ref="A54:E54"/>
    <mergeCell ref="A5:B5"/>
    <mergeCell ref="C5:D5"/>
    <mergeCell ref="C6:D6"/>
    <mergeCell ref="A3:B3"/>
    <mergeCell ref="A8:I8"/>
    <mergeCell ref="A2:B2"/>
    <mergeCell ref="C2:D2"/>
    <mergeCell ref="G2:I2"/>
  </mergeCells>
  <pageMargins left="0.51181102362204722" right="0.51181102362204722" top="0.78740157480314965" bottom="0.78740157480314965" header="0.31496062992125984" footer="0.31496062992125984"/>
  <pageSetup paperSize="9" scale="80" orientation="portrait" r:id="rId1"/>
  <rowBreaks count="1" manualBreakCount="1">
    <brk id="58" max="22" man="1"/>
  </rowBreaks>
  <colBreaks count="2" manualBreakCount="2">
    <brk id="9" max="1048575" man="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view="pageBreakPreview" topLeftCell="B15" zoomScale="90" zoomScaleSheetLayoutView="90" workbookViewId="0">
      <selection activeCell="B17" sqref="B17"/>
    </sheetView>
  </sheetViews>
  <sheetFormatPr defaultRowHeight="12.75" x14ac:dyDescent="0.2"/>
  <cols>
    <col min="1" max="1" width="19.28515625" bestFit="1" customWidth="1"/>
    <col min="2" max="2" width="63.140625" bestFit="1" customWidth="1"/>
    <col min="3" max="3" width="10.85546875" customWidth="1"/>
    <col min="4" max="4" width="11.7109375" customWidth="1"/>
    <col min="5" max="5" width="13" bestFit="1" customWidth="1"/>
    <col min="6" max="6" width="9.7109375" bestFit="1" customWidth="1"/>
  </cols>
  <sheetData>
    <row r="1" spans="1:12" ht="69.95" customHeight="1" x14ac:dyDescent="0.2">
      <c r="A1" s="215"/>
      <c r="B1" s="1365"/>
      <c r="C1" s="1365"/>
      <c r="D1" s="1365"/>
      <c r="E1" s="1365"/>
      <c r="F1" s="1365"/>
      <c r="G1" s="218"/>
      <c r="H1" s="218"/>
      <c r="I1" s="218"/>
      <c r="J1" s="218"/>
      <c r="K1" s="219"/>
      <c r="L1" s="219"/>
    </row>
    <row r="2" spans="1:12" ht="24.75" customHeight="1" x14ac:dyDescent="0.2">
      <c r="A2" s="224" t="s">
        <v>79</v>
      </c>
      <c r="B2" s="216" t="str">
        <f>ORÇ!B2</f>
        <v>PREFEITURA MUNICIPAL DE OURÉM</v>
      </c>
      <c r="C2" s="1357" t="s">
        <v>85</v>
      </c>
      <c r="D2" s="1358"/>
      <c r="E2" s="1359" t="str">
        <f>ORÇ!I2</f>
        <v>OURÉM/PA</v>
      </c>
      <c r="F2" s="1360"/>
      <c r="G2" s="48"/>
      <c r="H2" s="48"/>
      <c r="I2" s="48"/>
      <c r="J2" s="139"/>
    </row>
    <row r="3" spans="1:12" ht="32.25" customHeight="1" x14ac:dyDescent="0.2">
      <c r="A3" s="224" t="s">
        <v>80</v>
      </c>
      <c r="B3" s="1366" t="str">
        <f>ORÇ!B3</f>
        <v>CONSTRUÇÃO DO CENTRO DE FISIOTERAPIA, NO MUNICÍPIO DE OURÉM/PA</v>
      </c>
      <c r="C3" s="1367"/>
      <c r="D3" s="1367"/>
      <c r="E3" s="1361"/>
      <c r="F3" s="1362"/>
      <c r="G3" s="220"/>
      <c r="H3" s="48"/>
      <c r="I3" s="48"/>
      <c r="J3" s="139"/>
    </row>
    <row r="4" spans="1:12" ht="31.5" customHeight="1" x14ac:dyDescent="0.2">
      <c r="A4" s="224" t="s">
        <v>161</v>
      </c>
      <c r="B4" s="217" t="str">
        <f>ORÇ!B4</f>
        <v>AV. PADRE ANGELO MORETTE, S/Nº - OURÉM/PA</v>
      </c>
      <c r="C4" s="1368" t="s">
        <v>55</v>
      </c>
      <c r="D4" s="1369"/>
      <c r="E4" s="1375" t="str">
        <f>ORÇ!G5</f>
        <v>SINAPI FEVEREIRO 2022 - DESONERADA                                 SEDOP FEVEREIRO 2022 - DESONERADA</v>
      </c>
      <c r="F4" s="1375"/>
      <c r="G4" s="1201"/>
      <c r="H4" s="221"/>
      <c r="I4" s="221"/>
      <c r="J4" s="139"/>
    </row>
    <row r="5" spans="1:12" ht="24.75" customHeight="1" x14ac:dyDescent="0.2">
      <c r="A5" s="141" t="s">
        <v>81</v>
      </c>
      <c r="B5" s="230">
        <f>BDI!I24</f>
        <v>0.2881986483454233</v>
      </c>
      <c r="C5" s="1368"/>
      <c r="D5" s="1369"/>
      <c r="E5" s="1375"/>
      <c r="F5" s="1375"/>
      <c r="G5" s="1201"/>
      <c r="H5" s="222"/>
      <c r="I5" s="222"/>
      <c r="J5" s="139"/>
    </row>
    <row r="6" spans="1:12" ht="16.5" customHeight="1" x14ac:dyDescent="0.2">
      <c r="A6" s="1355" t="s">
        <v>82</v>
      </c>
      <c r="B6" s="1363" t="str">
        <f>ORÇ!B6</f>
        <v>MARUZA BAPTISTA</v>
      </c>
      <c r="C6" s="1370" t="s">
        <v>83</v>
      </c>
      <c r="D6" s="1371"/>
      <c r="E6" s="1374" t="str">
        <f>ORÇ!G7</f>
        <v>CAU: 28510-2 A</v>
      </c>
      <c r="F6" s="1374"/>
      <c r="G6" s="222"/>
      <c r="H6" s="222"/>
      <c r="I6" s="222"/>
      <c r="J6" s="140"/>
    </row>
    <row r="7" spans="1:12" ht="21" customHeight="1" x14ac:dyDescent="0.2">
      <c r="A7" s="1356"/>
      <c r="B7" s="1364"/>
      <c r="C7" s="1372"/>
      <c r="D7" s="1373"/>
      <c r="E7" s="1374"/>
      <c r="F7" s="1374"/>
      <c r="G7" s="223"/>
      <c r="H7" s="223"/>
      <c r="I7" s="223"/>
      <c r="J7" s="139"/>
    </row>
    <row r="8" spans="1:12" ht="13.5" thickBot="1" x14ac:dyDescent="0.25"/>
    <row r="9" spans="1:12" s="139" customFormat="1" ht="17.25" customHeight="1" x14ac:dyDescent="0.2">
      <c r="A9" s="1384" t="s">
        <v>86</v>
      </c>
      <c r="B9" s="1385"/>
      <c r="C9" s="1385"/>
      <c r="D9" s="1385"/>
      <c r="E9" s="1385"/>
      <c r="F9" s="1386"/>
    </row>
    <row r="10" spans="1:12" x14ac:dyDescent="0.2">
      <c r="A10" s="1387" t="s">
        <v>87</v>
      </c>
      <c r="B10" s="1388" t="s">
        <v>28</v>
      </c>
      <c r="C10" s="1389" t="s">
        <v>88</v>
      </c>
      <c r="D10" s="1389"/>
      <c r="E10" s="1389" t="s">
        <v>89</v>
      </c>
      <c r="F10" s="1390"/>
    </row>
    <row r="11" spans="1:12" ht="25.5" x14ac:dyDescent="0.2">
      <c r="A11" s="1387"/>
      <c r="B11" s="1388"/>
      <c r="C11" s="45" t="s">
        <v>90</v>
      </c>
      <c r="D11" s="45" t="s">
        <v>91</v>
      </c>
      <c r="E11" s="45" t="s">
        <v>90</v>
      </c>
      <c r="F11" s="86" t="s">
        <v>91</v>
      </c>
    </row>
    <row r="12" spans="1:12" x14ac:dyDescent="0.2">
      <c r="A12" s="1376" t="s">
        <v>92</v>
      </c>
      <c r="B12" s="1377"/>
      <c r="C12" s="1377"/>
      <c r="D12" s="1377"/>
      <c r="E12" s="1377"/>
      <c r="F12" s="1378"/>
    </row>
    <row r="13" spans="1:12" x14ac:dyDescent="0.2">
      <c r="A13" s="87" t="s">
        <v>93</v>
      </c>
      <c r="B13" s="78" t="s">
        <v>94</v>
      </c>
      <c r="C13" s="79">
        <v>0</v>
      </c>
      <c r="D13" s="79">
        <v>0</v>
      </c>
      <c r="E13" s="79">
        <v>0.2</v>
      </c>
      <c r="F13" s="89">
        <v>0.2</v>
      </c>
    </row>
    <row r="14" spans="1:12" x14ac:dyDescent="0.2">
      <c r="A14" s="87" t="s">
        <v>95</v>
      </c>
      <c r="B14" s="78" t="s">
        <v>96</v>
      </c>
      <c r="C14" s="79">
        <v>1.4999999999999999E-2</v>
      </c>
      <c r="D14" s="79">
        <v>1.4999999999999999E-2</v>
      </c>
      <c r="E14" s="79">
        <v>1.4999999999999999E-2</v>
      </c>
      <c r="F14" s="89">
        <v>1.4999999999999999E-2</v>
      </c>
    </row>
    <row r="15" spans="1:12" x14ac:dyDescent="0.2">
      <c r="A15" s="87" t="s">
        <v>97</v>
      </c>
      <c r="B15" s="78" t="s">
        <v>98</v>
      </c>
      <c r="C15" s="79">
        <v>0.01</v>
      </c>
      <c r="D15" s="79">
        <v>0.01</v>
      </c>
      <c r="E15" s="79">
        <v>0.01</v>
      </c>
      <c r="F15" s="89">
        <v>0.01</v>
      </c>
    </row>
    <row r="16" spans="1:12" x14ac:dyDescent="0.2">
      <c r="A16" s="87" t="s">
        <v>99</v>
      </c>
      <c r="B16" s="78" t="s">
        <v>100</v>
      </c>
      <c r="C16" s="79">
        <v>2E-3</v>
      </c>
      <c r="D16" s="79">
        <v>2E-3</v>
      </c>
      <c r="E16" s="79">
        <v>2E-3</v>
      </c>
      <c r="F16" s="89">
        <v>2E-3</v>
      </c>
    </row>
    <row r="17" spans="1:6" x14ac:dyDescent="0.2">
      <c r="A17" s="87" t="s">
        <v>101</v>
      </c>
      <c r="B17" s="78" t="s">
        <v>102</v>
      </c>
      <c r="C17" s="79">
        <v>6.0000000000000001E-3</v>
      </c>
      <c r="D17" s="79">
        <v>6.0000000000000001E-3</v>
      </c>
      <c r="E17" s="79">
        <v>6.0000000000000001E-3</v>
      </c>
      <c r="F17" s="89">
        <v>6.0000000000000001E-3</v>
      </c>
    </row>
    <row r="18" spans="1:6" x14ac:dyDescent="0.2">
      <c r="A18" s="87" t="s">
        <v>103</v>
      </c>
      <c r="B18" s="78" t="s">
        <v>104</v>
      </c>
      <c r="C18" s="79">
        <v>2.5000000000000001E-2</v>
      </c>
      <c r="D18" s="79">
        <v>2.5000000000000001E-2</v>
      </c>
      <c r="E18" s="79">
        <v>2.5000000000000001E-2</v>
      </c>
      <c r="F18" s="89">
        <v>2.5000000000000001E-2</v>
      </c>
    </row>
    <row r="19" spans="1:6" x14ac:dyDescent="0.2">
      <c r="A19" s="87" t="s">
        <v>105</v>
      </c>
      <c r="B19" s="88" t="s">
        <v>106</v>
      </c>
      <c r="C19" s="79">
        <v>0.03</v>
      </c>
      <c r="D19" s="79">
        <v>0.03</v>
      </c>
      <c r="E19" s="79">
        <v>0.03</v>
      </c>
      <c r="F19" s="89">
        <v>0.03</v>
      </c>
    </row>
    <row r="20" spans="1:6" x14ac:dyDescent="0.2">
      <c r="A20" s="87" t="s">
        <v>107</v>
      </c>
      <c r="B20" s="78" t="s">
        <v>108</v>
      </c>
      <c r="C20" s="79">
        <v>0.08</v>
      </c>
      <c r="D20" s="79">
        <v>0.08</v>
      </c>
      <c r="E20" s="79">
        <v>0.08</v>
      </c>
      <c r="F20" s="89">
        <v>0.08</v>
      </c>
    </row>
    <row r="21" spans="1:6" x14ac:dyDescent="0.2">
      <c r="A21" s="87" t="s">
        <v>109</v>
      </c>
      <c r="B21" s="78" t="s">
        <v>110</v>
      </c>
      <c r="C21" s="79">
        <v>0</v>
      </c>
      <c r="D21" s="79">
        <v>0</v>
      </c>
      <c r="E21" s="79">
        <v>0</v>
      </c>
      <c r="F21" s="89">
        <v>0</v>
      </c>
    </row>
    <row r="22" spans="1:6" x14ac:dyDescent="0.2">
      <c r="A22" s="90" t="s">
        <v>111</v>
      </c>
      <c r="B22" s="80" t="s">
        <v>47</v>
      </c>
      <c r="C22" s="81">
        <f>SUM(C13:C21)</f>
        <v>0.16799999999999998</v>
      </c>
      <c r="D22" s="81">
        <f>SUM(D13:D21)</f>
        <v>0.16799999999999998</v>
      </c>
      <c r="E22" s="81">
        <f>SUM(E13:E21)</f>
        <v>0.36800000000000005</v>
      </c>
      <c r="F22" s="91">
        <f>SUM(F13:F21)</f>
        <v>0.36800000000000005</v>
      </c>
    </row>
    <row r="23" spans="1:6" x14ac:dyDescent="0.2">
      <c r="A23" s="1376" t="s">
        <v>112</v>
      </c>
      <c r="B23" s="1377"/>
      <c r="C23" s="1377"/>
      <c r="D23" s="1377"/>
      <c r="E23" s="1377"/>
      <c r="F23" s="1378"/>
    </row>
    <row r="24" spans="1:6" x14ac:dyDescent="0.2">
      <c r="A24" s="87" t="s">
        <v>113</v>
      </c>
      <c r="B24" s="78" t="s">
        <v>114</v>
      </c>
      <c r="C24" s="79">
        <v>0.1812</v>
      </c>
      <c r="D24" s="350" t="s">
        <v>115</v>
      </c>
      <c r="E24" s="350">
        <v>0.1812</v>
      </c>
      <c r="F24" s="353" t="s">
        <v>115</v>
      </c>
    </row>
    <row r="25" spans="1:6" x14ac:dyDescent="0.2">
      <c r="A25" s="87" t="s">
        <v>116</v>
      </c>
      <c r="B25" s="88" t="s">
        <v>117</v>
      </c>
      <c r="C25" s="79">
        <v>4.1500000000000002E-2</v>
      </c>
      <c r="D25" s="350" t="s">
        <v>115</v>
      </c>
      <c r="E25" s="350">
        <v>4.1500000000000002E-2</v>
      </c>
      <c r="F25" s="353" t="s">
        <v>115</v>
      </c>
    </row>
    <row r="26" spans="1:6" x14ac:dyDescent="0.2">
      <c r="A26" s="87" t="s">
        <v>118</v>
      </c>
      <c r="B26" s="78" t="s">
        <v>119</v>
      </c>
      <c r="C26" s="79">
        <v>8.6999999999999994E-3</v>
      </c>
      <c r="D26" s="350">
        <v>6.6E-3</v>
      </c>
      <c r="E26" s="350">
        <v>8.6999999999999994E-3</v>
      </c>
      <c r="F26" s="353">
        <v>6.6E-3</v>
      </c>
    </row>
    <row r="27" spans="1:6" x14ac:dyDescent="0.2">
      <c r="A27" s="87" t="s">
        <v>120</v>
      </c>
      <c r="B27" s="78" t="s">
        <v>121</v>
      </c>
      <c r="C27" s="79">
        <v>0.1111</v>
      </c>
      <c r="D27" s="350">
        <v>8.3299999999999999E-2</v>
      </c>
      <c r="E27" s="350">
        <v>0.1111</v>
      </c>
      <c r="F27" s="353">
        <v>8.3299999999999999E-2</v>
      </c>
    </row>
    <row r="28" spans="1:6" x14ac:dyDescent="0.2">
      <c r="A28" s="87" t="s">
        <v>122</v>
      </c>
      <c r="B28" s="78" t="s">
        <v>123</v>
      </c>
      <c r="C28" s="79">
        <v>6.9999999999999999E-4</v>
      </c>
      <c r="D28" s="350">
        <v>5.9999999999999995E-4</v>
      </c>
      <c r="E28" s="350">
        <v>6.9999999999999999E-4</v>
      </c>
      <c r="F28" s="353">
        <v>5.9999999999999995E-4</v>
      </c>
    </row>
    <row r="29" spans="1:6" x14ac:dyDescent="0.2">
      <c r="A29" s="87" t="s">
        <v>124</v>
      </c>
      <c r="B29" s="78" t="s">
        <v>125</v>
      </c>
      <c r="C29" s="79">
        <v>7.4000000000000003E-3</v>
      </c>
      <c r="D29" s="350">
        <v>5.5999999999999999E-3</v>
      </c>
      <c r="E29" s="350">
        <v>7.4000000000000003E-3</v>
      </c>
      <c r="F29" s="353">
        <v>5.5999999999999999E-3</v>
      </c>
    </row>
    <row r="30" spans="1:6" x14ac:dyDescent="0.2">
      <c r="A30" s="87" t="s">
        <v>126</v>
      </c>
      <c r="B30" s="78" t="s">
        <v>127</v>
      </c>
      <c r="C30" s="79">
        <v>2.7199999999999998E-2</v>
      </c>
      <c r="D30" s="350" t="s">
        <v>115</v>
      </c>
      <c r="E30" s="350">
        <v>2.7199999999999998E-2</v>
      </c>
      <c r="F30" s="353" t="s">
        <v>115</v>
      </c>
    </row>
    <row r="31" spans="1:6" x14ac:dyDescent="0.2">
      <c r="A31" s="87" t="s">
        <v>128</v>
      </c>
      <c r="B31" s="78" t="s">
        <v>129</v>
      </c>
      <c r="C31" s="79">
        <v>1.1000000000000001E-3</v>
      </c>
      <c r="D31" s="350">
        <v>8.0000000000000004E-4</v>
      </c>
      <c r="E31" s="350">
        <v>1.1000000000000001E-3</v>
      </c>
      <c r="F31" s="353">
        <v>8.0000000000000004E-4</v>
      </c>
    </row>
    <row r="32" spans="1:6" x14ac:dyDescent="0.2">
      <c r="A32" s="87" t="s">
        <v>130</v>
      </c>
      <c r="B32" s="78" t="s">
        <v>131</v>
      </c>
      <c r="C32" s="79">
        <v>0.1124</v>
      </c>
      <c r="D32" s="79">
        <v>8.43E-2</v>
      </c>
      <c r="E32" s="79">
        <v>0.1124</v>
      </c>
      <c r="F32" s="89">
        <v>8.43E-2</v>
      </c>
    </row>
    <row r="33" spans="1:6" x14ac:dyDescent="0.2">
      <c r="A33" s="87" t="s">
        <v>132</v>
      </c>
      <c r="B33" s="78" t="s">
        <v>133</v>
      </c>
      <c r="C33" s="79">
        <v>2.9999999999999997E-4</v>
      </c>
      <c r="D33" s="79">
        <v>2.0000000000000001E-4</v>
      </c>
      <c r="E33" s="79">
        <v>2.9999999999999997E-4</v>
      </c>
      <c r="F33" s="89">
        <v>2.0000000000000001E-4</v>
      </c>
    </row>
    <row r="34" spans="1:6" x14ac:dyDescent="0.2">
      <c r="A34" s="92" t="s">
        <v>134</v>
      </c>
      <c r="B34" s="82" t="s">
        <v>47</v>
      </c>
      <c r="C34" s="344">
        <f>SUM(C24:C33)</f>
        <v>0.49160000000000004</v>
      </c>
      <c r="D34" s="344">
        <f>SUM(D24:D33)</f>
        <v>0.18139999999999998</v>
      </c>
      <c r="E34" s="344">
        <f>SUM(E24:E33)</f>
        <v>0.49160000000000004</v>
      </c>
      <c r="F34" s="345">
        <f>SUM(F24:F33)</f>
        <v>0.18139999999999998</v>
      </c>
    </row>
    <row r="35" spans="1:6" x14ac:dyDescent="0.2">
      <c r="A35" s="1379" t="s">
        <v>135</v>
      </c>
      <c r="B35" s="1380"/>
      <c r="C35" s="1380"/>
      <c r="D35" s="1380"/>
      <c r="E35" s="1380"/>
      <c r="F35" s="1381"/>
    </row>
    <row r="36" spans="1:6" x14ac:dyDescent="0.2">
      <c r="A36" s="93" t="s">
        <v>136</v>
      </c>
      <c r="B36" s="83" t="s">
        <v>137</v>
      </c>
      <c r="C36" s="346">
        <v>5.7500000000000002E-2</v>
      </c>
      <c r="D36" s="346">
        <v>4.3200000000000002E-2</v>
      </c>
      <c r="E36" s="346">
        <v>5.7500000000000002E-2</v>
      </c>
      <c r="F36" s="351">
        <v>4.3200000000000002E-2</v>
      </c>
    </row>
    <row r="37" spans="1:6" x14ac:dyDescent="0.2">
      <c r="A37" s="87" t="s">
        <v>138</v>
      </c>
      <c r="B37" s="78" t="s">
        <v>139</v>
      </c>
      <c r="C37" s="79">
        <v>1.4E-3</v>
      </c>
      <c r="D37" s="79">
        <v>1E-3</v>
      </c>
      <c r="E37" s="79">
        <v>1.4E-3</v>
      </c>
      <c r="F37" s="89">
        <v>1E-3</v>
      </c>
    </row>
    <row r="38" spans="1:6" x14ac:dyDescent="0.2">
      <c r="A38" s="87" t="s">
        <v>140</v>
      </c>
      <c r="B38" s="78" t="s">
        <v>141</v>
      </c>
      <c r="C38" s="79">
        <v>3.1E-2</v>
      </c>
      <c r="D38" s="79">
        <v>2.3199999999999998E-2</v>
      </c>
      <c r="E38" s="79">
        <v>3.1E-2</v>
      </c>
      <c r="F38" s="89">
        <v>2.3199999999999998E-2</v>
      </c>
    </row>
    <row r="39" spans="1:6" x14ac:dyDescent="0.2">
      <c r="A39" s="87" t="s">
        <v>142</v>
      </c>
      <c r="B39" s="78" t="s">
        <v>143</v>
      </c>
      <c r="C39" s="79">
        <v>3.3099999999999997E-2</v>
      </c>
      <c r="D39" s="79">
        <v>2.4899999999999999E-2</v>
      </c>
      <c r="E39" s="79">
        <v>3.3099999999999997E-2</v>
      </c>
      <c r="F39" s="89">
        <v>2.4899999999999999E-2</v>
      </c>
    </row>
    <row r="40" spans="1:6" x14ac:dyDescent="0.2">
      <c r="A40" s="87" t="s">
        <v>144</v>
      </c>
      <c r="B40" s="78" t="s">
        <v>145</v>
      </c>
      <c r="C40" s="79">
        <v>4.7999999999999996E-3</v>
      </c>
      <c r="D40" s="79">
        <v>3.5999999999999999E-3</v>
      </c>
      <c r="E40" s="79">
        <v>4.7999999999999996E-3</v>
      </c>
      <c r="F40" s="89">
        <v>3.5999999999999999E-3</v>
      </c>
    </row>
    <row r="41" spans="1:6" x14ac:dyDescent="0.2">
      <c r="A41" s="92" t="s">
        <v>146</v>
      </c>
      <c r="B41" s="82" t="s">
        <v>47</v>
      </c>
      <c r="C41" s="344">
        <f>SUM(C36:C40)</f>
        <v>0.1278</v>
      </c>
      <c r="D41" s="344">
        <f>SUM(D36:D40)</f>
        <v>9.5899999999999999E-2</v>
      </c>
      <c r="E41" s="344">
        <f>SUM(E36:E40)</f>
        <v>0.1278</v>
      </c>
      <c r="F41" s="345">
        <f>SUM(F36:F40)</f>
        <v>9.5899999999999999E-2</v>
      </c>
    </row>
    <row r="42" spans="1:6" x14ac:dyDescent="0.2">
      <c r="A42" s="1379" t="s">
        <v>147</v>
      </c>
      <c r="B42" s="1380"/>
      <c r="C42" s="1380"/>
      <c r="D42" s="1380"/>
      <c r="E42" s="1380"/>
      <c r="F42" s="1381"/>
    </row>
    <row r="43" spans="1:6" x14ac:dyDescent="0.2">
      <c r="A43" s="93" t="s">
        <v>148</v>
      </c>
      <c r="B43" s="83" t="s">
        <v>149</v>
      </c>
      <c r="C43" s="346">
        <v>8.2600000000000007E-2</v>
      </c>
      <c r="D43" s="346">
        <v>3.0499999999999999E-2</v>
      </c>
      <c r="E43" s="346">
        <v>0.18090000000000001</v>
      </c>
      <c r="F43" s="351">
        <v>6.6799999999999998E-2</v>
      </c>
    </row>
    <row r="44" spans="1:6" ht="25.5" x14ac:dyDescent="0.2">
      <c r="A44" s="87" t="s">
        <v>150</v>
      </c>
      <c r="B44" s="84" t="s">
        <v>151</v>
      </c>
      <c r="C44" s="347">
        <v>4.7999999999999996E-3</v>
      </c>
      <c r="D44" s="347">
        <v>3.5999999999999999E-3</v>
      </c>
      <c r="E44" s="347">
        <v>5.1000000000000004E-3</v>
      </c>
      <c r="F44" s="352">
        <v>3.8E-3</v>
      </c>
    </row>
    <row r="45" spans="1:6" x14ac:dyDescent="0.2">
      <c r="A45" s="90" t="s">
        <v>152</v>
      </c>
      <c r="B45" s="80" t="s">
        <v>47</v>
      </c>
      <c r="C45" s="81">
        <f>SUM(C43:C44)</f>
        <v>8.7400000000000005E-2</v>
      </c>
      <c r="D45" s="81">
        <f>SUM(D43:D44)</f>
        <v>3.4099999999999998E-2</v>
      </c>
      <c r="E45" s="81">
        <f>SUM(E43:E44)</f>
        <v>0.186</v>
      </c>
      <c r="F45" s="91">
        <f>SUM(F43:F44)</f>
        <v>7.0599999999999996E-2</v>
      </c>
    </row>
    <row r="46" spans="1:6" ht="13.5" thickBot="1" x14ac:dyDescent="0.25">
      <c r="A46" s="1382" t="s">
        <v>153</v>
      </c>
      <c r="B46" s="1383"/>
      <c r="C46" s="348">
        <f>C22+C34+C41+C45</f>
        <v>0.87480000000000002</v>
      </c>
      <c r="D46" s="348">
        <f>D22+D34+D41+D45</f>
        <v>0.47939999999999994</v>
      </c>
      <c r="E46" s="348">
        <f>E22+E34+E41+E45</f>
        <v>1.1734000000000002</v>
      </c>
      <c r="F46" s="349">
        <f>F22+F34+F41+F45</f>
        <v>0.71589999999999998</v>
      </c>
    </row>
  </sheetData>
  <mergeCells count="20">
    <mergeCell ref="A23:F23"/>
    <mergeCell ref="A35:F35"/>
    <mergeCell ref="A42:F42"/>
    <mergeCell ref="A46:B46"/>
    <mergeCell ref="A9:F9"/>
    <mergeCell ref="A10:A11"/>
    <mergeCell ref="B10:B11"/>
    <mergeCell ref="C10:D10"/>
    <mergeCell ref="E10:F10"/>
    <mergeCell ref="A12:F12"/>
    <mergeCell ref="A6:A7"/>
    <mergeCell ref="C2:D2"/>
    <mergeCell ref="E2:F3"/>
    <mergeCell ref="B6:B7"/>
    <mergeCell ref="B1:F1"/>
    <mergeCell ref="B3:D3"/>
    <mergeCell ref="C4:D5"/>
    <mergeCell ref="C6:D7"/>
    <mergeCell ref="E6:F7"/>
    <mergeCell ref="E4:F5"/>
  </mergeCells>
  <pageMargins left="0.51181102362204722" right="0.51181102362204722" top="0.78740157480314965" bottom="0.78740157480314965"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R95"/>
  <sheetViews>
    <sheetView tabSelected="1" view="pageBreakPreview" topLeftCell="A30" zoomScale="60" zoomScaleNormal="80" workbookViewId="0">
      <selection activeCell="B78" sqref="B78:B80"/>
    </sheetView>
  </sheetViews>
  <sheetFormatPr defaultColWidth="9.140625" defaultRowHeight="14.25" x14ac:dyDescent="0.2"/>
  <cols>
    <col min="1" max="1" width="13.5703125" style="607" customWidth="1"/>
    <col min="2" max="2" width="84.5703125" style="607" customWidth="1"/>
    <col min="3" max="14" width="20.7109375" style="607" customWidth="1"/>
    <col min="15" max="15" width="25.5703125" style="607" customWidth="1"/>
    <col min="16" max="16" width="9.85546875" style="607" customWidth="1"/>
    <col min="17" max="17" width="9.140625" style="607"/>
    <col min="18" max="18" width="14.7109375" style="607" bestFit="1" customWidth="1"/>
    <col min="19" max="16384" width="9.140625" style="607"/>
  </cols>
  <sheetData>
    <row r="8" spans="1:15" ht="19.5" customHeight="1" x14ac:dyDescent="0.2">
      <c r="A8" s="1145"/>
      <c r="B8" s="1146"/>
      <c r="C8" s="1146"/>
      <c r="D8" s="1146"/>
      <c r="E8" s="1146"/>
      <c r="F8" s="1146"/>
      <c r="G8" s="1146"/>
      <c r="H8" s="1146"/>
      <c r="I8" s="1146"/>
      <c r="J8" s="1146"/>
      <c r="K8" s="1146"/>
      <c r="L8" s="1146"/>
      <c r="M8" s="1146"/>
      <c r="N8" s="1146"/>
      <c r="O8" s="1147"/>
    </row>
    <row r="9" spans="1:15" ht="36.75" customHeight="1" x14ac:dyDescent="0.2">
      <c r="A9" s="1145"/>
      <c r="B9" s="1146"/>
      <c r="C9" s="1146"/>
      <c r="D9" s="1146"/>
      <c r="E9" s="1146"/>
      <c r="F9" s="1146"/>
      <c r="G9" s="1146"/>
      <c r="H9" s="1146"/>
      <c r="I9" s="1146"/>
      <c r="J9" s="1146"/>
      <c r="K9" s="1146"/>
      <c r="L9" s="1146"/>
      <c r="M9" s="1146"/>
      <c r="N9" s="1146"/>
      <c r="O9" s="1147"/>
    </row>
    <row r="10" spans="1:15" s="1148" customFormat="1" ht="15.75" customHeight="1" x14ac:dyDescent="0.2">
      <c r="A10" s="1448" t="s">
        <v>2371</v>
      </c>
      <c r="B10" s="1448"/>
      <c r="C10" s="1448"/>
      <c r="D10" s="1448"/>
      <c r="E10" s="1448"/>
      <c r="F10" s="1448"/>
      <c r="G10" s="1448"/>
      <c r="H10" s="1448"/>
      <c r="I10" s="1448"/>
      <c r="J10" s="1448"/>
      <c r="K10" s="1448"/>
      <c r="L10" s="1448"/>
      <c r="M10" s="1448"/>
      <c r="N10" s="1448"/>
      <c r="O10" s="1448"/>
    </row>
    <row r="11" spans="1:15" s="1148" customFormat="1" ht="15" x14ac:dyDescent="0.2">
      <c r="A11" s="1223"/>
      <c r="B11" s="1224"/>
      <c r="C11" s="1224"/>
      <c r="D11" s="1224"/>
      <c r="E11" s="1224"/>
      <c r="F11" s="1224"/>
      <c r="G11" s="599"/>
    </row>
    <row r="12" spans="1:15" ht="26.25" customHeight="1" x14ac:dyDescent="0.2">
      <c r="A12" s="224" t="s">
        <v>79</v>
      </c>
      <c r="B12" s="1449" t="str">
        <f>ORÇ!B2</f>
        <v>PREFEITURA MUNICIPAL DE OURÉM</v>
      </c>
      <c r="C12" s="1449"/>
      <c r="D12" s="1449"/>
      <c r="E12" s="1449"/>
      <c r="F12" s="1449"/>
      <c r="G12" s="1449"/>
      <c r="H12" s="1450" t="s">
        <v>168</v>
      </c>
      <c r="I12" s="1450"/>
      <c r="J12" s="1451" t="str">
        <f>ORÇ!I2</f>
        <v>OURÉM/PA</v>
      </c>
      <c r="K12" s="1451"/>
      <c r="L12" s="1451"/>
      <c r="M12" s="1451"/>
      <c r="N12" s="1451"/>
      <c r="O12" s="1451"/>
    </row>
    <row r="13" spans="1:15" ht="18" customHeight="1" x14ac:dyDescent="0.2">
      <c r="A13" s="224" t="s">
        <v>80</v>
      </c>
      <c r="B13" s="1452" t="str">
        <f>ORÇ!B3</f>
        <v>CONSTRUÇÃO DO CENTRO DE FISIOTERAPIA, NO MUNICÍPIO DE OURÉM/PA</v>
      </c>
      <c r="C13" s="1452"/>
      <c r="D13" s="1452"/>
      <c r="E13" s="1452"/>
      <c r="F13" s="1452"/>
      <c r="G13" s="1452"/>
      <c r="H13" s="1452"/>
      <c r="I13" s="1452"/>
      <c r="J13" s="1452"/>
      <c r="K13" s="1452"/>
      <c r="L13" s="1452"/>
      <c r="M13" s="1452"/>
      <c r="N13" s="1452"/>
      <c r="O13" s="1452"/>
    </row>
    <row r="14" spans="1:15" ht="18" customHeight="1" x14ac:dyDescent="0.2">
      <c r="A14" s="224" t="s">
        <v>161</v>
      </c>
      <c r="B14" s="1452" t="str">
        <f>ORÇ!B4</f>
        <v>AV. PADRE ANGELO MORETTE, S/Nº - OURÉM/PA</v>
      </c>
      <c r="C14" s="1452"/>
      <c r="D14" s="1452"/>
      <c r="E14" s="1452"/>
      <c r="F14" s="1452"/>
      <c r="G14" s="1452"/>
      <c r="H14" s="1452"/>
      <c r="I14" s="1452"/>
      <c r="J14" s="1452"/>
      <c r="K14" s="1452"/>
      <c r="L14" s="1452"/>
      <c r="M14" s="1452"/>
      <c r="N14" s="1452"/>
      <c r="O14" s="1452"/>
    </row>
    <row r="15" spans="1:15" ht="18" customHeight="1" x14ac:dyDescent="0.2">
      <c r="A15" s="1222" t="s">
        <v>81</v>
      </c>
      <c r="B15" s="1453">
        <f>ORÇ!B5</f>
        <v>0.2881986483454233</v>
      </c>
      <c r="C15" s="1452"/>
      <c r="D15" s="1452"/>
      <c r="E15" s="1452"/>
      <c r="F15" s="1452"/>
      <c r="G15" s="1452"/>
      <c r="H15" s="1450" t="s">
        <v>166</v>
      </c>
      <c r="I15" s="1450"/>
      <c r="J15" s="1454" t="str">
        <f>ORÇ!G5</f>
        <v>SINAPI FEVEREIRO 2022 - DESONERADA                                 SEDOP FEVEREIRO 2022 - DESONERADA</v>
      </c>
      <c r="K15" s="1454"/>
      <c r="L15" s="1454"/>
      <c r="M15" s="1454"/>
      <c r="N15" s="1454"/>
      <c r="O15" s="1454"/>
    </row>
    <row r="16" spans="1:15" ht="39.75" customHeight="1" x14ac:dyDescent="0.2">
      <c r="A16" s="1222" t="s">
        <v>2372</v>
      </c>
      <c r="B16" s="1449" t="str">
        <f>ORÇ!B6</f>
        <v>MARUZA BAPTISTA</v>
      </c>
      <c r="C16" s="1449"/>
      <c r="D16" s="1449"/>
      <c r="E16" s="1449"/>
      <c r="F16" s="1449"/>
      <c r="G16" s="1449"/>
      <c r="H16" s="1450" t="s">
        <v>167</v>
      </c>
      <c r="I16" s="1450"/>
      <c r="J16" s="1452" t="str">
        <f>ORÇ!G7</f>
        <v>CAU: 28510-2 A</v>
      </c>
      <c r="K16" s="1452"/>
      <c r="L16" s="1452"/>
      <c r="M16" s="1452"/>
      <c r="N16" s="1452"/>
      <c r="O16" s="1452"/>
    </row>
    <row r="17" spans="1:18" ht="11.25" customHeight="1" thickBot="1" x14ac:dyDescent="0.25">
      <c r="A17" s="1019"/>
    </row>
    <row r="18" spans="1:18" ht="21.75" customHeight="1" thickBot="1" x14ac:dyDescent="0.25">
      <c r="A18" s="1225"/>
      <c r="B18" s="1198" t="s">
        <v>2373</v>
      </c>
      <c r="C18" s="1455" t="s">
        <v>2374</v>
      </c>
      <c r="D18" s="1455"/>
      <c r="E18" s="1455" t="s">
        <v>2375</v>
      </c>
      <c r="F18" s="1455"/>
      <c r="G18" s="1455" t="s">
        <v>2376</v>
      </c>
      <c r="H18" s="1455"/>
      <c r="I18" s="1455" t="s">
        <v>2377</v>
      </c>
      <c r="J18" s="1455"/>
      <c r="K18" s="1455" t="s">
        <v>2378</v>
      </c>
      <c r="L18" s="1455"/>
      <c r="M18" s="1455" t="s">
        <v>2379</v>
      </c>
      <c r="N18" s="1455"/>
      <c r="O18" s="1199"/>
    </row>
    <row r="19" spans="1:18" ht="21" customHeight="1" x14ac:dyDescent="0.2">
      <c r="A19" s="1400" t="s">
        <v>27</v>
      </c>
      <c r="B19" s="1402" t="s">
        <v>28</v>
      </c>
      <c r="C19" s="1402" t="s">
        <v>29</v>
      </c>
      <c r="D19" s="1402"/>
      <c r="E19" s="1402" t="s">
        <v>30</v>
      </c>
      <c r="F19" s="1402"/>
      <c r="G19" s="1402" t="s">
        <v>31</v>
      </c>
      <c r="H19" s="1402"/>
      <c r="I19" s="1402" t="s">
        <v>32</v>
      </c>
      <c r="J19" s="1402"/>
      <c r="K19" s="1402" t="s">
        <v>33</v>
      </c>
      <c r="L19" s="1402"/>
      <c r="M19" s="1402" t="s">
        <v>34</v>
      </c>
      <c r="N19" s="1402"/>
      <c r="O19" s="1404" t="s">
        <v>35</v>
      </c>
    </row>
    <row r="20" spans="1:18" ht="19.5" customHeight="1" thickBot="1" x14ac:dyDescent="0.25">
      <c r="A20" s="1401"/>
      <c r="B20" s="1403"/>
      <c r="C20" s="1200" t="s">
        <v>36</v>
      </c>
      <c r="D20" s="1200" t="s">
        <v>36</v>
      </c>
      <c r="E20" s="1200" t="s">
        <v>36</v>
      </c>
      <c r="F20" s="1200" t="s">
        <v>36</v>
      </c>
      <c r="G20" s="1200" t="s">
        <v>36</v>
      </c>
      <c r="H20" s="1200" t="s">
        <v>36</v>
      </c>
      <c r="I20" s="1200" t="s">
        <v>36</v>
      </c>
      <c r="J20" s="1200" t="s">
        <v>36</v>
      </c>
      <c r="K20" s="1200" t="s">
        <v>36</v>
      </c>
      <c r="L20" s="1200" t="s">
        <v>36</v>
      </c>
      <c r="M20" s="1200" t="s">
        <v>36</v>
      </c>
      <c r="N20" s="1200" t="s">
        <v>36</v>
      </c>
      <c r="O20" s="1405"/>
    </row>
    <row r="21" spans="1:18" ht="18.75" customHeight="1" x14ac:dyDescent="0.2">
      <c r="A21" s="1391">
        <v>1</v>
      </c>
      <c r="B21" s="1392" t="str">
        <f>ORÇ!D12</f>
        <v>Administração Local</v>
      </c>
      <c r="C21" s="1398">
        <v>0.1666</v>
      </c>
      <c r="D21" s="1393"/>
      <c r="E21" s="1393">
        <v>0.1666</v>
      </c>
      <c r="F21" s="1393"/>
      <c r="G21" s="1393">
        <v>0.16669999999999999</v>
      </c>
      <c r="H21" s="1393"/>
      <c r="I21" s="1393">
        <v>0.16669999999999999</v>
      </c>
      <c r="J21" s="1393"/>
      <c r="K21" s="1393">
        <v>0.16669999999999999</v>
      </c>
      <c r="L21" s="1393"/>
      <c r="M21" s="1393">
        <v>0.16669999999999999</v>
      </c>
      <c r="N21" s="1399"/>
      <c r="O21" s="1394">
        <f>ORÇ!I14</f>
        <v>27719.97</v>
      </c>
    </row>
    <row r="22" spans="1:18" ht="18.75" customHeight="1" x14ac:dyDescent="0.2">
      <c r="A22" s="1391"/>
      <c r="B22" s="1392"/>
      <c r="C22" s="1149"/>
      <c r="D22" s="1150"/>
      <c r="E22" s="1151"/>
      <c r="F22" s="1150"/>
      <c r="G22" s="1151"/>
      <c r="H22" s="1150"/>
      <c r="I22" s="1151"/>
      <c r="J22" s="1150"/>
      <c r="K22" s="1151"/>
      <c r="L22" s="1150"/>
      <c r="M22" s="1151"/>
      <c r="N22" s="1152"/>
      <c r="O22" s="1394"/>
    </row>
    <row r="23" spans="1:18" x14ac:dyDescent="0.2">
      <c r="A23" s="1391"/>
      <c r="B23" s="1392"/>
      <c r="C23" s="1395">
        <f>O21*C21</f>
        <v>4618.1470019999997</v>
      </c>
      <c r="D23" s="1396"/>
      <c r="E23" s="1396">
        <f>O21*E21</f>
        <v>4618.1470019999997</v>
      </c>
      <c r="F23" s="1396"/>
      <c r="G23" s="1396">
        <f>O21*G21</f>
        <v>4620.9189989999995</v>
      </c>
      <c r="H23" s="1396"/>
      <c r="I23" s="1396">
        <f>O21*I21</f>
        <v>4620.9189989999995</v>
      </c>
      <c r="J23" s="1396"/>
      <c r="K23" s="1396">
        <f>O21*K21</f>
        <v>4620.9189989999995</v>
      </c>
      <c r="L23" s="1396"/>
      <c r="M23" s="1396">
        <f>O21*M21</f>
        <v>4620.9189989999995</v>
      </c>
      <c r="N23" s="1397"/>
      <c r="O23" s="1394"/>
      <c r="P23" s="1153">
        <f>SUM(C23:N23)</f>
        <v>27719.97</v>
      </c>
    </row>
    <row r="24" spans="1:18" x14ac:dyDescent="0.2">
      <c r="A24" s="1391">
        <v>2</v>
      </c>
      <c r="B24" s="1408" t="str">
        <f>ORÇ!D15</f>
        <v xml:space="preserve">Serviços Preliminares </v>
      </c>
      <c r="C24" s="1410">
        <v>0.85</v>
      </c>
      <c r="D24" s="1410"/>
      <c r="E24" s="1411">
        <v>0.15</v>
      </c>
      <c r="F24" s="1412"/>
      <c r="G24" s="1413"/>
      <c r="H24" s="1413"/>
      <c r="I24" s="1413"/>
      <c r="J24" s="1413"/>
      <c r="K24" s="1154"/>
      <c r="L24" s="1155"/>
      <c r="M24" s="1156"/>
      <c r="N24" s="1157"/>
      <c r="O24" s="1421">
        <f>ORÇ!I24</f>
        <v>45047.12</v>
      </c>
      <c r="P24" s="1153"/>
      <c r="Q24" s="1153"/>
    </row>
    <row r="25" spans="1:18" x14ac:dyDescent="0.2">
      <c r="A25" s="1391"/>
      <c r="B25" s="1409"/>
      <c r="C25" s="1151"/>
      <c r="D25" s="1150"/>
      <c r="E25" s="1151"/>
      <c r="F25" s="1158"/>
      <c r="G25" s="1159"/>
      <c r="H25" s="1158"/>
      <c r="I25" s="1159"/>
      <c r="J25" s="1158"/>
      <c r="K25" s="1160"/>
      <c r="L25" s="1161"/>
      <c r="M25" s="1160"/>
      <c r="N25" s="1161"/>
      <c r="O25" s="1422"/>
      <c r="P25" s="1153"/>
      <c r="Q25" s="1153"/>
    </row>
    <row r="26" spans="1:18" x14ac:dyDescent="0.2">
      <c r="A26" s="1391"/>
      <c r="B26" s="1409"/>
      <c r="C26" s="1406">
        <f>O24*C24</f>
        <v>38290.052000000003</v>
      </c>
      <c r="D26" s="1406"/>
      <c r="E26" s="1406">
        <f>O24*E24</f>
        <v>6757.0680000000002</v>
      </c>
      <c r="F26" s="1406"/>
      <c r="G26" s="1407"/>
      <c r="H26" s="1407"/>
      <c r="I26" s="1407"/>
      <c r="J26" s="1407"/>
      <c r="K26" s="1154"/>
      <c r="L26" s="1155"/>
      <c r="M26" s="1162"/>
      <c r="N26" s="1163"/>
      <c r="O26" s="1423"/>
      <c r="P26" s="1153">
        <f>SUM(C26:N26)</f>
        <v>45047.12</v>
      </c>
    </row>
    <row r="27" spans="1:18" x14ac:dyDescent="0.2">
      <c r="A27" s="1391">
        <v>3</v>
      </c>
      <c r="B27" s="1424" t="str">
        <f>ORÇ!D25</f>
        <v>Movimento de Terra</v>
      </c>
      <c r="C27" s="1411">
        <v>0.1</v>
      </c>
      <c r="D27" s="1412"/>
      <c r="E27" s="1425">
        <v>0.9</v>
      </c>
      <c r="F27" s="1412"/>
      <c r="G27" s="1426"/>
      <c r="H27" s="1426"/>
      <c r="I27" s="1426"/>
      <c r="J27" s="1426"/>
      <c r="K27" s="1414"/>
      <c r="L27" s="1414"/>
      <c r="M27" s="1414"/>
      <c r="N27" s="1414"/>
      <c r="O27" s="1415">
        <f>ORÇ!I27</f>
        <v>10957.87</v>
      </c>
      <c r="P27" s="1153"/>
      <c r="Q27" s="1153"/>
    </row>
    <row r="28" spans="1:18" x14ac:dyDescent="0.2">
      <c r="A28" s="1391"/>
      <c r="B28" s="1424"/>
      <c r="C28" s="1159"/>
      <c r="D28" s="1150"/>
      <c r="E28" s="1149"/>
      <c r="F28" s="1150"/>
      <c r="G28" s="1159"/>
      <c r="H28" s="1158"/>
      <c r="I28" s="1159"/>
      <c r="J28" s="1158"/>
      <c r="K28" s="1159"/>
      <c r="L28" s="1158"/>
      <c r="M28" s="1159"/>
      <c r="N28" s="1158"/>
      <c r="O28" s="1415"/>
      <c r="P28" s="1153"/>
      <c r="Q28" s="1153"/>
    </row>
    <row r="29" spans="1:18" x14ac:dyDescent="0.2">
      <c r="A29" s="1391"/>
      <c r="B29" s="1424"/>
      <c r="C29" s="1406">
        <f>O27*C27</f>
        <v>1095.787</v>
      </c>
      <c r="D29" s="1406"/>
      <c r="E29" s="1416">
        <f>E27*O27</f>
        <v>9862.0830000000005</v>
      </c>
      <c r="F29" s="1417"/>
      <c r="G29" s="1418"/>
      <c r="H29" s="1417"/>
      <c r="I29" s="1418"/>
      <c r="J29" s="1417"/>
      <c r="K29" s="1419"/>
      <c r="L29" s="1420"/>
      <c r="M29" s="1419"/>
      <c r="N29" s="1420"/>
      <c r="O29" s="1415"/>
      <c r="P29" s="1153">
        <f>SUM(C29:N29)</f>
        <v>10957.87</v>
      </c>
      <c r="R29" s="1164">
        <f>SUM(C29:J29)</f>
        <v>10957.87</v>
      </c>
    </row>
    <row r="30" spans="1:18" x14ac:dyDescent="0.2">
      <c r="A30" s="1391">
        <v>4</v>
      </c>
      <c r="B30" s="1429" t="str">
        <f>ORÇ!D28</f>
        <v>Infraestrutura</v>
      </c>
      <c r="C30" s="1160"/>
      <c r="D30" s="1161"/>
      <c r="E30" s="1411">
        <v>0.7</v>
      </c>
      <c r="F30" s="1412"/>
      <c r="G30" s="1426">
        <v>0.3</v>
      </c>
      <c r="H30" s="1426"/>
      <c r="I30" s="1414"/>
      <c r="J30" s="1414"/>
      <c r="K30" s="1414"/>
      <c r="L30" s="1414"/>
      <c r="M30" s="1165"/>
      <c r="N30" s="1166"/>
      <c r="O30" s="1415">
        <f>ORÇ!I60</f>
        <v>95733.64</v>
      </c>
      <c r="P30" s="1153"/>
      <c r="Q30" s="1153"/>
      <c r="R30" s="1164"/>
    </row>
    <row r="31" spans="1:18" x14ac:dyDescent="0.2">
      <c r="A31" s="1391"/>
      <c r="B31" s="1430"/>
      <c r="C31" s="1167"/>
      <c r="D31" s="1158"/>
      <c r="E31" s="1151"/>
      <c r="F31" s="1168"/>
      <c r="G31" s="1151"/>
      <c r="H31" s="1158"/>
      <c r="I31" s="1159"/>
      <c r="J31" s="1158"/>
      <c r="K31" s="1159"/>
      <c r="L31" s="1158"/>
      <c r="M31" s="1167"/>
      <c r="N31" s="1169"/>
      <c r="O31" s="1415"/>
      <c r="P31" s="1153"/>
      <c r="Q31" s="1153"/>
      <c r="R31" s="1164">
        <f>SUM(E32:L32)</f>
        <v>95733.64</v>
      </c>
    </row>
    <row r="32" spans="1:18" x14ac:dyDescent="0.2">
      <c r="A32" s="1391"/>
      <c r="B32" s="1430"/>
      <c r="C32" s="1406"/>
      <c r="D32" s="1406"/>
      <c r="E32" s="1406">
        <f>E30*O30</f>
        <v>67013.547999999995</v>
      </c>
      <c r="F32" s="1406"/>
      <c r="G32" s="1406">
        <f>G30*O30</f>
        <v>28720.092000000001</v>
      </c>
      <c r="H32" s="1406"/>
      <c r="I32" s="1407"/>
      <c r="J32" s="1407"/>
      <c r="K32" s="1407"/>
      <c r="L32" s="1407"/>
      <c r="M32" s="1427"/>
      <c r="N32" s="1427"/>
      <c r="O32" s="1415"/>
      <c r="P32" s="1153">
        <f>SUM(C32:N32)</f>
        <v>95733.64</v>
      </c>
      <c r="Q32" s="1153"/>
    </row>
    <row r="33" spans="1:18" x14ac:dyDescent="0.2">
      <c r="A33" s="1391">
        <v>5</v>
      </c>
      <c r="B33" s="1428" t="str">
        <f>ORÇ!D61</f>
        <v>Superestrutura</v>
      </c>
      <c r="C33" s="1167"/>
      <c r="D33" s="1158"/>
      <c r="E33" s="1411">
        <v>0.15</v>
      </c>
      <c r="F33" s="1412"/>
      <c r="G33" s="1426">
        <v>0.65</v>
      </c>
      <c r="H33" s="1426"/>
      <c r="I33" s="1426">
        <v>0.2</v>
      </c>
      <c r="J33" s="1426"/>
      <c r="K33" s="1414"/>
      <c r="L33" s="1414"/>
      <c r="M33" s="1414"/>
      <c r="N33" s="1414"/>
      <c r="O33" s="1415">
        <f>ORÇ!I92</f>
        <v>84751.2</v>
      </c>
      <c r="P33" s="1153"/>
      <c r="Q33" s="1153"/>
    </row>
    <row r="34" spans="1:18" x14ac:dyDescent="0.2">
      <c r="A34" s="1391"/>
      <c r="B34" s="1428"/>
      <c r="C34" s="1167"/>
      <c r="D34" s="1158"/>
      <c r="E34" s="1159"/>
      <c r="F34" s="1150"/>
      <c r="G34" s="1151"/>
      <c r="H34" s="1168"/>
      <c r="I34" s="1151"/>
      <c r="J34" s="1158"/>
      <c r="K34" s="1159"/>
      <c r="L34" s="1158"/>
      <c r="M34" s="1159"/>
      <c r="N34" s="1158"/>
      <c r="O34" s="1415"/>
      <c r="P34" s="1153"/>
      <c r="Q34" s="1153"/>
    </row>
    <row r="35" spans="1:18" x14ac:dyDescent="0.2">
      <c r="A35" s="1391"/>
      <c r="B35" s="1428"/>
      <c r="C35" s="1406"/>
      <c r="D35" s="1406"/>
      <c r="E35" s="1406">
        <f>E33*O33</f>
        <v>12712.679999999998</v>
      </c>
      <c r="F35" s="1406"/>
      <c r="G35" s="1406">
        <f>G33*O33</f>
        <v>55088.28</v>
      </c>
      <c r="H35" s="1406"/>
      <c r="I35" s="1406">
        <f>I33*O33</f>
        <v>16950.240000000002</v>
      </c>
      <c r="J35" s="1406"/>
      <c r="K35" s="1407"/>
      <c r="L35" s="1407"/>
      <c r="M35" s="1407"/>
      <c r="N35" s="1407"/>
      <c r="O35" s="1415"/>
      <c r="P35" s="1153">
        <f>SUM(C35:N35)</f>
        <v>84751.2</v>
      </c>
      <c r="Q35" s="1153"/>
    </row>
    <row r="36" spans="1:18" x14ac:dyDescent="0.2">
      <c r="A36" s="1391">
        <v>6</v>
      </c>
      <c r="B36" s="1430" t="str">
        <f>ORÇ!D93</f>
        <v>Cobertura</v>
      </c>
      <c r="C36" s="1431"/>
      <c r="D36" s="1431"/>
      <c r="E36" s="1431"/>
      <c r="F36" s="1431"/>
      <c r="G36" s="1426">
        <v>0.35</v>
      </c>
      <c r="H36" s="1426"/>
      <c r="I36" s="1426">
        <v>0.65</v>
      </c>
      <c r="J36" s="1426"/>
      <c r="K36" s="1414"/>
      <c r="L36" s="1414"/>
      <c r="M36" s="1414"/>
      <c r="N36" s="1414"/>
      <c r="O36" s="1415">
        <f>ORÇ!I101</f>
        <v>153167.85</v>
      </c>
      <c r="P36" s="1153"/>
      <c r="Q36" s="1153"/>
    </row>
    <row r="37" spans="1:18" x14ac:dyDescent="0.2">
      <c r="A37" s="1391"/>
      <c r="B37" s="1430"/>
      <c r="C37" s="1167"/>
      <c r="D37" s="1169"/>
      <c r="E37" s="1167"/>
      <c r="F37" s="1169"/>
      <c r="G37" s="1159"/>
      <c r="H37" s="1150"/>
      <c r="I37" s="1151"/>
      <c r="J37" s="1150"/>
      <c r="K37" s="1159"/>
      <c r="L37" s="1158"/>
      <c r="M37" s="1159"/>
      <c r="N37" s="1158"/>
      <c r="O37" s="1415"/>
      <c r="P37" s="1153"/>
      <c r="Q37" s="1153"/>
      <c r="R37" s="1164">
        <f>SUM(E38:N38)</f>
        <v>153167.85</v>
      </c>
    </row>
    <row r="38" spans="1:18" x14ac:dyDescent="0.2">
      <c r="A38" s="1391"/>
      <c r="B38" s="1430"/>
      <c r="C38" s="1427"/>
      <c r="D38" s="1427"/>
      <c r="E38" s="1427"/>
      <c r="F38" s="1427"/>
      <c r="G38" s="1406">
        <f>G36*O36</f>
        <v>53608.747499999998</v>
      </c>
      <c r="H38" s="1406"/>
      <c r="I38" s="1406">
        <f>I36*O36</f>
        <v>99559.102500000008</v>
      </c>
      <c r="J38" s="1406"/>
      <c r="K38" s="1407"/>
      <c r="L38" s="1407"/>
      <c r="M38" s="1407"/>
      <c r="N38" s="1407"/>
      <c r="O38" s="1415"/>
      <c r="P38" s="1153">
        <f>SUM(C38:N38)</f>
        <v>153167.85</v>
      </c>
      <c r="Q38" s="1153"/>
    </row>
    <row r="39" spans="1:18" ht="15" x14ac:dyDescent="0.2">
      <c r="A39" s="1391">
        <v>7</v>
      </c>
      <c r="B39" s="1430" t="str">
        <f>ORÇ!D102</f>
        <v>Alvenarias e Divisórias</v>
      </c>
      <c r="C39" s="1431"/>
      <c r="D39" s="1431"/>
      <c r="E39" s="1414"/>
      <c r="F39" s="1414"/>
      <c r="G39" s="1432">
        <v>0.35</v>
      </c>
      <c r="H39" s="1432"/>
      <c r="I39" s="1432">
        <v>0.45</v>
      </c>
      <c r="J39" s="1432"/>
      <c r="K39" s="1433">
        <v>0.2</v>
      </c>
      <c r="L39" s="1434"/>
      <c r="M39" s="1426"/>
      <c r="N39" s="1426"/>
      <c r="O39" s="1415">
        <f>ORÇ!I109</f>
        <v>54785.82</v>
      </c>
      <c r="P39" s="1153"/>
      <c r="Q39" s="1153"/>
    </row>
    <row r="40" spans="1:18" ht="15" x14ac:dyDescent="0.2">
      <c r="A40" s="1391"/>
      <c r="B40" s="1430"/>
      <c r="C40" s="1167"/>
      <c r="D40" s="1169"/>
      <c r="E40" s="1170"/>
      <c r="F40" s="1158"/>
      <c r="G40" s="1226"/>
      <c r="H40" s="1227"/>
      <c r="I40" s="1228"/>
      <c r="J40" s="1227"/>
      <c r="K40" s="1228"/>
      <c r="L40" s="1229"/>
      <c r="M40" s="1435"/>
      <c r="N40" s="1436"/>
      <c r="O40" s="1415"/>
      <c r="P40" s="1153"/>
      <c r="Q40" s="1153"/>
    </row>
    <row r="41" spans="1:18" ht="15" x14ac:dyDescent="0.2">
      <c r="A41" s="1391"/>
      <c r="B41" s="1430"/>
      <c r="C41" s="1427"/>
      <c r="D41" s="1427"/>
      <c r="E41" s="1407"/>
      <c r="F41" s="1407"/>
      <c r="G41" s="1437">
        <f>G39*O39</f>
        <v>19175.037</v>
      </c>
      <c r="H41" s="1437"/>
      <c r="I41" s="1437">
        <f>I39*O39</f>
        <v>24653.618999999999</v>
      </c>
      <c r="J41" s="1437"/>
      <c r="K41" s="1437">
        <f>K39*O39</f>
        <v>10957.164000000001</v>
      </c>
      <c r="L41" s="1437"/>
      <c r="M41" s="1406"/>
      <c r="N41" s="1406"/>
      <c r="O41" s="1415"/>
      <c r="P41" s="1153">
        <f>SUM(C41:N41)</f>
        <v>54785.820000000007</v>
      </c>
      <c r="Q41" s="1153"/>
    </row>
    <row r="42" spans="1:18" x14ac:dyDescent="0.2">
      <c r="A42" s="1391">
        <v>8</v>
      </c>
      <c r="B42" s="1430" t="str">
        <f>ORÇ!D110</f>
        <v>Revestimento de Paredes</v>
      </c>
      <c r="C42" s="1171"/>
      <c r="D42" s="1172"/>
      <c r="E42" s="1426"/>
      <c r="F42" s="1426"/>
      <c r="G42" s="1426"/>
      <c r="H42" s="1426"/>
      <c r="I42" s="1426"/>
      <c r="J42" s="1426"/>
      <c r="K42" s="1426">
        <v>0.8</v>
      </c>
      <c r="L42" s="1426"/>
      <c r="M42" s="1411">
        <v>0.2</v>
      </c>
      <c r="N42" s="1412"/>
      <c r="O42" s="1415">
        <f>ORÇ!I115</f>
        <v>61371.839999999997</v>
      </c>
      <c r="P42" s="1153"/>
      <c r="Q42" s="1153"/>
    </row>
    <row r="43" spans="1:18" x14ac:dyDescent="0.2">
      <c r="A43" s="1391"/>
      <c r="B43" s="1430"/>
      <c r="C43" s="1160"/>
      <c r="D43" s="1161"/>
      <c r="E43" s="1159"/>
      <c r="F43" s="1158"/>
      <c r="G43" s="1159"/>
      <c r="H43" s="1158"/>
      <c r="I43" s="1159"/>
      <c r="J43" s="1158"/>
      <c r="K43" s="1151"/>
      <c r="L43" s="1150"/>
      <c r="M43" s="1151"/>
      <c r="N43" s="1158"/>
      <c r="O43" s="1415"/>
      <c r="P43" s="1153"/>
      <c r="Q43" s="1153"/>
      <c r="R43" s="1164">
        <f>SUM(E44:N44)</f>
        <v>61371.840000000004</v>
      </c>
    </row>
    <row r="44" spans="1:18" x14ac:dyDescent="0.2">
      <c r="A44" s="1391"/>
      <c r="B44" s="1430"/>
      <c r="C44" s="1406"/>
      <c r="D44" s="1406"/>
      <c r="E44" s="1406"/>
      <c r="F44" s="1406"/>
      <c r="G44" s="1406"/>
      <c r="H44" s="1406"/>
      <c r="I44" s="1406"/>
      <c r="J44" s="1406"/>
      <c r="K44" s="1406">
        <f>K42*O42</f>
        <v>49097.472000000002</v>
      </c>
      <c r="L44" s="1406"/>
      <c r="M44" s="1406">
        <f>M42*O42</f>
        <v>12274.368</v>
      </c>
      <c r="N44" s="1406"/>
      <c r="O44" s="1415"/>
      <c r="P44" s="1153">
        <f>SUM(C44:N44)</f>
        <v>61371.840000000004</v>
      </c>
      <c r="Q44" s="1153"/>
    </row>
    <row r="45" spans="1:18" x14ac:dyDescent="0.2">
      <c r="A45" s="1391">
        <v>9</v>
      </c>
      <c r="B45" s="1430" t="str">
        <f>ORÇ!D116</f>
        <v>Esquadrias</v>
      </c>
      <c r="C45" s="1431"/>
      <c r="D45" s="1431"/>
      <c r="E45" s="1426"/>
      <c r="F45" s="1426"/>
      <c r="G45" s="1426"/>
      <c r="H45" s="1426"/>
      <c r="I45" s="1426">
        <v>0.85</v>
      </c>
      <c r="J45" s="1426"/>
      <c r="K45" s="1411">
        <v>0.15</v>
      </c>
      <c r="L45" s="1412"/>
      <c r="M45" s="1414"/>
      <c r="N45" s="1414"/>
      <c r="O45" s="1415">
        <f>ORÇ!I133</f>
        <v>112057.25</v>
      </c>
      <c r="P45" s="1153"/>
      <c r="Q45" s="1153"/>
    </row>
    <row r="46" spans="1:18" x14ac:dyDescent="0.2">
      <c r="A46" s="1391"/>
      <c r="B46" s="1430"/>
      <c r="C46" s="1167"/>
      <c r="D46" s="1169"/>
      <c r="E46" s="1160"/>
      <c r="F46" s="1161"/>
      <c r="G46" s="1159"/>
      <c r="H46" s="1158"/>
      <c r="I46" s="1151"/>
      <c r="J46" s="1150"/>
      <c r="K46" s="1151"/>
      <c r="L46" s="1158"/>
      <c r="M46" s="1159"/>
      <c r="N46" s="1173"/>
      <c r="O46" s="1415"/>
      <c r="P46" s="1153"/>
      <c r="Q46" s="1153"/>
      <c r="R46" s="1164">
        <f>SUM(E47:N47)</f>
        <v>112057.24999999999</v>
      </c>
    </row>
    <row r="47" spans="1:18" x14ac:dyDescent="0.2">
      <c r="A47" s="1391"/>
      <c r="B47" s="1430"/>
      <c r="C47" s="1427"/>
      <c r="D47" s="1427"/>
      <c r="E47" s="1406"/>
      <c r="F47" s="1406"/>
      <c r="G47" s="1406"/>
      <c r="H47" s="1406"/>
      <c r="I47" s="1406">
        <f>I45*O45</f>
        <v>95248.662499999991</v>
      </c>
      <c r="J47" s="1406"/>
      <c r="K47" s="1406">
        <f>K45*O45</f>
        <v>16808.587499999998</v>
      </c>
      <c r="L47" s="1406"/>
      <c r="M47" s="1407"/>
      <c r="N47" s="1407"/>
      <c r="O47" s="1415"/>
      <c r="P47" s="1153">
        <f>SUM(C47:N47)</f>
        <v>112057.24999999999</v>
      </c>
      <c r="Q47" s="1153"/>
    </row>
    <row r="48" spans="1:18" x14ac:dyDescent="0.2">
      <c r="A48" s="1391">
        <v>10</v>
      </c>
      <c r="B48" s="1430" t="str">
        <f>ORÇ!D134</f>
        <v>Pavimentação</v>
      </c>
      <c r="C48" s="1171"/>
      <c r="D48" s="1172"/>
      <c r="E48" s="1171"/>
      <c r="F48" s="1172"/>
      <c r="G48" s="1411">
        <v>0.15</v>
      </c>
      <c r="H48" s="1412"/>
      <c r="I48" s="1426">
        <v>0.5</v>
      </c>
      <c r="J48" s="1426"/>
      <c r="K48" s="1411">
        <v>0.25</v>
      </c>
      <c r="L48" s="1412"/>
      <c r="M48" s="1411">
        <v>0.1</v>
      </c>
      <c r="N48" s="1412"/>
      <c r="O48" s="1415">
        <f>ORÇ!I162</f>
        <v>119937.78</v>
      </c>
      <c r="P48" s="1153"/>
      <c r="Q48" s="1153"/>
    </row>
    <row r="49" spans="1:18" ht="15" x14ac:dyDescent="0.2">
      <c r="A49" s="1391"/>
      <c r="B49" s="1430"/>
      <c r="C49" s="1160"/>
      <c r="D49" s="1161"/>
      <c r="E49" s="1160"/>
      <c r="F49" s="1161"/>
      <c r="G49" s="1226"/>
      <c r="H49" s="1227"/>
      <c r="I49" s="1151"/>
      <c r="J49" s="1150"/>
      <c r="K49" s="1151"/>
      <c r="L49" s="1150"/>
      <c r="M49" s="1151"/>
      <c r="N49" s="1158"/>
      <c r="O49" s="1415"/>
      <c r="P49" s="1153"/>
      <c r="Q49" s="1153"/>
      <c r="R49" s="1164">
        <f>SUM(E50:N50)</f>
        <v>119937.78000000001</v>
      </c>
    </row>
    <row r="50" spans="1:18" x14ac:dyDescent="0.2">
      <c r="A50" s="1391"/>
      <c r="B50" s="1430"/>
      <c r="C50" s="1406"/>
      <c r="D50" s="1406"/>
      <c r="E50" s="1406"/>
      <c r="F50" s="1406"/>
      <c r="G50" s="1406">
        <f>G48*O48</f>
        <v>17990.666999999998</v>
      </c>
      <c r="H50" s="1406"/>
      <c r="I50" s="1406">
        <f>I48*O48</f>
        <v>59968.89</v>
      </c>
      <c r="J50" s="1406"/>
      <c r="K50" s="1406">
        <f>K48*O48</f>
        <v>29984.445</v>
      </c>
      <c r="L50" s="1406"/>
      <c r="M50" s="1406">
        <f>M48*O48</f>
        <v>11993.778</v>
      </c>
      <c r="N50" s="1406"/>
      <c r="O50" s="1415"/>
      <c r="P50" s="1153">
        <f>SUM(C50:N50)</f>
        <v>119937.78000000001</v>
      </c>
      <c r="Q50" s="1153"/>
    </row>
    <row r="51" spans="1:18" x14ac:dyDescent="0.2">
      <c r="A51" s="1391">
        <v>11</v>
      </c>
      <c r="B51" s="1443" t="str">
        <f>ORÇ!D163</f>
        <v>Pintura</v>
      </c>
      <c r="C51" s="1171"/>
      <c r="D51" s="1172"/>
      <c r="E51" s="1414"/>
      <c r="F51" s="1414"/>
      <c r="G51" s="1171"/>
      <c r="H51" s="1172"/>
      <c r="I51" s="1174"/>
      <c r="J51" s="1174"/>
      <c r="K51" s="1411">
        <v>0.85</v>
      </c>
      <c r="L51" s="1412"/>
      <c r="M51" s="1411">
        <v>0.15</v>
      </c>
      <c r="N51" s="1412"/>
      <c r="O51" s="1415">
        <f>ORÇ!I171</f>
        <v>40430.06</v>
      </c>
      <c r="P51" s="1153"/>
      <c r="Q51" s="1153"/>
    </row>
    <row r="52" spans="1:18" x14ac:dyDescent="0.2">
      <c r="A52" s="1391"/>
      <c r="B52" s="1430"/>
      <c r="C52" s="1160"/>
      <c r="D52" s="1161"/>
      <c r="E52" s="1159"/>
      <c r="F52" s="1158"/>
      <c r="G52" s="1160"/>
      <c r="H52" s="1161"/>
      <c r="I52" s="1175"/>
      <c r="J52" s="1175"/>
      <c r="K52" s="1151"/>
      <c r="L52" s="1150"/>
      <c r="M52" s="1151"/>
      <c r="N52" s="1158"/>
      <c r="O52" s="1415"/>
      <c r="P52" s="1153"/>
      <c r="Q52" s="1153"/>
    </row>
    <row r="53" spans="1:18" x14ac:dyDescent="0.2">
      <c r="A53" s="1391"/>
      <c r="B53" s="1430"/>
      <c r="C53" s="1406"/>
      <c r="D53" s="1406"/>
      <c r="E53" s="1407"/>
      <c r="F53" s="1407"/>
      <c r="G53" s="1406"/>
      <c r="H53" s="1406"/>
      <c r="I53" s="1176"/>
      <c r="J53" s="1176"/>
      <c r="K53" s="1406">
        <f>K51*O51</f>
        <v>34365.550999999999</v>
      </c>
      <c r="L53" s="1406"/>
      <c r="M53" s="1406">
        <f>M51*O51</f>
        <v>6064.5089999999991</v>
      </c>
      <c r="N53" s="1406"/>
      <c r="O53" s="1415"/>
      <c r="P53" s="1153">
        <f>SUM(C53:N53)</f>
        <v>40430.06</v>
      </c>
      <c r="Q53" s="1153"/>
    </row>
    <row r="54" spans="1:18" x14ac:dyDescent="0.2">
      <c r="A54" s="1391">
        <v>12</v>
      </c>
      <c r="B54" s="1443" t="str">
        <f>ORÇ!D172</f>
        <v>Instalações Elétricas</v>
      </c>
      <c r="C54" s="1171"/>
      <c r="D54" s="1172"/>
      <c r="E54" s="1426"/>
      <c r="F54" s="1426"/>
      <c r="G54" s="1426"/>
      <c r="H54" s="1426"/>
      <c r="I54" s="1426">
        <v>1</v>
      </c>
      <c r="J54" s="1426"/>
      <c r="K54" s="1426"/>
      <c r="L54" s="1426"/>
      <c r="M54" s="1426"/>
      <c r="N54" s="1426"/>
      <c r="O54" s="1415">
        <f>ORÇ!I301</f>
        <v>163177.51999999999</v>
      </c>
      <c r="P54" s="1153"/>
      <c r="Q54" s="1153"/>
    </row>
    <row r="55" spans="1:18" x14ac:dyDescent="0.2">
      <c r="A55" s="1391"/>
      <c r="B55" s="1430"/>
      <c r="C55" s="1160"/>
      <c r="D55" s="1161"/>
      <c r="E55" s="1159"/>
      <c r="F55" s="1158"/>
      <c r="G55" s="1159"/>
      <c r="H55" s="1158"/>
      <c r="I55" s="1151"/>
      <c r="J55" s="1150"/>
      <c r="K55" s="1159"/>
      <c r="L55" s="1158"/>
      <c r="M55" s="1159"/>
      <c r="N55" s="1158"/>
      <c r="O55" s="1415"/>
      <c r="P55" s="1153"/>
      <c r="Q55" s="1153"/>
    </row>
    <row r="56" spans="1:18" x14ac:dyDescent="0.2">
      <c r="A56" s="1391"/>
      <c r="B56" s="1430"/>
      <c r="C56" s="1406"/>
      <c r="D56" s="1406"/>
      <c r="E56" s="1406"/>
      <c r="F56" s="1406"/>
      <c r="G56" s="1406"/>
      <c r="H56" s="1406"/>
      <c r="I56" s="1406">
        <f>I54*O54</f>
        <v>163177.51999999999</v>
      </c>
      <c r="J56" s="1406"/>
      <c r="K56" s="1406"/>
      <c r="L56" s="1406"/>
      <c r="M56" s="1406"/>
      <c r="N56" s="1406"/>
      <c r="O56" s="1415"/>
      <c r="P56" s="1153">
        <f>SUM(C56:N56)</f>
        <v>163177.51999999999</v>
      </c>
      <c r="Q56" s="1153"/>
    </row>
    <row r="57" spans="1:18" x14ac:dyDescent="0.2">
      <c r="A57" s="1391">
        <v>13</v>
      </c>
      <c r="B57" s="1430" t="str">
        <f>ORÇ!D302</f>
        <v>Instalações Hidrosanitárias</v>
      </c>
      <c r="C57" s="1431"/>
      <c r="D57" s="1431"/>
      <c r="E57" s="1426"/>
      <c r="F57" s="1426"/>
      <c r="G57" s="1411">
        <v>0.2</v>
      </c>
      <c r="H57" s="1412"/>
      <c r="I57" s="1426">
        <v>0.8</v>
      </c>
      <c r="J57" s="1426"/>
      <c r="K57" s="1426"/>
      <c r="L57" s="1426"/>
      <c r="M57" s="1426"/>
      <c r="N57" s="1426"/>
      <c r="O57" s="1415">
        <f>ORÇ!I402</f>
        <v>85865.31</v>
      </c>
      <c r="P57" s="1153"/>
      <c r="Q57" s="1153"/>
    </row>
    <row r="58" spans="1:18" ht="15" x14ac:dyDescent="0.2">
      <c r="A58" s="1391"/>
      <c r="B58" s="1430"/>
      <c r="C58" s="1167"/>
      <c r="D58" s="1169"/>
      <c r="E58" s="1160"/>
      <c r="F58" s="1161"/>
      <c r="G58" s="1226"/>
      <c r="H58" s="1227"/>
      <c r="I58" s="1151"/>
      <c r="J58" s="1150"/>
      <c r="K58" s="1159"/>
      <c r="L58" s="1158"/>
      <c r="M58" s="1159"/>
      <c r="N58" s="1158"/>
      <c r="O58" s="1415"/>
      <c r="P58" s="1153"/>
      <c r="Q58" s="1153"/>
    </row>
    <row r="59" spans="1:18" x14ac:dyDescent="0.2">
      <c r="A59" s="1391"/>
      <c r="B59" s="1430"/>
      <c r="C59" s="1427"/>
      <c r="D59" s="1427"/>
      <c r="E59" s="1406"/>
      <c r="F59" s="1406"/>
      <c r="G59" s="1406">
        <f>G57*O57</f>
        <v>17173.062000000002</v>
      </c>
      <c r="H59" s="1406"/>
      <c r="I59" s="1406">
        <f>I57*O57</f>
        <v>68692.248000000007</v>
      </c>
      <c r="J59" s="1406"/>
      <c r="K59" s="1406"/>
      <c r="L59" s="1406"/>
      <c r="M59" s="1406"/>
      <c r="N59" s="1406"/>
      <c r="O59" s="1415"/>
      <c r="P59" s="1153">
        <f>SUM(C59:N59)</f>
        <v>85865.310000000012</v>
      </c>
      <c r="Q59" s="1153"/>
    </row>
    <row r="60" spans="1:18" x14ac:dyDescent="0.2">
      <c r="A60" s="1391">
        <v>14</v>
      </c>
      <c r="B60" s="1430" t="str">
        <f>ORÇ!D403</f>
        <v>Acessórios, Louças e Metais</v>
      </c>
      <c r="C60" s="1431"/>
      <c r="D60" s="1431"/>
      <c r="E60" s="1426"/>
      <c r="F60" s="1426"/>
      <c r="G60" s="1426"/>
      <c r="H60" s="1426"/>
      <c r="I60" s="1426"/>
      <c r="J60" s="1426"/>
      <c r="K60" s="1426"/>
      <c r="L60" s="1426"/>
      <c r="M60" s="1426">
        <v>1</v>
      </c>
      <c r="N60" s="1426"/>
      <c r="O60" s="1415">
        <f>ORÇ!I428</f>
        <v>52187.38</v>
      </c>
      <c r="P60" s="1153"/>
      <c r="Q60" s="1153"/>
    </row>
    <row r="61" spans="1:18" x14ac:dyDescent="0.2">
      <c r="A61" s="1391"/>
      <c r="B61" s="1430"/>
      <c r="C61" s="1167"/>
      <c r="D61" s="1169"/>
      <c r="E61" s="1160"/>
      <c r="F61" s="1161"/>
      <c r="G61" s="1159"/>
      <c r="H61" s="1158"/>
      <c r="I61" s="1159"/>
      <c r="J61" s="1158"/>
      <c r="K61" s="1159"/>
      <c r="L61" s="1158"/>
      <c r="M61" s="1151"/>
      <c r="N61" s="1150"/>
      <c r="O61" s="1415"/>
      <c r="P61" s="1153"/>
      <c r="Q61" s="1153"/>
    </row>
    <row r="62" spans="1:18" x14ac:dyDescent="0.2">
      <c r="A62" s="1391"/>
      <c r="B62" s="1430"/>
      <c r="C62" s="1427"/>
      <c r="D62" s="1427"/>
      <c r="E62" s="1406"/>
      <c r="F62" s="1406"/>
      <c r="G62" s="1406"/>
      <c r="H62" s="1406"/>
      <c r="I62" s="1406"/>
      <c r="J62" s="1406"/>
      <c r="K62" s="1406"/>
      <c r="L62" s="1406"/>
      <c r="M62" s="1406">
        <f>M60*O60</f>
        <v>52187.38</v>
      </c>
      <c r="N62" s="1406"/>
      <c r="O62" s="1415"/>
      <c r="P62" s="1153">
        <f>SUM(C62:N62)</f>
        <v>52187.38</v>
      </c>
      <c r="Q62" s="1153"/>
    </row>
    <row r="63" spans="1:18" x14ac:dyDescent="0.2">
      <c r="A63" s="1391">
        <v>15</v>
      </c>
      <c r="B63" s="1430" t="str">
        <f>ORÇ!D429</f>
        <v>Sauna</v>
      </c>
      <c r="C63" s="1431"/>
      <c r="D63" s="1431"/>
      <c r="E63" s="1426"/>
      <c r="F63" s="1426"/>
      <c r="G63" s="1426"/>
      <c r="H63" s="1426"/>
      <c r="I63" s="1426"/>
      <c r="J63" s="1426"/>
      <c r="K63" s="1426">
        <v>0.8</v>
      </c>
      <c r="L63" s="1426"/>
      <c r="M63" s="1411">
        <v>0.2</v>
      </c>
      <c r="N63" s="1412"/>
      <c r="O63" s="1415">
        <f>ORÇ!I437</f>
        <v>1435.71</v>
      </c>
      <c r="P63" s="1153"/>
      <c r="Q63" s="1153"/>
    </row>
    <row r="64" spans="1:18" x14ac:dyDescent="0.2">
      <c r="A64" s="1391"/>
      <c r="B64" s="1430"/>
      <c r="C64" s="1167"/>
      <c r="D64" s="1169"/>
      <c r="E64" s="1160"/>
      <c r="F64" s="1161"/>
      <c r="G64" s="1159"/>
      <c r="H64" s="1158"/>
      <c r="I64" s="1159"/>
      <c r="J64" s="1158"/>
      <c r="K64" s="1151"/>
      <c r="L64" s="1150"/>
      <c r="M64" s="1151"/>
      <c r="N64" s="1158"/>
      <c r="O64" s="1415"/>
      <c r="P64" s="1153"/>
      <c r="Q64" s="1153"/>
    </row>
    <row r="65" spans="1:18" x14ac:dyDescent="0.2">
      <c r="A65" s="1391"/>
      <c r="B65" s="1430"/>
      <c r="C65" s="1427"/>
      <c r="D65" s="1427"/>
      <c r="E65" s="1406"/>
      <c r="F65" s="1406"/>
      <c r="G65" s="1406"/>
      <c r="H65" s="1406"/>
      <c r="I65" s="1406"/>
      <c r="J65" s="1406"/>
      <c r="K65" s="1406">
        <f>K63*O63</f>
        <v>1148.568</v>
      </c>
      <c r="L65" s="1406"/>
      <c r="M65" s="1406">
        <f>M63*O63</f>
        <v>287.142</v>
      </c>
      <c r="N65" s="1406"/>
      <c r="O65" s="1415"/>
      <c r="P65" s="1153">
        <f>SUM(C65:N65)</f>
        <v>1435.71</v>
      </c>
      <c r="Q65" s="1153"/>
    </row>
    <row r="66" spans="1:18" x14ac:dyDescent="0.2">
      <c r="A66" s="1391">
        <v>16</v>
      </c>
      <c r="B66" s="1430" t="str">
        <f>ORÇ!D438</f>
        <v>Muro e Gradil</v>
      </c>
      <c r="C66" s="1431"/>
      <c r="D66" s="1431"/>
      <c r="E66" s="1426"/>
      <c r="F66" s="1426"/>
      <c r="G66" s="1426"/>
      <c r="H66" s="1426"/>
      <c r="I66" s="1426">
        <v>0.75</v>
      </c>
      <c r="J66" s="1426"/>
      <c r="K66" s="1221">
        <v>0.25</v>
      </c>
      <c r="L66" s="1177"/>
      <c r="M66" s="1414"/>
      <c r="N66" s="1414"/>
      <c r="O66" s="1415">
        <f>ORÇ!I461</f>
        <v>51124.37</v>
      </c>
      <c r="P66" s="1153"/>
      <c r="Q66" s="1153"/>
    </row>
    <row r="67" spans="1:18" x14ac:dyDescent="0.2">
      <c r="A67" s="1391"/>
      <c r="B67" s="1430"/>
      <c r="C67" s="1167"/>
      <c r="D67" s="1169"/>
      <c r="E67" s="1160"/>
      <c r="F67" s="1161"/>
      <c r="G67" s="1159"/>
      <c r="H67" s="1158"/>
      <c r="I67" s="1151"/>
      <c r="J67" s="1150"/>
      <c r="K67" s="1151"/>
      <c r="L67" s="1158"/>
      <c r="M67" s="1159"/>
      <c r="N67" s="1173"/>
      <c r="O67" s="1415"/>
      <c r="P67" s="1153"/>
      <c r="Q67" s="1153"/>
      <c r="R67" s="1164">
        <f>SUM(E68:N68)</f>
        <v>51124.37</v>
      </c>
    </row>
    <row r="68" spans="1:18" x14ac:dyDescent="0.2">
      <c r="A68" s="1391"/>
      <c r="B68" s="1430"/>
      <c r="C68" s="1427"/>
      <c r="D68" s="1427"/>
      <c r="E68" s="1406"/>
      <c r="F68" s="1406"/>
      <c r="G68" s="1406"/>
      <c r="H68" s="1406"/>
      <c r="I68" s="1406">
        <f>I66*O66</f>
        <v>38343.277500000004</v>
      </c>
      <c r="J68" s="1406"/>
      <c r="K68" s="1406">
        <f>K66*O66</f>
        <v>12781.092500000001</v>
      </c>
      <c r="L68" s="1406"/>
      <c r="M68" s="1407"/>
      <c r="N68" s="1407"/>
      <c r="O68" s="1415"/>
      <c r="P68" s="1153">
        <f>SUM(C68:N68)</f>
        <v>51124.37</v>
      </c>
      <c r="Q68" s="1153"/>
    </row>
    <row r="69" spans="1:18" x14ac:dyDescent="0.2">
      <c r="A69" s="1391">
        <v>17</v>
      </c>
      <c r="B69" s="1430" t="str">
        <f>ORÇ!D462</f>
        <v>Playground e Terapia Sensorial</v>
      </c>
      <c r="C69" s="1171"/>
      <c r="D69" s="1172"/>
      <c r="E69" s="1171"/>
      <c r="F69" s="1172"/>
      <c r="G69" s="1171"/>
      <c r="H69" s="1172"/>
      <c r="I69" s="1171"/>
      <c r="J69" s="1172"/>
      <c r="K69" s="1171"/>
      <c r="L69" s="1172"/>
      <c r="M69" s="1411">
        <v>1</v>
      </c>
      <c r="N69" s="1412"/>
      <c r="O69" s="1415">
        <f>ORÇ!I481</f>
        <v>8298.4699999999993</v>
      </c>
      <c r="P69" s="1153"/>
      <c r="Q69" s="1153"/>
    </row>
    <row r="70" spans="1:18" x14ac:dyDescent="0.2">
      <c r="A70" s="1391"/>
      <c r="B70" s="1430"/>
      <c r="C70" s="1160"/>
      <c r="D70" s="1161"/>
      <c r="E70" s="1160"/>
      <c r="F70" s="1161"/>
      <c r="G70" s="1160"/>
      <c r="H70" s="1161"/>
      <c r="I70" s="1160"/>
      <c r="J70" s="1161"/>
      <c r="K70" s="1160"/>
      <c r="L70" s="1161"/>
      <c r="M70" s="1151"/>
      <c r="N70" s="1150"/>
      <c r="O70" s="1415"/>
      <c r="P70" s="1153"/>
      <c r="Q70" s="1153"/>
      <c r="R70" s="1164">
        <f>SUM(E71:N71)</f>
        <v>8298.4699999999993</v>
      </c>
    </row>
    <row r="71" spans="1:18" x14ac:dyDescent="0.2">
      <c r="A71" s="1391"/>
      <c r="B71" s="1430"/>
      <c r="C71" s="1406"/>
      <c r="D71" s="1406"/>
      <c r="E71" s="1406"/>
      <c r="F71" s="1406"/>
      <c r="G71" s="1406"/>
      <c r="H71" s="1406"/>
      <c r="I71" s="1406"/>
      <c r="J71" s="1406"/>
      <c r="K71" s="1406"/>
      <c r="L71" s="1406"/>
      <c r="M71" s="1406">
        <f>M69*O69</f>
        <v>8298.4699999999993</v>
      </c>
      <c r="N71" s="1406"/>
      <c r="O71" s="1415"/>
      <c r="P71" s="1153">
        <f>SUM(C71:N71)</f>
        <v>8298.4699999999993</v>
      </c>
      <c r="Q71" s="1153"/>
    </row>
    <row r="72" spans="1:18" x14ac:dyDescent="0.2">
      <c r="A72" s="1391">
        <v>18</v>
      </c>
      <c r="B72" s="1443" t="str">
        <f>ORÇ!D482</f>
        <v>Área da Piscina</v>
      </c>
      <c r="C72" s="1171"/>
      <c r="D72" s="1172"/>
      <c r="E72" s="1414"/>
      <c r="F72" s="1414"/>
      <c r="G72" s="1171"/>
      <c r="H72" s="1172"/>
      <c r="I72" s="1426">
        <v>0.6</v>
      </c>
      <c r="J72" s="1426"/>
      <c r="K72" s="1411">
        <v>0.3</v>
      </c>
      <c r="L72" s="1412"/>
      <c r="M72" s="1411">
        <v>0.1</v>
      </c>
      <c r="N72" s="1412"/>
      <c r="O72" s="1415">
        <f>ORÇ!I584</f>
        <v>72489.63</v>
      </c>
      <c r="P72" s="1153"/>
      <c r="Q72" s="1153"/>
    </row>
    <row r="73" spans="1:18" x14ac:dyDescent="0.2">
      <c r="A73" s="1391"/>
      <c r="B73" s="1430"/>
      <c r="C73" s="1160"/>
      <c r="D73" s="1161"/>
      <c r="E73" s="1159"/>
      <c r="F73" s="1158"/>
      <c r="G73" s="1160"/>
      <c r="H73" s="1161"/>
      <c r="I73" s="1151"/>
      <c r="J73" s="1150"/>
      <c r="K73" s="1151"/>
      <c r="L73" s="1150"/>
      <c r="M73" s="1151"/>
      <c r="N73" s="1158"/>
      <c r="O73" s="1415"/>
      <c r="P73" s="1153"/>
      <c r="Q73" s="1153"/>
    </row>
    <row r="74" spans="1:18" x14ac:dyDescent="0.2">
      <c r="A74" s="1391"/>
      <c r="B74" s="1430"/>
      <c r="C74" s="1406"/>
      <c r="D74" s="1406"/>
      <c r="E74" s="1407"/>
      <c r="F74" s="1407"/>
      <c r="G74" s="1406"/>
      <c r="H74" s="1406"/>
      <c r="I74" s="1406">
        <f>I72*O72</f>
        <v>43493.777999999998</v>
      </c>
      <c r="J74" s="1406"/>
      <c r="K74" s="1406">
        <f>K72*O72</f>
        <v>21746.888999999999</v>
      </c>
      <c r="L74" s="1406"/>
      <c r="M74" s="1406">
        <f>M72*O72</f>
        <v>7248.9630000000006</v>
      </c>
      <c r="N74" s="1406"/>
      <c r="O74" s="1415"/>
      <c r="P74" s="1153">
        <f>SUM(C74:N74)</f>
        <v>72489.63</v>
      </c>
      <c r="Q74" s="1153"/>
    </row>
    <row r="75" spans="1:18" x14ac:dyDescent="0.2">
      <c r="A75" s="1391">
        <v>19</v>
      </c>
      <c r="B75" s="1443" t="str">
        <f>ORÇ!D585</f>
        <v>Fachada e Paisagismo</v>
      </c>
      <c r="C75" s="1171"/>
      <c r="D75" s="1172"/>
      <c r="E75" s="1426"/>
      <c r="F75" s="1426"/>
      <c r="G75" s="1426"/>
      <c r="H75" s="1426"/>
      <c r="I75" s="1426"/>
      <c r="J75" s="1426"/>
      <c r="K75" s="1411">
        <v>0.65</v>
      </c>
      <c r="L75" s="1412"/>
      <c r="M75" s="1426">
        <v>0.35</v>
      </c>
      <c r="N75" s="1426"/>
      <c r="O75" s="1415">
        <f>ORÇ!I594</f>
        <v>64057</v>
      </c>
      <c r="P75" s="1153"/>
      <c r="Q75" s="1153"/>
    </row>
    <row r="76" spans="1:18" x14ac:dyDescent="0.2">
      <c r="A76" s="1391"/>
      <c r="B76" s="1430"/>
      <c r="C76" s="1160"/>
      <c r="D76" s="1161"/>
      <c r="E76" s="1159"/>
      <c r="F76" s="1158"/>
      <c r="G76" s="1159"/>
      <c r="H76" s="1158"/>
      <c r="I76" s="1159"/>
      <c r="J76" s="1158"/>
      <c r="K76" s="1151"/>
      <c r="L76" s="1150"/>
      <c r="M76" s="1151"/>
      <c r="N76" s="1158"/>
      <c r="O76" s="1415"/>
      <c r="P76" s="1153"/>
      <c r="Q76" s="1153"/>
    </row>
    <row r="77" spans="1:18" x14ac:dyDescent="0.2">
      <c r="A77" s="1391"/>
      <c r="B77" s="1430"/>
      <c r="C77" s="1406"/>
      <c r="D77" s="1406"/>
      <c r="E77" s="1406"/>
      <c r="F77" s="1406"/>
      <c r="G77" s="1406"/>
      <c r="H77" s="1406"/>
      <c r="I77" s="1406"/>
      <c r="J77" s="1406"/>
      <c r="K77" s="1406">
        <f>K75*O75</f>
        <v>41637.050000000003</v>
      </c>
      <c r="L77" s="1406"/>
      <c r="M77" s="1406">
        <f>M75*O75</f>
        <v>22419.949999999997</v>
      </c>
      <c r="N77" s="1406"/>
      <c r="O77" s="1415"/>
      <c r="P77" s="1153">
        <f>SUM(C77:N77)</f>
        <v>64057</v>
      </c>
      <c r="Q77" s="1153"/>
    </row>
    <row r="78" spans="1:18" x14ac:dyDescent="0.2">
      <c r="A78" s="1391">
        <v>20</v>
      </c>
      <c r="B78" s="1430" t="str">
        <f>ORÇ!D595</f>
        <v>Prevenção e Combate a Incêndio</v>
      </c>
      <c r="C78" s="1431"/>
      <c r="D78" s="1431"/>
      <c r="E78" s="1426"/>
      <c r="F78" s="1426"/>
      <c r="G78" s="1426"/>
      <c r="H78" s="1426"/>
      <c r="I78" s="1426"/>
      <c r="J78" s="1426"/>
      <c r="K78" s="1426"/>
      <c r="L78" s="1426"/>
      <c r="M78" s="1426">
        <v>1</v>
      </c>
      <c r="N78" s="1426"/>
      <c r="O78" s="1415">
        <f>ORÇ!I600</f>
        <v>3004.26</v>
      </c>
      <c r="P78" s="1153"/>
      <c r="Q78" s="1153"/>
    </row>
    <row r="79" spans="1:18" x14ac:dyDescent="0.2">
      <c r="A79" s="1391"/>
      <c r="B79" s="1430"/>
      <c r="C79" s="1167"/>
      <c r="D79" s="1169"/>
      <c r="E79" s="1160"/>
      <c r="F79" s="1161"/>
      <c r="G79" s="1159"/>
      <c r="H79" s="1158"/>
      <c r="I79" s="1159"/>
      <c r="J79" s="1158"/>
      <c r="K79" s="1159"/>
      <c r="L79" s="1158"/>
      <c r="M79" s="1151"/>
      <c r="N79" s="1150"/>
      <c r="O79" s="1415"/>
      <c r="P79" s="1153"/>
      <c r="Q79" s="1153"/>
    </row>
    <row r="80" spans="1:18" x14ac:dyDescent="0.2">
      <c r="A80" s="1391"/>
      <c r="B80" s="1430"/>
      <c r="C80" s="1427"/>
      <c r="D80" s="1427"/>
      <c r="E80" s="1406"/>
      <c r="F80" s="1406"/>
      <c r="G80" s="1406"/>
      <c r="H80" s="1406"/>
      <c r="I80" s="1406"/>
      <c r="J80" s="1406"/>
      <c r="K80" s="1406"/>
      <c r="L80" s="1406"/>
      <c r="M80" s="1406">
        <f>M78*O78</f>
        <v>3004.26</v>
      </c>
      <c r="N80" s="1406"/>
      <c r="O80" s="1415"/>
      <c r="P80" s="1153">
        <f>SUM(C80:N80)</f>
        <v>3004.26</v>
      </c>
      <c r="Q80" s="1153"/>
    </row>
    <row r="81" spans="1:17" x14ac:dyDescent="0.2">
      <c r="A81" s="1391">
        <v>21</v>
      </c>
      <c r="B81" s="1430" t="str">
        <f>ORÇ!D601</f>
        <v>Serviços Finais</v>
      </c>
      <c r="C81" s="1431"/>
      <c r="D81" s="1431"/>
      <c r="E81" s="1426"/>
      <c r="F81" s="1426"/>
      <c r="G81" s="1426"/>
      <c r="H81" s="1426"/>
      <c r="I81" s="1426"/>
      <c r="J81" s="1426"/>
      <c r="K81" s="1426"/>
      <c r="L81" s="1426"/>
      <c r="M81" s="1426">
        <v>1</v>
      </c>
      <c r="N81" s="1426"/>
      <c r="O81" s="1415">
        <f>ORÇ!I603</f>
        <v>4820.82</v>
      </c>
      <c r="P81" s="1153"/>
      <c r="Q81" s="1153"/>
    </row>
    <row r="82" spans="1:17" x14ac:dyDescent="0.2">
      <c r="A82" s="1391"/>
      <c r="B82" s="1430"/>
      <c r="C82" s="1167"/>
      <c r="D82" s="1169"/>
      <c r="E82" s="1160"/>
      <c r="F82" s="1161"/>
      <c r="G82" s="1159"/>
      <c r="H82" s="1158"/>
      <c r="I82" s="1159"/>
      <c r="J82" s="1158"/>
      <c r="K82" s="1159"/>
      <c r="L82" s="1158"/>
      <c r="M82" s="1151"/>
      <c r="N82" s="1150"/>
      <c r="O82" s="1415"/>
      <c r="P82" s="1153"/>
      <c r="Q82" s="1153"/>
    </row>
    <row r="83" spans="1:17" ht="15" thickBot="1" x14ac:dyDescent="0.25">
      <c r="A83" s="1391"/>
      <c r="B83" s="1430"/>
      <c r="C83" s="1427"/>
      <c r="D83" s="1427"/>
      <c r="E83" s="1406"/>
      <c r="F83" s="1406"/>
      <c r="G83" s="1406"/>
      <c r="H83" s="1406"/>
      <c r="I83" s="1406"/>
      <c r="J83" s="1406"/>
      <c r="K83" s="1406"/>
      <c r="L83" s="1406"/>
      <c r="M83" s="1406">
        <f>M81*O81</f>
        <v>4820.82</v>
      </c>
      <c r="N83" s="1406"/>
      <c r="O83" s="1415"/>
      <c r="P83" s="1153"/>
      <c r="Q83" s="1153"/>
    </row>
    <row r="84" spans="1:17" ht="15.75" thickBot="1" x14ac:dyDescent="0.25">
      <c r="A84" s="1444"/>
      <c r="B84" s="1178" t="s">
        <v>41</v>
      </c>
      <c r="C84" s="1179"/>
      <c r="D84" s="1180"/>
      <c r="E84" s="1179"/>
      <c r="F84" s="1180"/>
      <c r="G84" s="1179"/>
      <c r="H84" s="1180"/>
      <c r="I84" s="1181"/>
      <c r="J84" s="1181"/>
      <c r="K84" s="1179"/>
      <c r="L84" s="1180"/>
      <c r="M84" s="1446"/>
      <c r="N84" s="1446"/>
      <c r="O84" s="1182">
        <f>ROUND(SUM(O21:O83),2)</f>
        <v>1312420.8700000001</v>
      </c>
    </row>
    <row r="85" spans="1:17" ht="15" thickBot="1" x14ac:dyDescent="0.25">
      <c r="A85" s="1445"/>
      <c r="B85" s="1183"/>
      <c r="C85" s="1442"/>
      <c r="D85" s="1442"/>
      <c r="E85" s="1442"/>
      <c r="F85" s="1442"/>
      <c r="G85" s="1442"/>
      <c r="H85" s="1442"/>
      <c r="I85" s="1184"/>
      <c r="J85" s="1184"/>
      <c r="K85" s="1185"/>
      <c r="L85" s="1186"/>
      <c r="M85" s="1447"/>
      <c r="N85" s="1447"/>
      <c r="O85" s="1187"/>
    </row>
    <row r="86" spans="1:17" ht="15.75" thickBot="1" x14ac:dyDescent="0.25">
      <c r="A86" s="1188"/>
      <c r="B86" s="1189" t="s">
        <v>37</v>
      </c>
      <c r="C86" s="1439">
        <f>C23+C29:D29+C32:D32+C35:D35+C38:D38+C41+C44+C59+C62+C56+C53+C50+C47+C26+C65+C68+C71+C74+C77+C80+C83</f>
        <v>44003.986002000005</v>
      </c>
      <c r="D86" s="1439"/>
      <c r="E86" s="1439">
        <f t="shared" ref="E86" si="0">E23+E29:F29+E32:F32+E35:F35+E38:F38+E41+E44+E59+E62+E56+E53+E50+E47+E26+E65+E68+E71+E74+E77+E80+E83</f>
        <v>100963.52600199998</v>
      </c>
      <c r="F86" s="1439"/>
      <c r="G86" s="1439">
        <f t="shared" ref="G86" si="1">G23+G29:H29+G32:H32+G35:H35+G38:H38+G41+G44+G59+G62+G56+G53+G50+G47+G26+G65+G68+G71+G74+G77+G80+G83</f>
        <v>196376.80449899999</v>
      </c>
      <c r="H86" s="1439"/>
      <c r="I86" s="1439">
        <f t="shared" ref="I86" si="2">I23+I29:J29+I32:J32+I35:J35+I38:J38+I41+I44+I59+I62+I56+I53+I50+I47+I26+I65+I68+I71+I74+I77+I80+I83</f>
        <v>614708.25649900001</v>
      </c>
      <c r="J86" s="1439"/>
      <c r="K86" s="1439">
        <f>K23+K29:L29+K32:L32+K35:L35+K38:L38+K41+K44+K59+K62+K56+K53+K50+K47+K26+K65+K68+K71+K74+K77+K80+K83</f>
        <v>223147.737999</v>
      </c>
      <c r="L86" s="1439"/>
      <c r="M86" s="1439">
        <f>M23+M29:N29+M32:N32+M35:N35+M38:N38+M41+M44+M59+M62+M56+M53+M50+M47+M26+M65+M68+M71+M74+M77+M80+M83</f>
        <v>133220.558999</v>
      </c>
      <c r="N86" s="1439"/>
      <c r="O86" s="1190">
        <f>SUM(O84)</f>
        <v>1312420.8700000001</v>
      </c>
    </row>
    <row r="87" spans="1:17" ht="15.75" thickBot="1" x14ac:dyDescent="0.25">
      <c r="A87" s="1191"/>
      <c r="B87" s="1192" t="s">
        <v>38</v>
      </c>
      <c r="C87" s="1441">
        <f>C86/O86</f>
        <v>3.3528867917194886E-2</v>
      </c>
      <c r="D87" s="1441"/>
      <c r="E87" s="1441">
        <f>E86/O86</f>
        <v>7.6929229266218521E-2</v>
      </c>
      <c r="F87" s="1441"/>
      <c r="G87" s="1441">
        <f>G86/O86</f>
        <v>0.14962944356332886</v>
      </c>
      <c r="H87" s="1441"/>
      <c r="I87" s="1441">
        <f>I86/O86</f>
        <v>0.46837738605833046</v>
      </c>
      <c r="J87" s="1441"/>
      <c r="K87" s="1441">
        <f>K86/O86</f>
        <v>0.1700275750712498</v>
      </c>
      <c r="L87" s="1441"/>
      <c r="M87" s="1441">
        <f>M86/O86</f>
        <v>0.10150749812367735</v>
      </c>
      <c r="N87" s="1441"/>
      <c r="O87" s="1193"/>
    </row>
    <row r="88" spans="1:17" ht="15.75" thickBot="1" x14ac:dyDescent="0.25">
      <c r="A88" s="1194"/>
      <c r="B88" s="1189" t="s">
        <v>39</v>
      </c>
      <c r="C88" s="1439">
        <f>C86</f>
        <v>44003.986002000005</v>
      </c>
      <c r="D88" s="1439"/>
      <c r="E88" s="1439">
        <f>SUM(C86:F86)</f>
        <v>144967.51200399999</v>
      </c>
      <c r="F88" s="1439"/>
      <c r="G88" s="1439">
        <f>SUM(C86:H86)</f>
        <v>341344.31650299998</v>
      </c>
      <c r="H88" s="1439"/>
      <c r="I88" s="1439">
        <f>SUM(C86:J86)</f>
        <v>956052.57300199999</v>
      </c>
      <c r="J88" s="1439"/>
      <c r="K88" s="1439">
        <f>SUM(C86:L86)</f>
        <v>1179200.311001</v>
      </c>
      <c r="L88" s="1439"/>
      <c r="M88" s="1439">
        <f>SUM(C86:N86)</f>
        <v>1312420.8700000001</v>
      </c>
      <c r="N88" s="1440"/>
      <c r="O88" s="1195"/>
    </row>
    <row r="89" spans="1:17" ht="15.75" thickBot="1" x14ac:dyDescent="0.25">
      <c r="A89" s="1196"/>
      <c r="B89" s="1197" t="s">
        <v>40</v>
      </c>
      <c r="C89" s="1438">
        <f>C88/O86</f>
        <v>3.3528867917194886E-2</v>
      </c>
      <c r="D89" s="1438"/>
      <c r="E89" s="1438">
        <f>E88/O86</f>
        <v>0.11045809718341341</v>
      </c>
      <c r="F89" s="1438"/>
      <c r="G89" s="1438">
        <f>G88/O86</f>
        <v>0.26008754074674229</v>
      </c>
      <c r="H89" s="1438"/>
      <c r="I89" s="1438">
        <f>I88/O86</f>
        <v>0.7284649268050728</v>
      </c>
      <c r="J89" s="1438"/>
      <c r="K89" s="1438">
        <f>K88/O86</f>
        <v>0.89849250187632257</v>
      </c>
      <c r="L89" s="1438"/>
      <c r="M89" s="1438">
        <f>M88/O86</f>
        <v>1</v>
      </c>
      <c r="N89" s="1438"/>
      <c r="O89" s="1195"/>
    </row>
    <row r="95" spans="1:17" x14ac:dyDescent="0.2">
      <c r="L95" s="1164"/>
    </row>
  </sheetData>
  <mergeCells count="349">
    <mergeCell ref="B16:G16"/>
    <mergeCell ref="H16:I16"/>
    <mergeCell ref="J16:O16"/>
    <mergeCell ref="C18:D18"/>
    <mergeCell ref="E18:F18"/>
    <mergeCell ref="G18:H18"/>
    <mergeCell ref="I18:J18"/>
    <mergeCell ref="K18:L18"/>
    <mergeCell ref="M18:N18"/>
    <mergeCell ref="A10:O10"/>
    <mergeCell ref="B12:G12"/>
    <mergeCell ref="H12:I12"/>
    <mergeCell ref="J12:O12"/>
    <mergeCell ref="B13:O13"/>
    <mergeCell ref="B14:O14"/>
    <mergeCell ref="B15:G15"/>
    <mergeCell ref="H15:I15"/>
    <mergeCell ref="J15:O15"/>
    <mergeCell ref="M86:N86"/>
    <mergeCell ref="A81:A83"/>
    <mergeCell ref="B81:B83"/>
    <mergeCell ref="C81:D81"/>
    <mergeCell ref="E81:F81"/>
    <mergeCell ref="G81:H81"/>
    <mergeCell ref="I81:J81"/>
    <mergeCell ref="K81:L81"/>
    <mergeCell ref="M81:N81"/>
    <mergeCell ref="A84:A85"/>
    <mergeCell ref="M84:N84"/>
    <mergeCell ref="M85:N85"/>
    <mergeCell ref="C86:D86"/>
    <mergeCell ref="E86:F86"/>
    <mergeCell ref="G86:H86"/>
    <mergeCell ref="I86:J86"/>
    <mergeCell ref="K86:L86"/>
    <mergeCell ref="O81:O83"/>
    <mergeCell ref="C83:D83"/>
    <mergeCell ref="E83:F83"/>
    <mergeCell ref="G83:H83"/>
    <mergeCell ref="I83:J83"/>
    <mergeCell ref="K83:L83"/>
    <mergeCell ref="M83:N83"/>
    <mergeCell ref="A78:A80"/>
    <mergeCell ref="B78:B80"/>
    <mergeCell ref="C78:D78"/>
    <mergeCell ref="E78:F78"/>
    <mergeCell ref="G78:H78"/>
    <mergeCell ref="I78:J78"/>
    <mergeCell ref="K78:L78"/>
    <mergeCell ref="M78:N78"/>
    <mergeCell ref="O78:O80"/>
    <mergeCell ref="C80:D80"/>
    <mergeCell ref="E80:F80"/>
    <mergeCell ref="G80:H80"/>
    <mergeCell ref="I80:J80"/>
    <mergeCell ref="K80:L80"/>
    <mergeCell ref="M80:N80"/>
    <mergeCell ref="A75:A77"/>
    <mergeCell ref="B75:B77"/>
    <mergeCell ref="E75:F75"/>
    <mergeCell ref="G75:H75"/>
    <mergeCell ref="I75:J75"/>
    <mergeCell ref="K75:L75"/>
    <mergeCell ref="M75:N75"/>
    <mergeCell ref="O75:O77"/>
    <mergeCell ref="C77:D77"/>
    <mergeCell ref="E77:F77"/>
    <mergeCell ref="G77:H77"/>
    <mergeCell ref="I77:J77"/>
    <mergeCell ref="K77:L77"/>
    <mergeCell ref="M77:N77"/>
    <mergeCell ref="A72:A74"/>
    <mergeCell ref="B72:B74"/>
    <mergeCell ref="E72:F72"/>
    <mergeCell ref="K72:L72"/>
    <mergeCell ref="M72:N72"/>
    <mergeCell ref="O72:O74"/>
    <mergeCell ref="C74:D74"/>
    <mergeCell ref="E74:F74"/>
    <mergeCell ref="G74:H74"/>
    <mergeCell ref="K74:L74"/>
    <mergeCell ref="M74:N74"/>
    <mergeCell ref="I72:J72"/>
    <mergeCell ref="I74:J74"/>
    <mergeCell ref="A69:A71"/>
    <mergeCell ref="B69:B71"/>
    <mergeCell ref="M69:N69"/>
    <mergeCell ref="O69:O71"/>
    <mergeCell ref="C71:D71"/>
    <mergeCell ref="E71:F71"/>
    <mergeCell ref="G71:H71"/>
    <mergeCell ref="I71:J71"/>
    <mergeCell ref="K71:L71"/>
    <mergeCell ref="M71:N71"/>
    <mergeCell ref="A66:A68"/>
    <mergeCell ref="B66:B68"/>
    <mergeCell ref="C66:D66"/>
    <mergeCell ref="E66:F66"/>
    <mergeCell ref="I66:J66"/>
    <mergeCell ref="M66:N66"/>
    <mergeCell ref="O66:O68"/>
    <mergeCell ref="C68:D68"/>
    <mergeCell ref="E68:F68"/>
    <mergeCell ref="G68:H68"/>
    <mergeCell ref="I68:J68"/>
    <mergeCell ref="K68:L68"/>
    <mergeCell ref="M68:N68"/>
    <mergeCell ref="G66:H66"/>
    <mergeCell ref="O39:O41"/>
    <mergeCell ref="G65:H65"/>
    <mergeCell ref="I65:J65"/>
    <mergeCell ref="K65:L65"/>
    <mergeCell ref="M65:N65"/>
    <mergeCell ref="M36:N36"/>
    <mergeCell ref="E54:F54"/>
    <mergeCell ref="G54:H54"/>
    <mergeCell ref="I54:J54"/>
    <mergeCell ref="I56:J56"/>
    <mergeCell ref="K54:L54"/>
    <mergeCell ref="K56:L56"/>
    <mergeCell ref="E51:F51"/>
    <mergeCell ref="O60:O62"/>
    <mergeCell ref="E62:F62"/>
    <mergeCell ref="G62:H62"/>
    <mergeCell ref="I62:J62"/>
    <mergeCell ref="K62:L62"/>
    <mergeCell ref="M62:N62"/>
    <mergeCell ref="O63:O65"/>
    <mergeCell ref="E65:F65"/>
    <mergeCell ref="O42:O44"/>
    <mergeCell ref="M50:N50"/>
    <mergeCell ref="O57:O59"/>
    <mergeCell ref="O51:O53"/>
    <mergeCell ref="G60:H60"/>
    <mergeCell ref="I60:J60"/>
    <mergeCell ref="K44:L44"/>
    <mergeCell ref="M44:N44"/>
    <mergeCell ref="C47:D47"/>
    <mergeCell ref="E47:F47"/>
    <mergeCell ref="G47:H47"/>
    <mergeCell ref="I47:J47"/>
    <mergeCell ref="K47:L47"/>
    <mergeCell ref="O48:O50"/>
    <mergeCell ref="O45:O47"/>
    <mergeCell ref="M47:N47"/>
    <mergeCell ref="G50:H50"/>
    <mergeCell ref="I50:J50"/>
    <mergeCell ref="C53:D53"/>
    <mergeCell ref="M59:N59"/>
    <mergeCell ref="O54:O56"/>
    <mergeCell ref="C56:D56"/>
    <mergeCell ref="E56:F56"/>
    <mergeCell ref="G56:H56"/>
    <mergeCell ref="M56:N56"/>
    <mergeCell ref="G48:H48"/>
    <mergeCell ref="G45:H45"/>
    <mergeCell ref="A45:A47"/>
    <mergeCell ref="A48:A50"/>
    <mergeCell ref="A51:A53"/>
    <mergeCell ref="A54:A56"/>
    <mergeCell ref="M53:N53"/>
    <mergeCell ref="B54:B56"/>
    <mergeCell ref="M54:N54"/>
    <mergeCell ref="K50:L50"/>
    <mergeCell ref="M45:N45"/>
    <mergeCell ref="E53:F53"/>
    <mergeCell ref="G53:H53"/>
    <mergeCell ref="K53:L53"/>
    <mergeCell ref="B48:B50"/>
    <mergeCell ref="I48:J48"/>
    <mergeCell ref="M48:N48"/>
    <mergeCell ref="C50:D50"/>
    <mergeCell ref="E50:F50"/>
    <mergeCell ref="K51:L51"/>
    <mergeCell ref="M51:N51"/>
    <mergeCell ref="B45:B47"/>
    <mergeCell ref="C45:D45"/>
    <mergeCell ref="E45:F45"/>
    <mergeCell ref="I45:J45"/>
    <mergeCell ref="B51:B53"/>
    <mergeCell ref="K48:L48"/>
    <mergeCell ref="K45:L45"/>
    <mergeCell ref="C85:D85"/>
    <mergeCell ref="E85:F85"/>
    <mergeCell ref="G85:H85"/>
    <mergeCell ref="K59:L59"/>
    <mergeCell ref="B60:B62"/>
    <mergeCell ref="C60:D60"/>
    <mergeCell ref="E60:F60"/>
    <mergeCell ref="C62:D62"/>
    <mergeCell ref="M89:N89"/>
    <mergeCell ref="C88:D88"/>
    <mergeCell ref="E88:F88"/>
    <mergeCell ref="G88:H88"/>
    <mergeCell ref="I88:J88"/>
    <mergeCell ref="K88:L88"/>
    <mergeCell ref="M88:N88"/>
    <mergeCell ref="C87:D87"/>
    <mergeCell ref="E87:F87"/>
    <mergeCell ref="G87:H87"/>
    <mergeCell ref="I87:J87"/>
    <mergeCell ref="K87:L87"/>
    <mergeCell ref="M87:N87"/>
    <mergeCell ref="C89:D89"/>
    <mergeCell ref="E89:F89"/>
    <mergeCell ref="G89:H89"/>
    <mergeCell ref="I89:J89"/>
    <mergeCell ref="K89:L89"/>
    <mergeCell ref="A57:A59"/>
    <mergeCell ref="B57:B59"/>
    <mergeCell ref="C57:D57"/>
    <mergeCell ref="E57:F57"/>
    <mergeCell ref="G57:H57"/>
    <mergeCell ref="I57:J57"/>
    <mergeCell ref="K57:L57"/>
    <mergeCell ref="M57:N57"/>
    <mergeCell ref="A63:A65"/>
    <mergeCell ref="B63:B65"/>
    <mergeCell ref="C63:D63"/>
    <mergeCell ref="E63:F63"/>
    <mergeCell ref="G63:H63"/>
    <mergeCell ref="I63:J63"/>
    <mergeCell ref="K63:L63"/>
    <mergeCell ref="A60:A62"/>
    <mergeCell ref="K60:L60"/>
    <mergeCell ref="M60:N60"/>
    <mergeCell ref="C59:D59"/>
    <mergeCell ref="E59:F59"/>
    <mergeCell ref="G59:H59"/>
    <mergeCell ref="I59:J59"/>
    <mergeCell ref="C65:D65"/>
    <mergeCell ref="M63:N63"/>
    <mergeCell ref="M39:N39"/>
    <mergeCell ref="A42:A44"/>
    <mergeCell ref="B42:B44"/>
    <mergeCell ref="E42:F42"/>
    <mergeCell ref="G42:H42"/>
    <mergeCell ref="I42:J42"/>
    <mergeCell ref="K42:L42"/>
    <mergeCell ref="E41:F41"/>
    <mergeCell ref="K39:L39"/>
    <mergeCell ref="M40:N40"/>
    <mergeCell ref="M42:N42"/>
    <mergeCell ref="G41:H41"/>
    <mergeCell ref="I41:J41"/>
    <mergeCell ref="K41:L41"/>
    <mergeCell ref="M41:N41"/>
    <mergeCell ref="E33:F33"/>
    <mergeCell ref="A36:A38"/>
    <mergeCell ref="B36:B38"/>
    <mergeCell ref="C36:D36"/>
    <mergeCell ref="E36:F36"/>
    <mergeCell ref="G36:H36"/>
    <mergeCell ref="I36:J36"/>
    <mergeCell ref="C44:D44"/>
    <mergeCell ref="E44:F44"/>
    <mergeCell ref="G44:H44"/>
    <mergeCell ref="I44:J44"/>
    <mergeCell ref="C41:D41"/>
    <mergeCell ref="A39:A41"/>
    <mergeCell ref="B39:B41"/>
    <mergeCell ref="C39:D39"/>
    <mergeCell ref="E39:F39"/>
    <mergeCell ref="G39:H39"/>
    <mergeCell ref="I39:J39"/>
    <mergeCell ref="M35:N35"/>
    <mergeCell ref="K36:L36"/>
    <mergeCell ref="O36:O38"/>
    <mergeCell ref="C38:D38"/>
    <mergeCell ref="E38:F38"/>
    <mergeCell ref="G38:H38"/>
    <mergeCell ref="I38:J38"/>
    <mergeCell ref="K38:L38"/>
    <mergeCell ref="M38:N38"/>
    <mergeCell ref="M32:N32"/>
    <mergeCell ref="O30:O32"/>
    <mergeCell ref="M33:N33"/>
    <mergeCell ref="A33:A35"/>
    <mergeCell ref="B33:B35"/>
    <mergeCell ref="G33:H33"/>
    <mergeCell ref="I33:J33"/>
    <mergeCell ref="K33:L33"/>
    <mergeCell ref="A30:A32"/>
    <mergeCell ref="B30:B32"/>
    <mergeCell ref="I30:J30"/>
    <mergeCell ref="K30:L30"/>
    <mergeCell ref="C32:D32"/>
    <mergeCell ref="E32:F32"/>
    <mergeCell ref="G32:H32"/>
    <mergeCell ref="I32:J32"/>
    <mergeCell ref="E30:F30"/>
    <mergeCell ref="G30:H30"/>
    <mergeCell ref="O33:O35"/>
    <mergeCell ref="C35:D35"/>
    <mergeCell ref="E35:F35"/>
    <mergeCell ref="G35:H35"/>
    <mergeCell ref="I35:J35"/>
    <mergeCell ref="K35:L35"/>
    <mergeCell ref="A27:A29"/>
    <mergeCell ref="B27:B29"/>
    <mergeCell ref="E27:F27"/>
    <mergeCell ref="G27:H27"/>
    <mergeCell ref="I27:J27"/>
    <mergeCell ref="K27:L27"/>
    <mergeCell ref="C27:D27"/>
    <mergeCell ref="C29:D29"/>
    <mergeCell ref="K32:L32"/>
    <mergeCell ref="M27:N27"/>
    <mergeCell ref="O27:O29"/>
    <mergeCell ref="E29:F29"/>
    <mergeCell ref="G29:H29"/>
    <mergeCell ref="I29:J29"/>
    <mergeCell ref="K29:L29"/>
    <mergeCell ref="M29:N29"/>
    <mergeCell ref="O24:O26"/>
    <mergeCell ref="K23:L23"/>
    <mergeCell ref="C26:D26"/>
    <mergeCell ref="E26:F26"/>
    <mergeCell ref="G26:H26"/>
    <mergeCell ref="I26:J26"/>
    <mergeCell ref="A24:A26"/>
    <mergeCell ref="B24:B26"/>
    <mergeCell ref="C24:D24"/>
    <mergeCell ref="E24:F24"/>
    <mergeCell ref="G24:H24"/>
    <mergeCell ref="I24:J24"/>
    <mergeCell ref="A19:A20"/>
    <mergeCell ref="B19:B20"/>
    <mergeCell ref="C19:D19"/>
    <mergeCell ref="E19:F19"/>
    <mergeCell ref="G19:H19"/>
    <mergeCell ref="I19:J19"/>
    <mergeCell ref="K19:L19"/>
    <mergeCell ref="M19:N19"/>
    <mergeCell ref="O19:O20"/>
    <mergeCell ref="A21:A23"/>
    <mergeCell ref="B21:B23"/>
    <mergeCell ref="E21:F21"/>
    <mergeCell ref="O21:O23"/>
    <mergeCell ref="C23:D23"/>
    <mergeCell ref="E23:F23"/>
    <mergeCell ref="G23:H23"/>
    <mergeCell ref="M23:N23"/>
    <mergeCell ref="C21:D21"/>
    <mergeCell ref="G21:H21"/>
    <mergeCell ref="I21:J21"/>
    <mergeCell ref="I23:J23"/>
    <mergeCell ref="K21:L21"/>
    <mergeCell ref="M21:N21"/>
  </mergeCells>
  <pageMargins left="0.511811024" right="0.511811024" top="0.78740157499999996" bottom="0.78740157499999996" header="0.31496062000000002" footer="0.31496062000000002"/>
  <pageSetup paperSize="9" scale="3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95"/>
  <sheetViews>
    <sheetView view="pageBreakPreview" topLeftCell="A35" zoomScale="80" zoomScaleSheetLayoutView="80" workbookViewId="0">
      <selection activeCell="F15" sqref="F15"/>
    </sheetView>
  </sheetViews>
  <sheetFormatPr defaultColWidth="9.140625" defaultRowHeight="12.75" x14ac:dyDescent="0.2"/>
  <cols>
    <col min="1" max="1" width="17.5703125" style="557" customWidth="1"/>
    <col min="2" max="2" width="9.7109375" style="557" customWidth="1"/>
    <col min="3" max="3" width="12.140625" style="572" customWidth="1"/>
    <col min="4" max="4" width="16.140625" style="572" customWidth="1"/>
    <col min="5" max="5" width="11.7109375" style="572" bestFit="1" customWidth="1"/>
    <col min="6" max="6" width="13" style="572" customWidth="1"/>
    <col min="7" max="7" width="7.5703125" style="572" customWidth="1"/>
    <col min="8" max="8" width="14.42578125" style="572" customWidth="1"/>
    <col min="9" max="9" width="7.85546875" style="572" customWidth="1"/>
    <col min="10" max="10" width="9.140625" style="572"/>
    <col min="11" max="11" width="9.5703125" style="572" bestFit="1" customWidth="1"/>
    <col min="12" max="12" width="14.42578125" style="572" bestFit="1" customWidth="1"/>
    <col min="13" max="13" width="20.85546875" style="572" customWidth="1"/>
    <col min="14" max="16" width="0" style="572" hidden="1" customWidth="1"/>
    <col min="17" max="17" width="9.140625" style="572"/>
    <col min="18" max="18" width="13" style="572" bestFit="1" customWidth="1"/>
    <col min="19" max="16384" width="9.140625" style="572"/>
  </cols>
  <sheetData>
    <row r="1" spans="1:14" ht="69.95" customHeight="1" x14ac:dyDescent="0.2">
      <c r="A1" s="182"/>
      <c r="B1" s="182"/>
      <c r="C1" s="182"/>
      <c r="D1" s="182"/>
      <c r="E1" s="182"/>
      <c r="F1" s="182"/>
      <c r="G1" s="182"/>
      <c r="H1" s="182"/>
      <c r="I1" s="182"/>
      <c r="J1" s="182"/>
      <c r="K1" s="182"/>
      <c r="L1" s="182"/>
      <c r="M1" s="182"/>
    </row>
    <row r="2" spans="1:14" ht="15" customHeight="1" x14ac:dyDescent="0.2">
      <c r="A2" s="555"/>
      <c r="B2" s="555"/>
      <c r="C2" s="590"/>
      <c r="D2" s="590"/>
      <c r="E2" s="590"/>
      <c r="F2" s="590"/>
      <c r="G2" s="590"/>
      <c r="H2" s="590"/>
      <c r="I2" s="596"/>
      <c r="J2" s="596"/>
      <c r="K2" s="591"/>
      <c r="L2" s="590"/>
      <c r="M2" s="590"/>
    </row>
    <row r="3" spans="1:14" s="69" customFormat="1" ht="22.5" customHeight="1" x14ac:dyDescent="0.2">
      <c r="A3" s="1472" t="s">
        <v>761</v>
      </c>
      <c r="B3" s="1472"/>
      <c r="C3" s="1472"/>
      <c r="D3" s="1472"/>
      <c r="E3" s="1472"/>
      <c r="F3" s="1472"/>
      <c r="G3" s="1472"/>
      <c r="H3" s="1472"/>
      <c r="I3" s="1472"/>
      <c r="J3" s="1472"/>
      <c r="K3" s="1472"/>
      <c r="L3" s="1472"/>
    </row>
    <row r="4" spans="1:14" s="69" customFormat="1" ht="15" x14ac:dyDescent="0.2">
      <c r="A4" s="597"/>
      <c r="B4" s="598"/>
      <c r="C4" s="598"/>
      <c r="D4" s="598"/>
      <c r="E4" s="598"/>
      <c r="F4" s="598"/>
      <c r="G4" s="599"/>
    </row>
    <row r="5" spans="1:14" s="21" customFormat="1" x14ac:dyDescent="0.2">
      <c r="A5" s="600" t="s">
        <v>79</v>
      </c>
      <c r="B5" s="1473" t="str">
        <f>ORÇ!B2</f>
        <v>PREFEITURA MUNICIPAL DE OURÉM</v>
      </c>
      <c r="C5" s="1473"/>
      <c r="D5" s="1473"/>
      <c r="E5" s="1473"/>
      <c r="F5" s="1473"/>
      <c r="G5" s="1474" t="s">
        <v>85</v>
      </c>
      <c r="H5" s="1474"/>
      <c r="I5" s="1475" t="str">
        <f>ORÇ!I2</f>
        <v>OURÉM/PA</v>
      </c>
      <c r="J5" s="1475"/>
      <c r="K5" s="1475"/>
      <c r="L5" s="1475"/>
    </row>
    <row r="6" spans="1:14" s="21" customFormat="1" ht="17.25" customHeight="1" x14ac:dyDescent="0.2">
      <c r="A6" s="600" t="s">
        <v>80</v>
      </c>
      <c r="B6" s="1473" t="str">
        <f>ORÇ!B3</f>
        <v>CONSTRUÇÃO DO CENTRO DE FISIOTERAPIA, NO MUNICÍPIO DE OURÉM/PA</v>
      </c>
      <c r="C6" s="1473"/>
      <c r="D6" s="1473"/>
      <c r="E6" s="1473"/>
      <c r="F6" s="1473"/>
      <c r="G6" s="1473"/>
      <c r="H6" s="1473"/>
      <c r="I6" s="1473"/>
      <c r="J6" s="1473"/>
      <c r="K6" s="1473"/>
      <c r="L6" s="1473"/>
    </row>
    <row r="7" spans="1:14" s="21" customFormat="1" ht="17.25" customHeight="1" x14ac:dyDescent="0.2">
      <c r="A7" s="600" t="s">
        <v>161</v>
      </c>
      <c r="B7" s="1473" t="str">
        <f>ORÇ!B4</f>
        <v>AV. PADRE ANGELO MORETTE, S/Nº - OURÉM/PA</v>
      </c>
      <c r="C7" s="1473"/>
      <c r="D7" s="1473"/>
      <c r="E7" s="1473"/>
      <c r="F7" s="1473"/>
      <c r="G7" s="1473"/>
      <c r="H7" s="1473"/>
      <c r="I7" s="1473"/>
      <c r="J7" s="1473"/>
      <c r="K7" s="1473"/>
      <c r="L7" s="1473"/>
    </row>
    <row r="8" spans="1:14" s="21" customFormat="1" ht="30" customHeight="1" x14ac:dyDescent="0.2">
      <c r="A8" s="601" t="s">
        <v>81</v>
      </c>
      <c r="B8" s="1476">
        <f>ORÇ!B5</f>
        <v>0.2881986483454233</v>
      </c>
      <c r="C8" s="1476"/>
      <c r="D8" s="1476"/>
      <c r="E8" s="1476"/>
      <c r="F8" s="1476"/>
      <c r="G8" s="1477" t="s">
        <v>169</v>
      </c>
      <c r="H8" s="1477"/>
      <c r="I8" s="1482" t="str">
        <f>ORÇ!G5</f>
        <v>SINAPI FEVEREIRO 2022 - DESONERADA                                 SEDOP FEVEREIRO 2022 - DESONERADA</v>
      </c>
      <c r="J8" s="1482"/>
      <c r="K8" s="1482"/>
      <c r="L8" s="1482"/>
    </row>
    <row r="9" spans="1:14" s="21" customFormat="1" ht="30" customHeight="1" x14ac:dyDescent="0.2">
      <c r="A9" s="600" t="s">
        <v>82</v>
      </c>
      <c r="B9" s="1473" t="str">
        <f>ORÇ!B6</f>
        <v>MARUZA BAPTISTA</v>
      </c>
      <c r="C9" s="1473"/>
      <c r="D9" s="1473"/>
      <c r="E9" s="1473"/>
      <c r="F9" s="1473"/>
      <c r="G9" s="1477" t="s">
        <v>762</v>
      </c>
      <c r="H9" s="1477"/>
      <c r="I9" s="1483" t="str">
        <f>ORÇ!G7</f>
        <v>CAU: 28510-2 A</v>
      </c>
      <c r="J9" s="1483"/>
      <c r="K9" s="1483"/>
      <c r="L9" s="1483"/>
    </row>
    <row r="10" spans="1:14" s="21" customFormat="1" ht="7.5" customHeight="1" thickBot="1" x14ac:dyDescent="0.25">
      <c r="A10" s="602"/>
    </row>
    <row r="11" spans="1:14" s="21" customFormat="1" ht="22.5" customHeight="1" thickBot="1" x14ac:dyDescent="0.25">
      <c r="A11" s="1478" t="s">
        <v>2602</v>
      </c>
      <c r="B11" s="1479"/>
      <c r="C11" s="1479"/>
      <c r="D11" s="1479"/>
      <c r="E11" s="1479"/>
      <c r="F11" s="1479"/>
      <c r="G11" s="1479"/>
      <c r="H11" s="1479"/>
      <c r="I11" s="1479"/>
      <c r="J11" s="1479"/>
      <c r="K11" s="1479"/>
      <c r="L11" s="1480"/>
    </row>
    <row r="12" spans="1:14" s="21" customFormat="1" x14ac:dyDescent="0.2">
      <c r="A12" s="602"/>
    </row>
    <row r="13" spans="1:14" s="21" customFormat="1" ht="16.5" customHeight="1" x14ac:dyDescent="0.2">
      <c r="A13" s="1481" t="s">
        <v>763</v>
      </c>
      <c r="B13" s="1481"/>
      <c r="C13" s="1481"/>
      <c r="D13" s="1481"/>
      <c r="E13" s="1481"/>
      <c r="F13" s="1481"/>
      <c r="G13" s="1481"/>
      <c r="H13" s="1481"/>
      <c r="I13" s="1481"/>
      <c r="J13" s="1481"/>
      <c r="K13" s="1481"/>
      <c r="L13" s="1481"/>
    </row>
    <row r="14" spans="1:14" s="21" customFormat="1" ht="16.5" customHeight="1" x14ac:dyDescent="0.2">
      <c r="A14" s="1481" t="s">
        <v>773</v>
      </c>
      <c r="B14" s="1481"/>
      <c r="C14" s="1481"/>
      <c r="D14" s="1481"/>
      <c r="E14" s="1481"/>
      <c r="F14" s="1481"/>
      <c r="G14" s="1481"/>
      <c r="H14" s="1481"/>
      <c r="I14" s="1481"/>
      <c r="J14" s="1481"/>
      <c r="K14" s="1481"/>
      <c r="L14" s="1481"/>
    </row>
    <row r="15" spans="1:14" s="21" customFormat="1" x14ac:dyDescent="0.2">
      <c r="A15" s="1282"/>
      <c r="B15" s="603"/>
      <c r="C15" s="540"/>
      <c r="D15" s="540"/>
      <c r="E15" s="540"/>
      <c r="F15" s="540"/>
      <c r="G15" s="540"/>
      <c r="H15" s="540"/>
      <c r="I15" s="540"/>
      <c r="J15" s="540"/>
      <c r="K15" s="604"/>
      <c r="L15" s="605"/>
    </row>
    <row r="16" spans="1:14" s="607" customFormat="1" ht="16.5" customHeight="1" x14ac:dyDescent="0.2">
      <c r="A16" s="1456" t="s">
        <v>774</v>
      </c>
      <c r="B16" s="1456"/>
      <c r="C16" s="1456"/>
      <c r="D16" s="1456"/>
      <c r="E16" s="1456"/>
      <c r="F16" s="1456"/>
      <c r="G16" s="1456"/>
      <c r="H16" s="1456"/>
      <c r="I16" s="1456"/>
      <c r="J16" s="1456"/>
      <c r="K16" s="1456"/>
      <c r="L16" s="1456"/>
      <c r="M16" s="606"/>
      <c r="N16" s="606"/>
    </row>
    <row r="17" spans="1:14" s="607" customFormat="1" ht="19.5" customHeight="1" x14ac:dyDescent="0.2">
      <c r="A17" s="1457" t="s">
        <v>764</v>
      </c>
      <c r="B17" s="1457"/>
      <c r="C17" s="1457"/>
      <c r="D17" s="1457"/>
      <c r="E17" s="1457"/>
      <c r="F17" s="1457"/>
      <c r="G17" s="1457"/>
      <c r="H17" s="1457"/>
      <c r="I17" s="1457"/>
      <c r="J17" s="1457"/>
      <c r="K17" s="1457"/>
      <c r="L17" s="1457"/>
      <c r="M17" s="606"/>
      <c r="N17" s="606"/>
    </row>
    <row r="18" spans="1:14" s="607" customFormat="1" ht="15" x14ac:dyDescent="0.2">
      <c r="A18" s="608" t="s">
        <v>765</v>
      </c>
      <c r="B18" s="609" t="s">
        <v>766</v>
      </c>
      <c r="C18" s="609" t="s">
        <v>767</v>
      </c>
      <c r="D18" s="1240" t="s">
        <v>768</v>
      </c>
      <c r="E18" s="1458" t="s">
        <v>769</v>
      </c>
      <c r="F18" s="1458"/>
      <c r="G18" s="1459" t="s">
        <v>770</v>
      </c>
      <c r="H18" s="1459"/>
      <c r="I18" s="1459"/>
      <c r="J18" s="1459" t="s">
        <v>771</v>
      </c>
      <c r="K18" s="1459"/>
      <c r="L18" s="1459"/>
      <c r="M18" s="1257"/>
    </row>
    <row r="19" spans="1:14" s="607" customFormat="1" ht="16.5" customHeight="1" x14ac:dyDescent="0.2">
      <c r="A19" s="1283" t="s">
        <v>775</v>
      </c>
      <c r="B19" s="610" t="s">
        <v>50</v>
      </c>
      <c r="C19" s="611">
        <v>1</v>
      </c>
      <c r="D19" s="1241">
        <v>3</v>
      </c>
      <c r="E19" s="1460">
        <f>(D19+D20+D21)/3</f>
        <v>1.9766666666666666</v>
      </c>
      <c r="F19" s="1460"/>
      <c r="G19" s="1461"/>
      <c r="H19" s="1461"/>
      <c r="I19" s="1461"/>
      <c r="J19" s="1470" t="s">
        <v>776</v>
      </c>
      <c r="K19" s="1471"/>
      <c r="L19" s="1471"/>
      <c r="M19" s="612"/>
    </row>
    <row r="20" spans="1:14" s="607" customFormat="1" ht="15" x14ac:dyDescent="0.2">
      <c r="A20" s="1284" t="s">
        <v>777</v>
      </c>
      <c r="B20" s="610" t="s">
        <v>50</v>
      </c>
      <c r="C20" s="611">
        <v>1</v>
      </c>
      <c r="D20" s="1241">
        <v>1.37</v>
      </c>
      <c r="E20" s="1460"/>
      <c r="F20" s="1460"/>
      <c r="G20" s="1461" t="s">
        <v>778</v>
      </c>
      <c r="H20" s="1461"/>
      <c r="I20" s="1461"/>
      <c r="J20" s="1462" t="s">
        <v>779</v>
      </c>
      <c r="K20" s="1463"/>
      <c r="L20" s="1463"/>
      <c r="M20" s="613"/>
    </row>
    <row r="21" spans="1:14" s="607" customFormat="1" ht="15" customHeight="1" x14ac:dyDescent="0.2">
      <c r="A21" s="1284" t="s">
        <v>780</v>
      </c>
      <c r="B21" s="610" t="s">
        <v>50</v>
      </c>
      <c r="C21" s="611">
        <v>1</v>
      </c>
      <c r="D21" s="1241">
        <v>1.56</v>
      </c>
      <c r="E21" s="1460"/>
      <c r="F21" s="1460"/>
      <c r="G21" s="1461" t="s">
        <v>782</v>
      </c>
      <c r="H21" s="1461"/>
      <c r="I21" s="1461"/>
      <c r="J21" s="1470" t="s">
        <v>781</v>
      </c>
      <c r="K21" s="1461"/>
      <c r="L21" s="1461"/>
      <c r="M21" s="612"/>
    </row>
    <row r="22" spans="1:14" s="21" customFormat="1" x14ac:dyDescent="0.2">
      <c r="A22" s="602"/>
    </row>
    <row r="23" spans="1:14" s="607" customFormat="1" ht="18.75" customHeight="1" x14ac:dyDescent="0.2">
      <c r="A23" s="1456" t="s">
        <v>788</v>
      </c>
      <c r="B23" s="1456"/>
      <c r="C23" s="1456"/>
      <c r="D23" s="1456"/>
      <c r="E23" s="1456"/>
      <c r="F23" s="1456"/>
      <c r="G23" s="1456"/>
      <c r="H23" s="1456"/>
      <c r="I23" s="1456"/>
      <c r="J23" s="1456"/>
      <c r="K23" s="1456"/>
      <c r="L23" s="1456"/>
      <c r="M23" s="606"/>
      <c r="N23" s="606"/>
    </row>
    <row r="24" spans="1:14" s="607" customFormat="1" ht="19.5" customHeight="1" x14ac:dyDescent="0.2">
      <c r="A24" s="1457" t="s">
        <v>772</v>
      </c>
      <c r="B24" s="1457"/>
      <c r="C24" s="1457"/>
      <c r="D24" s="1457"/>
      <c r="E24" s="1457"/>
      <c r="F24" s="1457"/>
      <c r="G24" s="1457"/>
      <c r="H24" s="1457"/>
      <c r="I24" s="1457"/>
      <c r="J24" s="1457"/>
      <c r="K24" s="1457"/>
      <c r="L24" s="1457"/>
      <c r="M24" s="606"/>
      <c r="N24" s="606"/>
    </row>
    <row r="25" spans="1:14" s="607" customFormat="1" ht="15" x14ac:dyDescent="0.2">
      <c r="A25" s="608" t="s">
        <v>765</v>
      </c>
      <c r="B25" s="609" t="s">
        <v>766</v>
      </c>
      <c r="C25" s="609" t="s">
        <v>767</v>
      </c>
      <c r="D25" s="1240" t="s">
        <v>768</v>
      </c>
      <c r="E25" s="1458" t="s">
        <v>769</v>
      </c>
      <c r="F25" s="1458"/>
      <c r="G25" s="1459" t="s">
        <v>770</v>
      </c>
      <c r="H25" s="1459"/>
      <c r="I25" s="1459"/>
      <c r="J25" s="1459" t="s">
        <v>771</v>
      </c>
      <c r="K25" s="1459"/>
      <c r="L25" s="1459"/>
      <c r="M25" s="1257"/>
    </row>
    <row r="26" spans="1:14" s="607" customFormat="1" ht="16.5" customHeight="1" x14ac:dyDescent="0.2">
      <c r="A26" s="1283" t="s">
        <v>775</v>
      </c>
      <c r="B26" s="610" t="s">
        <v>201</v>
      </c>
      <c r="C26" s="611">
        <v>1</v>
      </c>
      <c r="D26" s="1241">
        <v>72</v>
      </c>
      <c r="E26" s="1460">
        <f>(D26+D27+D28)/3</f>
        <v>78.483333333333334</v>
      </c>
      <c r="F26" s="1460"/>
      <c r="G26" s="1461"/>
      <c r="H26" s="1461"/>
      <c r="I26" s="1461"/>
      <c r="J26" s="1470" t="s">
        <v>776</v>
      </c>
      <c r="K26" s="1471"/>
      <c r="L26" s="1471"/>
      <c r="M26" s="612"/>
    </row>
    <row r="27" spans="1:14" s="607" customFormat="1" ht="15" x14ac:dyDescent="0.2">
      <c r="A27" s="1284" t="s">
        <v>777</v>
      </c>
      <c r="B27" s="610" t="s">
        <v>201</v>
      </c>
      <c r="C27" s="611">
        <v>1</v>
      </c>
      <c r="D27" s="1241">
        <v>73.45</v>
      </c>
      <c r="E27" s="1460"/>
      <c r="F27" s="1460"/>
      <c r="G27" s="1461" t="s">
        <v>778</v>
      </c>
      <c r="H27" s="1461"/>
      <c r="I27" s="1461"/>
      <c r="J27" s="1462" t="s">
        <v>779</v>
      </c>
      <c r="K27" s="1463"/>
      <c r="L27" s="1463"/>
      <c r="M27" s="613"/>
    </row>
    <row r="28" spans="1:14" s="607" customFormat="1" ht="18" customHeight="1" x14ac:dyDescent="0.2">
      <c r="A28" s="1284" t="s">
        <v>789</v>
      </c>
      <c r="B28" s="610" t="s">
        <v>201</v>
      </c>
      <c r="C28" s="611">
        <v>1</v>
      </c>
      <c r="D28" s="1241">
        <v>90</v>
      </c>
      <c r="E28" s="1460"/>
      <c r="F28" s="1460"/>
      <c r="G28" s="1461" t="s">
        <v>791</v>
      </c>
      <c r="H28" s="1461"/>
      <c r="I28" s="1461"/>
      <c r="J28" s="1470" t="s">
        <v>790</v>
      </c>
      <c r="K28" s="1461"/>
      <c r="L28" s="1461"/>
      <c r="M28" s="612"/>
    </row>
    <row r="29" spans="1:14" ht="14.25" customHeight="1" x14ac:dyDescent="0.2">
      <c r="A29" s="1285"/>
      <c r="B29" s="1285"/>
      <c r="C29" s="547"/>
      <c r="D29" s="547"/>
      <c r="E29" s="547"/>
      <c r="F29" s="547"/>
      <c r="G29" s="547"/>
      <c r="H29" s="547"/>
      <c r="I29" s="547"/>
      <c r="J29" s="1286"/>
      <c r="K29" s="563"/>
      <c r="L29" s="544"/>
      <c r="M29" s="545"/>
    </row>
    <row r="30" spans="1:14" s="607" customFormat="1" ht="15.75" customHeight="1" x14ac:dyDescent="0.2">
      <c r="A30" s="1456" t="s">
        <v>1645</v>
      </c>
      <c r="B30" s="1456"/>
      <c r="C30" s="1456"/>
      <c r="D30" s="1456"/>
      <c r="E30" s="1456"/>
      <c r="F30" s="1456"/>
      <c r="G30" s="1456"/>
      <c r="H30" s="1456"/>
      <c r="I30" s="1456"/>
      <c r="J30" s="1456"/>
      <c r="K30" s="1456"/>
      <c r="L30" s="1456"/>
      <c r="M30" s="606"/>
      <c r="N30" s="606"/>
    </row>
    <row r="31" spans="1:14" s="607" customFormat="1" ht="19.5" customHeight="1" x14ac:dyDescent="0.2">
      <c r="A31" s="1457" t="s">
        <v>1376</v>
      </c>
      <c r="B31" s="1457"/>
      <c r="C31" s="1457"/>
      <c r="D31" s="1457"/>
      <c r="E31" s="1457"/>
      <c r="F31" s="1457"/>
      <c r="G31" s="1457"/>
      <c r="H31" s="1457"/>
      <c r="I31" s="1457"/>
      <c r="J31" s="1457"/>
      <c r="K31" s="1457"/>
      <c r="L31" s="1457"/>
      <c r="M31" s="606"/>
      <c r="N31" s="606"/>
    </row>
    <row r="32" spans="1:14" s="607" customFormat="1" ht="15" x14ac:dyDescent="0.2">
      <c r="A32" s="608" t="s">
        <v>765</v>
      </c>
      <c r="B32" s="609" t="s">
        <v>766</v>
      </c>
      <c r="C32" s="609" t="s">
        <v>767</v>
      </c>
      <c r="D32" s="1240" t="s">
        <v>768</v>
      </c>
      <c r="E32" s="1458" t="s">
        <v>769</v>
      </c>
      <c r="F32" s="1458"/>
      <c r="G32" s="1459" t="s">
        <v>770</v>
      </c>
      <c r="H32" s="1459"/>
      <c r="I32" s="1459"/>
      <c r="J32" s="1459" t="s">
        <v>771</v>
      </c>
      <c r="K32" s="1459"/>
      <c r="L32" s="1459"/>
      <c r="M32" s="1257"/>
    </row>
    <row r="33" spans="1:14" s="607" customFormat="1" ht="31.5" customHeight="1" x14ac:dyDescent="0.2">
      <c r="A33" s="1283" t="s">
        <v>1377</v>
      </c>
      <c r="B33" s="610" t="s">
        <v>50</v>
      </c>
      <c r="C33" s="611">
        <v>1</v>
      </c>
      <c r="D33" s="1241">
        <v>2520</v>
      </c>
      <c r="E33" s="1460">
        <f>(D33+D34+D35)/3</f>
        <v>3120</v>
      </c>
      <c r="F33" s="1460"/>
      <c r="G33" s="1461" t="s">
        <v>1379</v>
      </c>
      <c r="H33" s="1461"/>
      <c r="I33" s="1461"/>
      <c r="J33" s="1470" t="s">
        <v>1378</v>
      </c>
      <c r="K33" s="1471"/>
      <c r="L33" s="1471"/>
      <c r="M33" s="612"/>
    </row>
    <row r="34" spans="1:14" s="607" customFormat="1" ht="30" customHeight="1" x14ac:dyDescent="0.2">
      <c r="A34" s="1283" t="s">
        <v>1380</v>
      </c>
      <c r="B34" s="610" t="s">
        <v>50</v>
      </c>
      <c r="C34" s="611">
        <v>1</v>
      </c>
      <c r="D34" s="1241">
        <v>3648</v>
      </c>
      <c r="E34" s="1460"/>
      <c r="F34" s="1460"/>
      <c r="G34" s="1461" t="s">
        <v>1381</v>
      </c>
      <c r="H34" s="1461"/>
      <c r="I34" s="1461"/>
      <c r="J34" s="1462" t="s">
        <v>1382</v>
      </c>
      <c r="K34" s="1463"/>
      <c r="L34" s="1463"/>
      <c r="M34" s="613"/>
    </row>
    <row r="35" spans="1:14" s="607" customFormat="1" ht="18" customHeight="1" x14ac:dyDescent="0.2">
      <c r="A35" s="1284" t="s">
        <v>1383</v>
      </c>
      <c r="B35" s="610" t="s">
        <v>50</v>
      </c>
      <c r="C35" s="611">
        <v>1</v>
      </c>
      <c r="D35" s="1241">
        <v>3192</v>
      </c>
      <c r="E35" s="1460"/>
      <c r="F35" s="1460"/>
      <c r="G35" s="1461" t="s">
        <v>1384</v>
      </c>
      <c r="H35" s="1461"/>
      <c r="I35" s="1461"/>
      <c r="J35" s="1470" t="s">
        <v>1385</v>
      </c>
      <c r="K35" s="1461"/>
      <c r="L35" s="1461"/>
      <c r="M35" s="612"/>
    </row>
    <row r="36" spans="1:14" ht="14.25" customHeight="1" x14ac:dyDescent="0.2">
      <c r="A36" s="1285"/>
      <c r="B36" s="1285"/>
      <c r="C36" s="547"/>
      <c r="D36" s="547"/>
      <c r="E36" s="547"/>
      <c r="F36" s="547"/>
      <c r="G36" s="547"/>
      <c r="H36" s="547"/>
      <c r="I36" s="547"/>
      <c r="J36" s="1286"/>
      <c r="K36" s="563"/>
      <c r="L36" s="544"/>
      <c r="M36" s="545"/>
    </row>
    <row r="37" spans="1:14" s="607" customFormat="1" ht="19.5" customHeight="1" x14ac:dyDescent="0.2">
      <c r="A37" s="1456" t="s">
        <v>1452</v>
      </c>
      <c r="B37" s="1456"/>
      <c r="C37" s="1456"/>
      <c r="D37" s="1456"/>
      <c r="E37" s="1456"/>
      <c r="F37" s="1456"/>
      <c r="G37" s="1456"/>
      <c r="H37" s="1456"/>
      <c r="I37" s="1456"/>
      <c r="J37" s="1456"/>
      <c r="K37" s="1456"/>
      <c r="L37" s="1456"/>
      <c r="M37" s="606"/>
      <c r="N37" s="606"/>
    </row>
    <row r="38" spans="1:14" s="607" customFormat="1" ht="19.5" customHeight="1" x14ac:dyDescent="0.2">
      <c r="A38" s="1457" t="s">
        <v>1453</v>
      </c>
      <c r="B38" s="1457"/>
      <c r="C38" s="1457"/>
      <c r="D38" s="1457"/>
      <c r="E38" s="1457"/>
      <c r="F38" s="1457"/>
      <c r="G38" s="1457"/>
      <c r="H38" s="1457"/>
      <c r="I38" s="1457"/>
      <c r="J38" s="1457"/>
      <c r="K38" s="1457"/>
      <c r="L38" s="1457"/>
      <c r="M38" s="606"/>
      <c r="N38" s="606"/>
    </row>
    <row r="39" spans="1:14" s="607" customFormat="1" ht="19.5" customHeight="1" x14ac:dyDescent="0.2">
      <c r="A39" s="608" t="s">
        <v>765</v>
      </c>
      <c r="B39" s="609" t="s">
        <v>766</v>
      </c>
      <c r="C39" s="609" t="s">
        <v>767</v>
      </c>
      <c r="D39" s="1240" t="s">
        <v>768</v>
      </c>
      <c r="E39" s="1458" t="s">
        <v>769</v>
      </c>
      <c r="F39" s="1458"/>
      <c r="G39" s="1459" t="s">
        <v>770</v>
      </c>
      <c r="H39" s="1459"/>
      <c r="I39" s="1459"/>
      <c r="J39" s="1459" t="s">
        <v>771</v>
      </c>
      <c r="K39" s="1459"/>
      <c r="L39" s="1459"/>
      <c r="M39" s="1257"/>
    </row>
    <row r="40" spans="1:14" s="607" customFormat="1" ht="31.5" customHeight="1" x14ac:dyDescent="0.2">
      <c r="A40" s="1283" t="s">
        <v>1454</v>
      </c>
      <c r="B40" s="610" t="s">
        <v>328</v>
      </c>
      <c r="C40" s="611">
        <v>1</v>
      </c>
      <c r="D40" s="1241">
        <v>108</v>
      </c>
      <c r="E40" s="1460">
        <f>(D40+D41+D42)/3</f>
        <v>104.66666666666667</v>
      </c>
      <c r="F40" s="1460"/>
      <c r="G40" s="1461" t="s">
        <v>1455</v>
      </c>
      <c r="H40" s="1461"/>
      <c r="I40" s="1461"/>
      <c r="J40" s="1470"/>
      <c r="K40" s="1471"/>
      <c r="L40" s="1471"/>
      <c r="M40" s="612"/>
    </row>
    <row r="41" spans="1:14" s="607" customFormat="1" ht="17.25" customHeight="1" x14ac:dyDescent="0.2">
      <c r="A41" s="1283" t="s">
        <v>1456</v>
      </c>
      <c r="B41" s="610" t="s">
        <v>328</v>
      </c>
      <c r="C41" s="611">
        <v>1</v>
      </c>
      <c r="D41" s="1241">
        <v>114</v>
      </c>
      <c r="E41" s="1460"/>
      <c r="F41" s="1460"/>
      <c r="G41" s="1461" t="s">
        <v>1457</v>
      </c>
      <c r="H41" s="1461"/>
      <c r="I41" s="1461"/>
      <c r="J41" s="1462"/>
      <c r="K41" s="1463"/>
      <c r="L41" s="1463"/>
      <c r="M41" s="613"/>
    </row>
    <row r="42" spans="1:14" s="607" customFormat="1" ht="32.25" customHeight="1" x14ac:dyDescent="0.2">
      <c r="A42" s="1283" t="s">
        <v>1458</v>
      </c>
      <c r="B42" s="610" t="s">
        <v>328</v>
      </c>
      <c r="C42" s="611">
        <v>1</v>
      </c>
      <c r="D42" s="1241">
        <v>92</v>
      </c>
      <c r="E42" s="1460"/>
      <c r="F42" s="1460"/>
      <c r="G42" s="1461" t="s">
        <v>1459</v>
      </c>
      <c r="H42" s="1461"/>
      <c r="I42" s="1461"/>
      <c r="J42" s="1470"/>
      <c r="K42" s="1461"/>
      <c r="L42" s="1461"/>
      <c r="M42" s="612"/>
    </row>
    <row r="43" spans="1:14" ht="14.25" x14ac:dyDescent="0.2">
      <c r="A43" s="1285"/>
      <c r="B43" s="1285"/>
      <c r="C43" s="547"/>
      <c r="D43" s="547"/>
      <c r="E43" s="547"/>
      <c r="F43" s="547"/>
      <c r="G43" s="547"/>
      <c r="H43" s="547"/>
      <c r="I43" s="547"/>
      <c r="J43" s="1286"/>
      <c r="K43" s="563"/>
      <c r="L43" s="544"/>
      <c r="M43" s="545"/>
    </row>
    <row r="44" spans="1:14" s="607" customFormat="1" ht="19.5" customHeight="1" x14ac:dyDescent="0.2">
      <c r="A44" s="1456" t="s">
        <v>1813</v>
      </c>
      <c r="B44" s="1456"/>
      <c r="C44" s="1456"/>
      <c r="D44" s="1456"/>
      <c r="E44" s="1456"/>
      <c r="F44" s="1456"/>
      <c r="G44" s="1456"/>
      <c r="H44" s="1456"/>
      <c r="I44" s="1456"/>
      <c r="J44" s="1456"/>
      <c r="K44" s="1456"/>
      <c r="L44" s="1456"/>
      <c r="M44" s="606"/>
      <c r="N44" s="606"/>
    </row>
    <row r="45" spans="1:14" s="607" customFormat="1" ht="19.5" customHeight="1" x14ac:dyDescent="0.2">
      <c r="A45" s="1457" t="s">
        <v>1803</v>
      </c>
      <c r="B45" s="1457"/>
      <c r="C45" s="1457"/>
      <c r="D45" s="1457"/>
      <c r="E45" s="1457"/>
      <c r="F45" s="1457"/>
      <c r="G45" s="1457"/>
      <c r="H45" s="1457"/>
      <c r="I45" s="1457"/>
      <c r="J45" s="1457"/>
      <c r="K45" s="1457"/>
      <c r="L45" s="1457"/>
      <c r="M45" s="606"/>
      <c r="N45" s="606"/>
    </row>
    <row r="46" spans="1:14" s="607" customFormat="1" ht="19.5" customHeight="1" x14ac:dyDescent="0.2">
      <c r="A46" s="608" t="s">
        <v>765</v>
      </c>
      <c r="B46" s="609" t="s">
        <v>766</v>
      </c>
      <c r="C46" s="609" t="s">
        <v>767</v>
      </c>
      <c r="D46" s="1240" t="s">
        <v>768</v>
      </c>
      <c r="E46" s="1458" t="s">
        <v>769</v>
      </c>
      <c r="F46" s="1458"/>
      <c r="G46" s="1459" t="s">
        <v>770</v>
      </c>
      <c r="H46" s="1459"/>
      <c r="I46" s="1459"/>
      <c r="J46" s="1459" t="s">
        <v>771</v>
      </c>
      <c r="K46" s="1459"/>
      <c r="L46" s="1459"/>
      <c r="M46" s="1257"/>
    </row>
    <row r="47" spans="1:14" s="607" customFormat="1" ht="22.5" customHeight="1" x14ac:dyDescent="0.2">
      <c r="A47" s="1283" t="s">
        <v>1804</v>
      </c>
      <c r="B47" s="610" t="s">
        <v>50</v>
      </c>
      <c r="C47" s="611">
        <v>1</v>
      </c>
      <c r="D47" s="1241">
        <v>108</v>
      </c>
      <c r="E47" s="1460">
        <f>(D47+D48+D49)/3</f>
        <v>165.10999999999999</v>
      </c>
      <c r="F47" s="1460"/>
      <c r="G47" s="1461" t="s">
        <v>1806</v>
      </c>
      <c r="H47" s="1461"/>
      <c r="I47" s="1461"/>
      <c r="J47" s="1470" t="s">
        <v>1805</v>
      </c>
      <c r="K47" s="1471"/>
      <c r="L47" s="1471"/>
      <c r="M47" s="612"/>
    </row>
    <row r="48" spans="1:14" s="607" customFormat="1" ht="22.5" customHeight="1" x14ac:dyDescent="0.2">
      <c r="A48" s="1283" t="s">
        <v>1807</v>
      </c>
      <c r="B48" s="610" t="s">
        <v>50</v>
      </c>
      <c r="C48" s="611">
        <v>1</v>
      </c>
      <c r="D48" s="1241">
        <f>140+15.99</f>
        <v>155.99</v>
      </c>
      <c r="E48" s="1460"/>
      <c r="F48" s="1460"/>
      <c r="G48" s="1461" t="s">
        <v>1809</v>
      </c>
      <c r="H48" s="1461"/>
      <c r="I48" s="1461"/>
      <c r="J48" s="1462" t="s">
        <v>1808</v>
      </c>
      <c r="K48" s="1463"/>
      <c r="L48" s="1463"/>
      <c r="M48" s="613"/>
    </row>
    <row r="49" spans="1:14" s="607" customFormat="1" ht="22.5" customHeight="1" x14ac:dyDescent="0.2">
      <c r="A49" s="1283" t="s">
        <v>1810</v>
      </c>
      <c r="B49" s="610" t="s">
        <v>50</v>
      </c>
      <c r="C49" s="611">
        <v>1</v>
      </c>
      <c r="D49" s="1241">
        <f>162.85+68.49</f>
        <v>231.33999999999997</v>
      </c>
      <c r="E49" s="1460"/>
      <c r="F49" s="1460"/>
      <c r="G49" s="1461" t="s">
        <v>1812</v>
      </c>
      <c r="H49" s="1461"/>
      <c r="I49" s="1461"/>
      <c r="J49" s="1470" t="s">
        <v>1811</v>
      </c>
      <c r="K49" s="1461"/>
      <c r="L49" s="1461"/>
      <c r="M49" s="612"/>
    </row>
    <row r="50" spans="1:14" ht="14.25" x14ac:dyDescent="0.2">
      <c r="A50" s="1285"/>
      <c r="B50" s="1285"/>
      <c r="C50" s="547"/>
      <c r="D50" s="547"/>
      <c r="E50" s="547"/>
      <c r="F50" s="547"/>
      <c r="G50" s="547"/>
      <c r="H50" s="547"/>
      <c r="I50" s="547"/>
      <c r="J50" s="1286"/>
      <c r="K50" s="563"/>
      <c r="L50" s="544"/>
      <c r="M50" s="545"/>
    </row>
    <row r="51" spans="1:14" s="607" customFormat="1" ht="19.5" customHeight="1" x14ac:dyDescent="0.2">
      <c r="A51" s="1456" t="s">
        <v>1964</v>
      </c>
      <c r="B51" s="1456"/>
      <c r="C51" s="1456"/>
      <c r="D51" s="1456"/>
      <c r="E51" s="1456"/>
      <c r="F51" s="1456"/>
      <c r="G51" s="1456"/>
      <c r="H51" s="1456"/>
      <c r="I51" s="1456"/>
      <c r="J51" s="1456"/>
      <c r="K51" s="1456"/>
      <c r="L51" s="1456"/>
      <c r="M51" s="606"/>
      <c r="N51" s="606"/>
    </row>
    <row r="52" spans="1:14" s="607" customFormat="1" ht="19.5" customHeight="1" x14ac:dyDescent="0.2">
      <c r="A52" s="1457" t="s">
        <v>1963</v>
      </c>
      <c r="B52" s="1457"/>
      <c r="C52" s="1457"/>
      <c r="D52" s="1457"/>
      <c r="E52" s="1457"/>
      <c r="F52" s="1457"/>
      <c r="G52" s="1457"/>
      <c r="H52" s="1457"/>
      <c r="I52" s="1457"/>
      <c r="J52" s="1457"/>
      <c r="K52" s="1457"/>
      <c r="L52" s="1457"/>
      <c r="M52" s="606"/>
      <c r="N52" s="606"/>
    </row>
    <row r="53" spans="1:14" s="607" customFormat="1" ht="19.5" customHeight="1" x14ac:dyDescent="0.2">
      <c r="A53" s="608" t="s">
        <v>765</v>
      </c>
      <c r="B53" s="609" t="s">
        <v>766</v>
      </c>
      <c r="C53" s="609" t="s">
        <v>767</v>
      </c>
      <c r="D53" s="1240" t="s">
        <v>768</v>
      </c>
      <c r="E53" s="1458" t="s">
        <v>769</v>
      </c>
      <c r="F53" s="1458"/>
      <c r="G53" s="1459" t="s">
        <v>770</v>
      </c>
      <c r="H53" s="1459"/>
      <c r="I53" s="1459"/>
      <c r="J53" s="1459" t="s">
        <v>771</v>
      </c>
      <c r="K53" s="1459"/>
      <c r="L53" s="1459"/>
      <c r="M53" s="1257"/>
    </row>
    <row r="54" spans="1:14" s="607" customFormat="1" ht="18" customHeight="1" x14ac:dyDescent="0.2">
      <c r="A54" s="1283" t="s">
        <v>1969</v>
      </c>
      <c r="B54" s="610" t="s">
        <v>50</v>
      </c>
      <c r="C54" s="611">
        <v>1</v>
      </c>
      <c r="D54" s="1241">
        <f>979+42.29</f>
        <v>1021.29</v>
      </c>
      <c r="E54" s="1460">
        <f>(D54+D55+D56)/3</f>
        <v>940.24333333333334</v>
      </c>
      <c r="F54" s="1460"/>
      <c r="G54" s="1461" t="s">
        <v>1971</v>
      </c>
      <c r="H54" s="1461"/>
      <c r="I54" s="1461"/>
      <c r="J54" s="1470" t="s">
        <v>1970</v>
      </c>
      <c r="K54" s="1471"/>
      <c r="L54" s="1471"/>
      <c r="M54" s="612"/>
    </row>
    <row r="55" spans="1:14" s="607" customFormat="1" ht="18" customHeight="1" x14ac:dyDescent="0.2">
      <c r="A55" s="1283" t="s">
        <v>1965</v>
      </c>
      <c r="B55" s="610" t="s">
        <v>50</v>
      </c>
      <c r="C55" s="611">
        <v>1</v>
      </c>
      <c r="D55" s="1241">
        <f>783.11+129.9</f>
        <v>913.01</v>
      </c>
      <c r="E55" s="1460"/>
      <c r="F55" s="1460"/>
      <c r="G55" s="1461" t="s">
        <v>1809</v>
      </c>
      <c r="H55" s="1461"/>
      <c r="I55" s="1461"/>
      <c r="J55" s="1462" t="s">
        <v>1808</v>
      </c>
      <c r="K55" s="1463"/>
      <c r="L55" s="1463"/>
      <c r="M55" s="613"/>
    </row>
    <row r="56" spans="1:14" s="607" customFormat="1" ht="18" customHeight="1" x14ac:dyDescent="0.2">
      <c r="A56" s="1283" t="s">
        <v>1966</v>
      </c>
      <c r="B56" s="610" t="s">
        <v>50</v>
      </c>
      <c r="C56" s="611">
        <v>1</v>
      </c>
      <c r="D56" s="1241">
        <f>759.9+126.53</f>
        <v>886.43</v>
      </c>
      <c r="E56" s="1460"/>
      <c r="F56" s="1460"/>
      <c r="G56" s="1461" t="s">
        <v>1968</v>
      </c>
      <c r="H56" s="1461"/>
      <c r="I56" s="1461"/>
      <c r="J56" s="1470" t="s">
        <v>1967</v>
      </c>
      <c r="K56" s="1461"/>
      <c r="L56" s="1461"/>
      <c r="M56" s="612"/>
    </row>
    <row r="57" spans="1:14" ht="14.25" x14ac:dyDescent="0.2">
      <c r="A57" s="1285"/>
      <c r="B57" s="1285"/>
      <c r="C57" s="547"/>
      <c r="D57" s="547"/>
      <c r="E57" s="547"/>
      <c r="F57" s="547"/>
      <c r="G57" s="547"/>
      <c r="H57" s="547"/>
      <c r="I57" s="547"/>
      <c r="J57" s="1286"/>
      <c r="K57" s="563"/>
      <c r="L57" s="544"/>
      <c r="M57" s="545"/>
    </row>
    <row r="58" spans="1:14" s="607" customFormat="1" ht="17.25" customHeight="1" x14ac:dyDescent="0.2">
      <c r="A58" s="1456" t="s">
        <v>2055</v>
      </c>
      <c r="B58" s="1456"/>
      <c r="C58" s="1456"/>
      <c r="D58" s="1456"/>
      <c r="E58" s="1456"/>
      <c r="F58" s="1456"/>
      <c r="G58" s="1456"/>
      <c r="H58" s="1456"/>
      <c r="I58" s="1456"/>
      <c r="J58" s="1456"/>
      <c r="K58" s="1456"/>
      <c r="L58" s="1456"/>
      <c r="M58" s="606"/>
      <c r="N58" s="606"/>
    </row>
    <row r="59" spans="1:14" s="607" customFormat="1" ht="19.5" customHeight="1" x14ac:dyDescent="0.2">
      <c r="A59" s="1457" t="s">
        <v>2052</v>
      </c>
      <c r="B59" s="1457"/>
      <c r="C59" s="1457"/>
      <c r="D59" s="1457"/>
      <c r="E59" s="1457"/>
      <c r="F59" s="1457"/>
      <c r="G59" s="1457"/>
      <c r="H59" s="1457"/>
      <c r="I59" s="1457"/>
      <c r="J59" s="1457"/>
      <c r="K59" s="1457"/>
      <c r="L59" s="1457"/>
      <c r="M59" s="606"/>
      <c r="N59" s="606"/>
    </row>
    <row r="60" spans="1:14" s="607" customFormat="1" ht="19.5" customHeight="1" x14ac:dyDescent="0.2">
      <c r="A60" s="608" t="s">
        <v>765</v>
      </c>
      <c r="B60" s="609" t="s">
        <v>766</v>
      </c>
      <c r="C60" s="609" t="s">
        <v>767</v>
      </c>
      <c r="D60" s="1240" t="s">
        <v>768</v>
      </c>
      <c r="E60" s="1458" t="s">
        <v>769</v>
      </c>
      <c r="F60" s="1458"/>
      <c r="G60" s="1459" t="s">
        <v>770</v>
      </c>
      <c r="H60" s="1459"/>
      <c r="I60" s="1459"/>
      <c r="J60" s="1459" t="s">
        <v>771</v>
      </c>
      <c r="K60" s="1459"/>
      <c r="L60" s="1459"/>
      <c r="M60" s="1257"/>
    </row>
    <row r="61" spans="1:14" s="607" customFormat="1" ht="18.75" customHeight="1" x14ac:dyDescent="0.2">
      <c r="A61" s="1283" t="s">
        <v>2053</v>
      </c>
      <c r="B61" s="610" t="s">
        <v>50</v>
      </c>
      <c r="C61" s="611">
        <v>1</v>
      </c>
      <c r="D61" s="1241">
        <v>1737.87</v>
      </c>
      <c r="E61" s="1460">
        <f>(D61+D62+D63)/3</f>
        <v>1152.6266666666666</v>
      </c>
      <c r="F61" s="1460"/>
      <c r="G61" s="1461"/>
      <c r="H61" s="1461"/>
      <c r="I61" s="1461"/>
      <c r="J61" s="1470" t="s">
        <v>2054</v>
      </c>
      <c r="K61" s="1471"/>
      <c r="L61" s="1471"/>
      <c r="M61" s="612"/>
    </row>
    <row r="62" spans="1:14" s="607" customFormat="1" ht="29.25" customHeight="1" x14ac:dyDescent="0.2">
      <c r="A62" s="1283" t="s">
        <v>2056</v>
      </c>
      <c r="B62" s="610" t="s">
        <v>50</v>
      </c>
      <c r="C62" s="611">
        <v>1</v>
      </c>
      <c r="D62" s="1241">
        <f>675.1+144.6</f>
        <v>819.7</v>
      </c>
      <c r="E62" s="1460"/>
      <c r="F62" s="1460"/>
      <c r="G62" s="1461" t="s">
        <v>2058</v>
      </c>
      <c r="H62" s="1461"/>
      <c r="I62" s="1461"/>
      <c r="J62" s="1462" t="s">
        <v>2057</v>
      </c>
      <c r="K62" s="1463"/>
      <c r="L62" s="1463"/>
      <c r="M62" s="613"/>
    </row>
    <row r="63" spans="1:14" s="607" customFormat="1" ht="20.25" customHeight="1" x14ac:dyDescent="0.2">
      <c r="A63" s="1283" t="s">
        <v>1965</v>
      </c>
      <c r="B63" s="610" t="s">
        <v>50</v>
      </c>
      <c r="C63" s="611">
        <v>1</v>
      </c>
      <c r="D63" s="1241">
        <f>548.55+351.76</f>
        <v>900.31</v>
      </c>
      <c r="E63" s="1460"/>
      <c r="F63" s="1460"/>
      <c r="G63" s="1464" t="s">
        <v>1809</v>
      </c>
      <c r="H63" s="1465"/>
      <c r="I63" s="1466"/>
      <c r="J63" s="1467" t="s">
        <v>1808</v>
      </c>
      <c r="K63" s="1468"/>
      <c r="L63" s="1469"/>
      <c r="M63" s="612"/>
    </row>
    <row r="64" spans="1:14" ht="14.25" x14ac:dyDescent="0.2">
      <c r="A64" s="1285"/>
      <c r="B64" s="1285"/>
      <c r="C64" s="547"/>
      <c r="D64" s="547"/>
      <c r="E64" s="547"/>
      <c r="F64" s="547"/>
      <c r="G64" s="547"/>
      <c r="H64" s="547"/>
      <c r="I64" s="547"/>
      <c r="J64" s="1286"/>
      <c r="K64" s="563"/>
      <c r="L64" s="544"/>
      <c r="M64" s="545"/>
    </row>
    <row r="65" spans="1:14" s="607" customFormat="1" ht="17.25" customHeight="1" x14ac:dyDescent="0.2">
      <c r="A65" s="1456" t="s">
        <v>2125</v>
      </c>
      <c r="B65" s="1456"/>
      <c r="C65" s="1456"/>
      <c r="D65" s="1456"/>
      <c r="E65" s="1456"/>
      <c r="F65" s="1456"/>
      <c r="G65" s="1456"/>
      <c r="H65" s="1456"/>
      <c r="I65" s="1456"/>
      <c r="J65" s="1456"/>
      <c r="K65" s="1456"/>
      <c r="L65" s="1456"/>
      <c r="M65" s="606"/>
      <c r="N65" s="606"/>
    </row>
    <row r="66" spans="1:14" s="607" customFormat="1" ht="19.5" customHeight="1" x14ac:dyDescent="0.2">
      <c r="A66" s="1457" t="s">
        <v>2124</v>
      </c>
      <c r="B66" s="1457"/>
      <c r="C66" s="1457"/>
      <c r="D66" s="1457"/>
      <c r="E66" s="1457"/>
      <c r="F66" s="1457"/>
      <c r="G66" s="1457"/>
      <c r="H66" s="1457"/>
      <c r="I66" s="1457"/>
      <c r="J66" s="1457"/>
      <c r="K66" s="1457"/>
      <c r="L66" s="1457"/>
      <c r="M66" s="606"/>
      <c r="N66" s="606"/>
    </row>
    <row r="67" spans="1:14" s="607" customFormat="1" ht="19.5" customHeight="1" x14ac:dyDescent="0.2">
      <c r="A67" s="608" t="s">
        <v>765</v>
      </c>
      <c r="B67" s="609" t="s">
        <v>766</v>
      </c>
      <c r="C67" s="609" t="s">
        <v>767</v>
      </c>
      <c r="D67" s="1240" t="s">
        <v>768</v>
      </c>
      <c r="E67" s="1458" t="s">
        <v>769</v>
      </c>
      <c r="F67" s="1458"/>
      <c r="G67" s="1459" t="s">
        <v>770</v>
      </c>
      <c r="H67" s="1459"/>
      <c r="I67" s="1459"/>
      <c r="J67" s="1459" t="s">
        <v>771</v>
      </c>
      <c r="K67" s="1459"/>
      <c r="L67" s="1459"/>
      <c r="M67" s="1257"/>
    </row>
    <row r="68" spans="1:14" s="607" customFormat="1" ht="16.5" customHeight="1" x14ac:dyDescent="0.2">
      <c r="A68" s="1283" t="s">
        <v>2126</v>
      </c>
      <c r="B68" s="610" t="s">
        <v>50</v>
      </c>
      <c r="C68" s="611">
        <v>1</v>
      </c>
      <c r="D68" s="1241">
        <f>40+46.91</f>
        <v>86.91</v>
      </c>
      <c r="E68" s="1460">
        <f>(D68+D69+D70)/3</f>
        <v>70.426666666666662</v>
      </c>
      <c r="F68" s="1460"/>
      <c r="G68" s="1461" t="s">
        <v>2128</v>
      </c>
      <c r="H68" s="1461"/>
      <c r="I68" s="1461"/>
      <c r="J68" s="1470" t="s">
        <v>2127</v>
      </c>
      <c r="K68" s="1471"/>
      <c r="L68" s="1471"/>
      <c r="M68" s="612"/>
    </row>
    <row r="69" spans="1:14" s="607" customFormat="1" ht="16.5" customHeight="1" x14ac:dyDescent="0.2">
      <c r="A69" s="1283" t="s">
        <v>2129</v>
      </c>
      <c r="B69" s="610" t="s">
        <v>50</v>
      </c>
      <c r="C69" s="611">
        <v>1</v>
      </c>
      <c r="D69" s="1241">
        <v>38.1</v>
      </c>
      <c r="E69" s="1460"/>
      <c r="F69" s="1460"/>
      <c r="G69" s="1461" t="s">
        <v>2131</v>
      </c>
      <c r="H69" s="1461"/>
      <c r="I69" s="1461"/>
      <c r="J69" s="1462" t="s">
        <v>2130</v>
      </c>
      <c r="K69" s="1463"/>
      <c r="L69" s="1463"/>
      <c r="M69" s="613"/>
    </row>
    <row r="70" spans="1:14" s="607" customFormat="1" ht="16.5" customHeight="1" x14ac:dyDescent="0.2">
      <c r="A70" s="1283" t="s">
        <v>2132</v>
      </c>
      <c r="B70" s="610" t="s">
        <v>50</v>
      </c>
      <c r="C70" s="611">
        <v>1</v>
      </c>
      <c r="D70" s="1241">
        <f>46.9+39.37</f>
        <v>86.27</v>
      </c>
      <c r="E70" s="1460"/>
      <c r="F70" s="1460"/>
      <c r="G70" s="1461" t="s">
        <v>2134</v>
      </c>
      <c r="H70" s="1461"/>
      <c r="I70" s="1461"/>
      <c r="J70" s="1462" t="s">
        <v>2133</v>
      </c>
      <c r="K70" s="1463"/>
      <c r="L70" s="1463"/>
      <c r="M70" s="612"/>
    </row>
    <row r="71" spans="1:14" ht="13.5" customHeight="1" x14ac:dyDescent="0.2">
      <c r="A71" s="1285"/>
      <c r="B71" s="1285"/>
      <c r="C71" s="547"/>
      <c r="D71" s="547"/>
      <c r="E71" s="547"/>
      <c r="F71" s="547"/>
      <c r="G71" s="547"/>
      <c r="H71" s="547"/>
      <c r="I71" s="547"/>
      <c r="J71" s="1286"/>
      <c r="K71" s="563"/>
      <c r="L71" s="544"/>
      <c r="M71" s="545"/>
    </row>
    <row r="72" spans="1:14" s="607" customFormat="1" ht="17.25" customHeight="1" x14ac:dyDescent="0.2">
      <c r="A72" s="1456" t="s">
        <v>2144</v>
      </c>
      <c r="B72" s="1456"/>
      <c r="C72" s="1456"/>
      <c r="D72" s="1456"/>
      <c r="E72" s="1456"/>
      <c r="F72" s="1456"/>
      <c r="G72" s="1456"/>
      <c r="H72" s="1456"/>
      <c r="I72" s="1456"/>
      <c r="J72" s="1456"/>
      <c r="K72" s="1456"/>
      <c r="L72" s="1456"/>
      <c r="M72" s="606"/>
      <c r="N72" s="606"/>
    </row>
    <row r="73" spans="1:14" s="607" customFormat="1" ht="19.5" customHeight="1" x14ac:dyDescent="0.2">
      <c r="A73" s="1457" t="s">
        <v>2140</v>
      </c>
      <c r="B73" s="1457"/>
      <c r="C73" s="1457"/>
      <c r="D73" s="1457"/>
      <c r="E73" s="1457"/>
      <c r="F73" s="1457"/>
      <c r="G73" s="1457"/>
      <c r="H73" s="1457"/>
      <c r="I73" s="1457"/>
      <c r="J73" s="1457"/>
      <c r="K73" s="1457"/>
      <c r="L73" s="1457"/>
      <c r="M73" s="606"/>
      <c r="N73" s="606"/>
    </row>
    <row r="74" spans="1:14" s="607" customFormat="1" ht="19.5" customHeight="1" x14ac:dyDescent="0.2">
      <c r="A74" s="608" t="s">
        <v>765</v>
      </c>
      <c r="B74" s="609" t="s">
        <v>766</v>
      </c>
      <c r="C74" s="609" t="s">
        <v>767</v>
      </c>
      <c r="D74" s="1240" t="s">
        <v>768</v>
      </c>
      <c r="E74" s="1458" t="s">
        <v>769</v>
      </c>
      <c r="F74" s="1458"/>
      <c r="G74" s="1459" t="s">
        <v>770</v>
      </c>
      <c r="H74" s="1459"/>
      <c r="I74" s="1459"/>
      <c r="J74" s="1459" t="s">
        <v>771</v>
      </c>
      <c r="K74" s="1459"/>
      <c r="L74" s="1459"/>
      <c r="M74" s="1257"/>
    </row>
    <row r="75" spans="1:14" s="607" customFormat="1" ht="18.75" customHeight="1" x14ac:dyDescent="0.2">
      <c r="A75" s="1283" t="s">
        <v>2141</v>
      </c>
      <c r="B75" s="610" t="s">
        <v>50</v>
      </c>
      <c r="C75" s="611">
        <v>1</v>
      </c>
      <c r="D75" s="1241">
        <f>290+82.92</f>
        <v>372.92</v>
      </c>
      <c r="E75" s="1460">
        <f>(D75+D76+D77)/3</f>
        <v>446.47</v>
      </c>
      <c r="F75" s="1460"/>
      <c r="G75" s="1461" t="s">
        <v>2143</v>
      </c>
      <c r="H75" s="1461"/>
      <c r="I75" s="1461"/>
      <c r="J75" s="1470" t="s">
        <v>2142</v>
      </c>
      <c r="K75" s="1471"/>
      <c r="L75" s="1471"/>
      <c r="M75" s="612"/>
    </row>
    <row r="76" spans="1:14" s="607" customFormat="1" ht="18.75" customHeight="1" x14ac:dyDescent="0.2">
      <c r="A76" s="1283" t="s">
        <v>777</v>
      </c>
      <c r="B76" s="610" t="s">
        <v>50</v>
      </c>
      <c r="C76" s="611">
        <v>1</v>
      </c>
      <c r="D76" s="1241">
        <f>344.98+227.22</f>
        <v>572.20000000000005</v>
      </c>
      <c r="E76" s="1460"/>
      <c r="F76" s="1460"/>
      <c r="G76" s="1461" t="s">
        <v>778</v>
      </c>
      <c r="H76" s="1461"/>
      <c r="I76" s="1461"/>
      <c r="J76" s="1462" t="s">
        <v>779</v>
      </c>
      <c r="K76" s="1463"/>
      <c r="L76" s="1463"/>
      <c r="M76" s="613"/>
    </row>
    <row r="77" spans="1:14" s="607" customFormat="1" ht="18.75" customHeight="1" x14ac:dyDescent="0.2">
      <c r="A77" s="1283" t="s">
        <v>1965</v>
      </c>
      <c r="B77" s="610" t="s">
        <v>50</v>
      </c>
      <c r="C77" s="611">
        <v>1</v>
      </c>
      <c r="D77" s="1241">
        <f>393.3+0.99</f>
        <v>394.29</v>
      </c>
      <c r="E77" s="1460"/>
      <c r="F77" s="1460"/>
      <c r="G77" s="1461" t="s">
        <v>1809</v>
      </c>
      <c r="H77" s="1461"/>
      <c r="I77" s="1461"/>
      <c r="J77" s="1462" t="s">
        <v>1808</v>
      </c>
      <c r="K77" s="1463"/>
      <c r="L77" s="1463"/>
      <c r="M77" s="612"/>
    </row>
    <row r="78" spans="1:14" ht="13.5" customHeight="1" x14ac:dyDescent="0.2">
      <c r="A78" s="1285"/>
      <c r="B78" s="1285"/>
      <c r="C78" s="547"/>
      <c r="D78" s="547"/>
      <c r="E78" s="547"/>
      <c r="F78" s="547"/>
      <c r="G78" s="547"/>
      <c r="H78" s="547"/>
      <c r="I78" s="547"/>
      <c r="J78" s="1286"/>
      <c r="K78" s="563"/>
      <c r="L78" s="544"/>
      <c r="M78" s="545"/>
    </row>
    <row r="79" spans="1:14" s="607" customFormat="1" ht="17.25" customHeight="1" x14ac:dyDescent="0.2">
      <c r="A79" s="1456" t="s">
        <v>2149</v>
      </c>
      <c r="B79" s="1456"/>
      <c r="C79" s="1456"/>
      <c r="D79" s="1456"/>
      <c r="E79" s="1456"/>
      <c r="F79" s="1456"/>
      <c r="G79" s="1456"/>
      <c r="H79" s="1456"/>
      <c r="I79" s="1456"/>
      <c r="J79" s="1456"/>
      <c r="K79" s="1456"/>
      <c r="L79" s="1456"/>
      <c r="M79" s="606"/>
      <c r="N79" s="606"/>
    </row>
    <row r="80" spans="1:14" s="607" customFormat="1" ht="19.5" customHeight="1" x14ac:dyDescent="0.2">
      <c r="A80" s="1457" t="s">
        <v>2148</v>
      </c>
      <c r="B80" s="1457"/>
      <c r="C80" s="1457"/>
      <c r="D80" s="1457"/>
      <c r="E80" s="1457"/>
      <c r="F80" s="1457"/>
      <c r="G80" s="1457"/>
      <c r="H80" s="1457"/>
      <c r="I80" s="1457"/>
      <c r="J80" s="1457"/>
      <c r="K80" s="1457"/>
      <c r="L80" s="1457"/>
      <c r="M80" s="606"/>
      <c r="N80" s="606"/>
    </row>
    <row r="81" spans="1:14" s="607" customFormat="1" ht="19.5" customHeight="1" x14ac:dyDescent="0.2">
      <c r="A81" s="608" t="s">
        <v>765</v>
      </c>
      <c r="B81" s="609" t="s">
        <v>766</v>
      </c>
      <c r="C81" s="609" t="s">
        <v>767</v>
      </c>
      <c r="D81" s="1240" t="s">
        <v>768</v>
      </c>
      <c r="E81" s="1458" t="s">
        <v>769</v>
      </c>
      <c r="F81" s="1458"/>
      <c r="G81" s="1459" t="s">
        <v>770</v>
      </c>
      <c r="H81" s="1459"/>
      <c r="I81" s="1459"/>
      <c r="J81" s="1459" t="s">
        <v>771</v>
      </c>
      <c r="K81" s="1459"/>
      <c r="L81" s="1459"/>
      <c r="M81" s="1257"/>
    </row>
    <row r="82" spans="1:14" s="607" customFormat="1" ht="18.75" customHeight="1" x14ac:dyDescent="0.2">
      <c r="A82" s="1283" t="s">
        <v>1965</v>
      </c>
      <c r="B82" s="610" t="s">
        <v>50</v>
      </c>
      <c r="C82" s="611">
        <v>1</v>
      </c>
      <c r="D82" s="1241">
        <f>74.9+48</f>
        <v>122.9</v>
      </c>
      <c r="E82" s="1460">
        <f>(D82+D83+D84)/3</f>
        <v>123.7</v>
      </c>
      <c r="F82" s="1460"/>
      <c r="G82" s="1464" t="s">
        <v>1809</v>
      </c>
      <c r="H82" s="1465"/>
      <c r="I82" s="1466"/>
      <c r="J82" s="1467" t="s">
        <v>1808</v>
      </c>
      <c r="K82" s="1468"/>
      <c r="L82" s="1469"/>
      <c r="M82" s="612"/>
    </row>
    <row r="83" spans="1:14" s="607" customFormat="1" ht="18.75" customHeight="1" x14ac:dyDescent="0.2">
      <c r="A83" s="1283" t="s">
        <v>777</v>
      </c>
      <c r="B83" s="610" t="s">
        <v>50</v>
      </c>
      <c r="C83" s="611">
        <v>1</v>
      </c>
      <c r="D83" s="1241">
        <f>56.9+88.02</f>
        <v>144.91999999999999</v>
      </c>
      <c r="E83" s="1460"/>
      <c r="F83" s="1460"/>
      <c r="G83" s="1461" t="s">
        <v>778</v>
      </c>
      <c r="H83" s="1461"/>
      <c r="I83" s="1461"/>
      <c r="J83" s="1462" t="s">
        <v>779</v>
      </c>
      <c r="K83" s="1463"/>
      <c r="L83" s="1463"/>
      <c r="M83" s="613"/>
    </row>
    <row r="84" spans="1:14" s="607" customFormat="1" ht="18.75" customHeight="1" x14ac:dyDescent="0.2">
      <c r="A84" s="1283" t="s">
        <v>2150</v>
      </c>
      <c r="B84" s="610" t="s">
        <v>50</v>
      </c>
      <c r="C84" s="611">
        <v>1</v>
      </c>
      <c r="D84" s="1241">
        <f>69.8+33.48</f>
        <v>103.28</v>
      </c>
      <c r="E84" s="1460"/>
      <c r="F84" s="1460"/>
      <c r="G84" s="1461" t="s">
        <v>2151</v>
      </c>
      <c r="H84" s="1461"/>
      <c r="I84" s="1461"/>
      <c r="J84" s="1462" t="s">
        <v>2152</v>
      </c>
      <c r="K84" s="1463"/>
      <c r="L84" s="1463"/>
      <c r="M84" s="612"/>
    </row>
    <row r="85" spans="1:14" ht="13.5" customHeight="1" x14ac:dyDescent="0.2">
      <c r="A85" s="1285"/>
      <c r="B85" s="1285"/>
      <c r="C85" s="547"/>
      <c r="D85" s="547"/>
      <c r="E85" s="547"/>
      <c r="F85" s="547"/>
      <c r="G85" s="547"/>
      <c r="H85" s="547"/>
      <c r="I85" s="547"/>
      <c r="J85" s="1286"/>
      <c r="K85" s="563"/>
      <c r="L85" s="544"/>
      <c r="M85" s="545"/>
    </row>
    <row r="86" spans="1:14" s="607" customFormat="1" ht="17.25" customHeight="1" x14ac:dyDescent="0.2">
      <c r="A86" s="1456" t="s">
        <v>2155</v>
      </c>
      <c r="B86" s="1456"/>
      <c r="C86" s="1456"/>
      <c r="D86" s="1456"/>
      <c r="E86" s="1456"/>
      <c r="F86" s="1456"/>
      <c r="G86" s="1456"/>
      <c r="H86" s="1456"/>
      <c r="I86" s="1456"/>
      <c r="J86" s="1456"/>
      <c r="K86" s="1456"/>
      <c r="L86" s="1456"/>
      <c r="M86" s="606"/>
      <c r="N86" s="606"/>
    </row>
    <row r="87" spans="1:14" s="607" customFormat="1" ht="19.5" customHeight="1" x14ac:dyDescent="0.2">
      <c r="A87" s="1457" t="s">
        <v>2154</v>
      </c>
      <c r="B87" s="1457"/>
      <c r="C87" s="1457"/>
      <c r="D87" s="1457"/>
      <c r="E87" s="1457"/>
      <c r="F87" s="1457"/>
      <c r="G87" s="1457"/>
      <c r="H87" s="1457"/>
      <c r="I87" s="1457"/>
      <c r="J87" s="1457"/>
      <c r="K87" s="1457"/>
      <c r="L87" s="1457"/>
      <c r="M87" s="606"/>
      <c r="N87" s="606"/>
    </row>
    <row r="88" spans="1:14" s="607" customFormat="1" ht="19.5" customHeight="1" x14ac:dyDescent="0.2">
      <c r="A88" s="608" t="s">
        <v>765</v>
      </c>
      <c r="B88" s="609" t="s">
        <v>766</v>
      </c>
      <c r="C88" s="609" t="s">
        <v>767</v>
      </c>
      <c r="D88" s="1240" t="s">
        <v>768</v>
      </c>
      <c r="E88" s="1458" t="s">
        <v>769</v>
      </c>
      <c r="F88" s="1458"/>
      <c r="G88" s="1459" t="s">
        <v>770</v>
      </c>
      <c r="H88" s="1459"/>
      <c r="I88" s="1459"/>
      <c r="J88" s="1459" t="s">
        <v>771</v>
      </c>
      <c r="K88" s="1459"/>
      <c r="L88" s="1459"/>
      <c r="M88" s="1257"/>
    </row>
    <row r="89" spans="1:14" s="607" customFormat="1" ht="18.75" customHeight="1" x14ac:dyDescent="0.2">
      <c r="A89" s="1283" t="s">
        <v>1969</v>
      </c>
      <c r="B89" s="610" t="s">
        <v>50</v>
      </c>
      <c r="C89" s="611">
        <v>1</v>
      </c>
      <c r="D89" s="1241">
        <f>54.9+54.9</f>
        <v>109.8</v>
      </c>
      <c r="E89" s="1460">
        <f>(D89+D90+D91)/3</f>
        <v>100.00333333333333</v>
      </c>
      <c r="F89" s="1460"/>
      <c r="G89" s="1461" t="s">
        <v>1971</v>
      </c>
      <c r="H89" s="1461"/>
      <c r="I89" s="1461"/>
      <c r="J89" s="1470" t="s">
        <v>1970</v>
      </c>
      <c r="K89" s="1471"/>
      <c r="L89" s="1471"/>
      <c r="M89" s="612"/>
    </row>
    <row r="90" spans="1:14" s="607" customFormat="1" ht="18.75" customHeight="1" x14ac:dyDescent="0.2">
      <c r="A90" s="1283" t="s">
        <v>1965</v>
      </c>
      <c r="B90" s="610" t="s">
        <v>50</v>
      </c>
      <c r="C90" s="611">
        <v>1</v>
      </c>
      <c r="D90" s="1241">
        <f>49.9+42.99</f>
        <v>92.89</v>
      </c>
      <c r="E90" s="1460"/>
      <c r="F90" s="1460"/>
      <c r="G90" s="1464" t="s">
        <v>1809</v>
      </c>
      <c r="H90" s="1465"/>
      <c r="I90" s="1466"/>
      <c r="J90" s="1467" t="s">
        <v>1808</v>
      </c>
      <c r="K90" s="1468"/>
      <c r="L90" s="1469"/>
      <c r="M90" s="613"/>
    </row>
    <row r="91" spans="1:14" s="607" customFormat="1" ht="18.75" customHeight="1" x14ac:dyDescent="0.2">
      <c r="A91" s="1283" t="s">
        <v>777</v>
      </c>
      <c r="B91" s="610" t="s">
        <v>50</v>
      </c>
      <c r="C91" s="611">
        <v>1</v>
      </c>
      <c r="D91" s="1241">
        <f>55.69+41.63</f>
        <v>97.32</v>
      </c>
      <c r="E91" s="1460"/>
      <c r="F91" s="1460"/>
      <c r="G91" s="1461" t="s">
        <v>778</v>
      </c>
      <c r="H91" s="1461"/>
      <c r="I91" s="1461"/>
      <c r="J91" s="1462" t="s">
        <v>779</v>
      </c>
      <c r="K91" s="1463"/>
      <c r="L91" s="1463"/>
      <c r="M91" s="612"/>
    </row>
    <row r="92" spans="1:14" ht="13.5" customHeight="1" x14ac:dyDescent="0.2">
      <c r="A92" s="1285"/>
      <c r="B92" s="1285"/>
      <c r="C92" s="547"/>
      <c r="D92" s="547"/>
      <c r="E92" s="547"/>
      <c r="F92" s="547"/>
      <c r="G92" s="547"/>
      <c r="H92" s="547"/>
      <c r="I92" s="547"/>
      <c r="J92" s="567"/>
      <c r="K92" s="564"/>
      <c r="L92" s="544"/>
      <c r="M92" s="545"/>
    </row>
    <row r="93" spans="1:14" s="607" customFormat="1" ht="17.25" customHeight="1" x14ac:dyDescent="0.2">
      <c r="A93" s="1456" t="s">
        <v>2158</v>
      </c>
      <c r="B93" s="1456"/>
      <c r="C93" s="1456"/>
      <c r="D93" s="1456"/>
      <c r="E93" s="1456"/>
      <c r="F93" s="1456"/>
      <c r="G93" s="1456"/>
      <c r="H93" s="1456"/>
      <c r="I93" s="1456"/>
      <c r="J93" s="1456"/>
      <c r="K93" s="1456"/>
      <c r="L93" s="1456"/>
      <c r="M93" s="606"/>
      <c r="N93" s="606"/>
    </row>
    <row r="94" spans="1:14" s="607" customFormat="1" ht="19.5" customHeight="1" x14ac:dyDescent="0.2">
      <c r="A94" s="1457" t="s">
        <v>2157</v>
      </c>
      <c r="B94" s="1457"/>
      <c r="C94" s="1457"/>
      <c r="D94" s="1457"/>
      <c r="E94" s="1457"/>
      <c r="F94" s="1457"/>
      <c r="G94" s="1457"/>
      <c r="H94" s="1457"/>
      <c r="I94" s="1457"/>
      <c r="J94" s="1457"/>
      <c r="K94" s="1457"/>
      <c r="L94" s="1457"/>
      <c r="M94" s="606"/>
      <c r="N94" s="606"/>
    </row>
    <row r="95" spans="1:14" s="607" customFormat="1" ht="19.5" customHeight="1" x14ac:dyDescent="0.2">
      <c r="A95" s="608" t="s">
        <v>765</v>
      </c>
      <c r="B95" s="609" t="s">
        <v>766</v>
      </c>
      <c r="C95" s="609" t="s">
        <v>767</v>
      </c>
      <c r="D95" s="1240" t="s">
        <v>768</v>
      </c>
      <c r="E95" s="1458" t="s">
        <v>769</v>
      </c>
      <c r="F95" s="1458"/>
      <c r="G95" s="1459" t="s">
        <v>770</v>
      </c>
      <c r="H95" s="1459"/>
      <c r="I95" s="1459"/>
      <c r="J95" s="1459" t="s">
        <v>771</v>
      </c>
      <c r="K95" s="1459"/>
      <c r="L95" s="1459"/>
      <c r="M95" s="1257"/>
    </row>
    <row r="96" spans="1:14" s="607" customFormat="1" ht="18.75" customHeight="1" x14ac:dyDescent="0.2">
      <c r="A96" s="1283" t="s">
        <v>1969</v>
      </c>
      <c r="B96" s="610" t="s">
        <v>50</v>
      </c>
      <c r="C96" s="611">
        <v>1</v>
      </c>
      <c r="D96" s="1241">
        <f>19.9+54.9</f>
        <v>74.8</v>
      </c>
      <c r="E96" s="1460">
        <f>(D96+D97+D98)/3</f>
        <v>83.83</v>
      </c>
      <c r="F96" s="1460"/>
      <c r="G96" s="1461" t="s">
        <v>1971</v>
      </c>
      <c r="H96" s="1461"/>
      <c r="I96" s="1461"/>
      <c r="J96" s="1470" t="s">
        <v>1970</v>
      </c>
      <c r="K96" s="1471"/>
      <c r="L96" s="1471"/>
      <c r="M96" s="612"/>
    </row>
    <row r="97" spans="1:14" s="607" customFormat="1" ht="18.75" customHeight="1" x14ac:dyDescent="0.2">
      <c r="A97" s="1283" t="s">
        <v>1965</v>
      </c>
      <c r="B97" s="610" t="s">
        <v>50</v>
      </c>
      <c r="C97" s="611">
        <v>1</v>
      </c>
      <c r="D97" s="1241">
        <f>40.9+39.99</f>
        <v>80.89</v>
      </c>
      <c r="E97" s="1460"/>
      <c r="F97" s="1460"/>
      <c r="G97" s="1464" t="s">
        <v>1809</v>
      </c>
      <c r="H97" s="1465"/>
      <c r="I97" s="1466"/>
      <c r="J97" s="1467" t="s">
        <v>1808</v>
      </c>
      <c r="K97" s="1468"/>
      <c r="L97" s="1469"/>
      <c r="M97" s="613"/>
    </row>
    <row r="98" spans="1:14" s="607" customFormat="1" ht="18.75" customHeight="1" x14ac:dyDescent="0.2">
      <c r="A98" s="1283" t="s">
        <v>777</v>
      </c>
      <c r="B98" s="610" t="s">
        <v>50</v>
      </c>
      <c r="C98" s="611">
        <v>1</v>
      </c>
      <c r="D98" s="1241">
        <f>55.9+39.9</f>
        <v>95.8</v>
      </c>
      <c r="E98" s="1460"/>
      <c r="F98" s="1460"/>
      <c r="G98" s="1461" t="s">
        <v>778</v>
      </c>
      <c r="H98" s="1461"/>
      <c r="I98" s="1461"/>
      <c r="J98" s="1462" t="s">
        <v>779</v>
      </c>
      <c r="K98" s="1463"/>
      <c r="L98" s="1463"/>
      <c r="M98" s="612"/>
    </row>
    <row r="99" spans="1:14" ht="13.5" customHeight="1" x14ac:dyDescent="0.2">
      <c r="A99" s="1285"/>
      <c r="B99" s="1285"/>
      <c r="C99" s="547"/>
      <c r="D99" s="547"/>
      <c r="E99" s="547"/>
      <c r="F99" s="547"/>
      <c r="G99" s="547"/>
      <c r="H99" s="547"/>
      <c r="I99" s="547"/>
      <c r="J99" s="567"/>
      <c r="K99" s="564"/>
      <c r="L99" s="544"/>
      <c r="M99" s="545"/>
    </row>
    <row r="100" spans="1:14" s="607" customFormat="1" ht="17.25" customHeight="1" x14ac:dyDescent="0.2">
      <c r="A100" s="1456" t="s">
        <v>2242</v>
      </c>
      <c r="B100" s="1456"/>
      <c r="C100" s="1456"/>
      <c r="D100" s="1456"/>
      <c r="E100" s="1456"/>
      <c r="F100" s="1456"/>
      <c r="G100" s="1456"/>
      <c r="H100" s="1456"/>
      <c r="I100" s="1456"/>
      <c r="J100" s="1456"/>
      <c r="K100" s="1456"/>
      <c r="L100" s="1456"/>
      <c r="M100" s="606"/>
      <c r="N100" s="606"/>
    </row>
    <row r="101" spans="1:14" s="607" customFormat="1" ht="19.5" customHeight="1" x14ac:dyDescent="0.2">
      <c r="A101" s="1457" t="s">
        <v>2241</v>
      </c>
      <c r="B101" s="1457"/>
      <c r="C101" s="1457"/>
      <c r="D101" s="1457"/>
      <c r="E101" s="1457"/>
      <c r="F101" s="1457"/>
      <c r="G101" s="1457"/>
      <c r="H101" s="1457"/>
      <c r="I101" s="1457"/>
      <c r="J101" s="1457"/>
      <c r="K101" s="1457"/>
      <c r="L101" s="1457"/>
      <c r="M101" s="606"/>
      <c r="N101" s="606"/>
    </row>
    <row r="102" spans="1:14" s="607" customFormat="1" ht="19.5" customHeight="1" x14ac:dyDescent="0.2">
      <c r="A102" s="608" t="s">
        <v>765</v>
      </c>
      <c r="B102" s="609" t="s">
        <v>766</v>
      </c>
      <c r="C102" s="609" t="s">
        <v>767</v>
      </c>
      <c r="D102" s="1240" t="s">
        <v>768</v>
      </c>
      <c r="E102" s="1458" t="s">
        <v>769</v>
      </c>
      <c r="F102" s="1458"/>
      <c r="G102" s="1459" t="s">
        <v>770</v>
      </c>
      <c r="H102" s="1459"/>
      <c r="I102" s="1459"/>
      <c r="J102" s="1459" t="s">
        <v>771</v>
      </c>
      <c r="K102" s="1459"/>
      <c r="L102" s="1459"/>
      <c r="M102" s="1257"/>
    </row>
    <row r="103" spans="1:14" s="607" customFormat="1" ht="18.75" customHeight="1" x14ac:dyDescent="0.2">
      <c r="A103" s="1283" t="s">
        <v>2243</v>
      </c>
      <c r="B103" s="610" t="s">
        <v>50</v>
      </c>
      <c r="C103" s="611">
        <v>1</v>
      </c>
      <c r="D103" s="1241">
        <f>19.9+21.13</f>
        <v>41.03</v>
      </c>
      <c r="E103" s="1460">
        <f>(D103+D104+D105)/3</f>
        <v>45.82</v>
      </c>
      <c r="F103" s="1460"/>
      <c r="G103" s="1461" t="s">
        <v>2244</v>
      </c>
      <c r="H103" s="1461"/>
      <c r="I103" s="1461"/>
      <c r="J103" s="1470" t="s">
        <v>2245</v>
      </c>
      <c r="K103" s="1471"/>
      <c r="L103" s="1471"/>
      <c r="M103" s="612"/>
    </row>
    <row r="104" spans="1:14" s="607" customFormat="1" ht="18.75" customHeight="1" x14ac:dyDescent="0.2">
      <c r="A104" s="1283" t="s">
        <v>777</v>
      </c>
      <c r="B104" s="610" t="s">
        <v>50</v>
      </c>
      <c r="C104" s="611">
        <v>1</v>
      </c>
      <c r="D104" s="1241">
        <f>20.34+55.9</f>
        <v>76.239999999999995</v>
      </c>
      <c r="E104" s="1460"/>
      <c r="F104" s="1460"/>
      <c r="G104" s="1461" t="s">
        <v>778</v>
      </c>
      <c r="H104" s="1461"/>
      <c r="I104" s="1461"/>
      <c r="J104" s="1462" t="s">
        <v>779</v>
      </c>
      <c r="K104" s="1463"/>
      <c r="L104" s="1463"/>
      <c r="M104" s="613"/>
    </row>
    <row r="105" spans="1:14" s="607" customFormat="1" ht="18.75" customHeight="1" x14ac:dyDescent="0.2">
      <c r="A105" s="1283" t="s">
        <v>2246</v>
      </c>
      <c r="B105" s="610" t="s">
        <v>50</v>
      </c>
      <c r="C105" s="611">
        <v>1</v>
      </c>
      <c r="D105" s="1241">
        <v>20.190000000000001</v>
      </c>
      <c r="E105" s="1460"/>
      <c r="F105" s="1460"/>
      <c r="G105" s="1461" t="s">
        <v>2247</v>
      </c>
      <c r="H105" s="1461"/>
      <c r="I105" s="1461"/>
      <c r="J105" s="1462" t="s">
        <v>2248</v>
      </c>
      <c r="K105" s="1463"/>
      <c r="L105" s="1463"/>
      <c r="M105" s="612"/>
    </row>
    <row r="106" spans="1:14" ht="13.5" customHeight="1" x14ac:dyDescent="0.2">
      <c r="A106" s="1285"/>
      <c r="B106" s="1285"/>
      <c r="C106" s="547"/>
      <c r="D106" s="547"/>
      <c r="E106" s="547"/>
      <c r="F106" s="547"/>
      <c r="G106" s="547"/>
      <c r="H106" s="547"/>
      <c r="I106" s="547"/>
      <c r="J106" s="567"/>
      <c r="K106" s="564"/>
      <c r="L106" s="544"/>
      <c r="M106" s="545"/>
    </row>
    <row r="107" spans="1:14" s="607" customFormat="1" ht="17.25" customHeight="1" x14ac:dyDescent="0.2">
      <c r="A107" s="1456" t="s">
        <v>2255</v>
      </c>
      <c r="B107" s="1456"/>
      <c r="C107" s="1456"/>
      <c r="D107" s="1456"/>
      <c r="E107" s="1456"/>
      <c r="F107" s="1456"/>
      <c r="G107" s="1456"/>
      <c r="H107" s="1456"/>
      <c r="I107" s="1456"/>
      <c r="J107" s="1456"/>
      <c r="K107" s="1456"/>
      <c r="L107" s="1456"/>
      <c r="M107" s="606"/>
      <c r="N107" s="606"/>
    </row>
    <row r="108" spans="1:14" s="607" customFormat="1" ht="19.5" customHeight="1" x14ac:dyDescent="0.2">
      <c r="A108" s="1457" t="s">
        <v>2252</v>
      </c>
      <c r="B108" s="1457"/>
      <c r="C108" s="1457"/>
      <c r="D108" s="1457"/>
      <c r="E108" s="1457"/>
      <c r="F108" s="1457"/>
      <c r="G108" s="1457"/>
      <c r="H108" s="1457"/>
      <c r="I108" s="1457"/>
      <c r="J108" s="1457"/>
      <c r="K108" s="1457"/>
      <c r="L108" s="1457"/>
      <c r="M108" s="606"/>
      <c r="N108" s="606"/>
    </row>
    <row r="109" spans="1:14" s="607" customFormat="1" ht="19.5" customHeight="1" x14ac:dyDescent="0.2">
      <c r="A109" s="608" t="s">
        <v>765</v>
      </c>
      <c r="B109" s="609" t="s">
        <v>766</v>
      </c>
      <c r="C109" s="609" t="s">
        <v>767</v>
      </c>
      <c r="D109" s="1240" t="s">
        <v>768</v>
      </c>
      <c r="E109" s="1458" t="s">
        <v>769</v>
      </c>
      <c r="F109" s="1458"/>
      <c r="G109" s="1459" t="s">
        <v>770</v>
      </c>
      <c r="H109" s="1459"/>
      <c r="I109" s="1459"/>
      <c r="J109" s="1459" t="s">
        <v>771</v>
      </c>
      <c r="K109" s="1459"/>
      <c r="L109" s="1459"/>
      <c r="M109" s="1257"/>
    </row>
    <row r="110" spans="1:14" s="607" customFormat="1" ht="18.75" customHeight="1" x14ac:dyDescent="0.2">
      <c r="A110" s="1283" t="s">
        <v>2253</v>
      </c>
      <c r="B110" s="610" t="s">
        <v>50</v>
      </c>
      <c r="C110" s="611">
        <v>1</v>
      </c>
      <c r="D110" s="1241">
        <v>759.08</v>
      </c>
      <c r="E110" s="1460">
        <f>(D110+D111+D112)/3</f>
        <v>777.99000000000012</v>
      </c>
      <c r="F110" s="1460"/>
      <c r="G110" s="1461"/>
      <c r="H110" s="1461"/>
      <c r="I110" s="1461"/>
      <c r="J110" s="1470" t="s">
        <v>2254</v>
      </c>
      <c r="K110" s="1471"/>
      <c r="L110" s="1471"/>
      <c r="M110" s="612"/>
    </row>
    <row r="111" spans="1:14" s="607" customFormat="1" ht="18.75" customHeight="1" x14ac:dyDescent="0.2">
      <c r="A111" s="1283" t="s">
        <v>777</v>
      </c>
      <c r="B111" s="610" t="s">
        <v>50</v>
      </c>
      <c r="C111" s="611">
        <v>1</v>
      </c>
      <c r="D111" s="1241">
        <f>629+89.9</f>
        <v>718.9</v>
      </c>
      <c r="E111" s="1460"/>
      <c r="F111" s="1460"/>
      <c r="G111" s="1461" t="s">
        <v>778</v>
      </c>
      <c r="H111" s="1461"/>
      <c r="I111" s="1461"/>
      <c r="J111" s="1462" t="s">
        <v>779</v>
      </c>
      <c r="K111" s="1463"/>
      <c r="L111" s="1463"/>
      <c r="M111" s="613"/>
    </row>
    <row r="112" spans="1:14" s="607" customFormat="1" ht="18.75" customHeight="1" x14ac:dyDescent="0.2">
      <c r="A112" s="1283" t="s">
        <v>2132</v>
      </c>
      <c r="B112" s="610" t="s">
        <v>50</v>
      </c>
      <c r="C112" s="611">
        <v>1</v>
      </c>
      <c r="D112" s="1241">
        <f>849+6.99</f>
        <v>855.99</v>
      </c>
      <c r="E112" s="1460"/>
      <c r="F112" s="1460"/>
      <c r="G112" s="1461" t="s">
        <v>2134</v>
      </c>
      <c r="H112" s="1461"/>
      <c r="I112" s="1461"/>
      <c r="J112" s="1462" t="s">
        <v>2133</v>
      </c>
      <c r="K112" s="1463"/>
      <c r="L112" s="1463"/>
      <c r="M112" s="612"/>
    </row>
    <row r="113" spans="1:14" ht="13.5" customHeight="1" x14ac:dyDescent="0.2">
      <c r="A113" s="1285"/>
      <c r="B113" s="1285"/>
      <c r="C113" s="547"/>
      <c r="D113" s="547"/>
      <c r="E113" s="547"/>
      <c r="F113" s="547"/>
      <c r="G113" s="547"/>
      <c r="H113" s="547"/>
      <c r="I113" s="547"/>
      <c r="J113" s="567"/>
      <c r="K113" s="564"/>
      <c r="L113" s="544"/>
      <c r="M113" s="545"/>
    </row>
    <row r="114" spans="1:14" s="607" customFormat="1" ht="17.25" customHeight="1" x14ac:dyDescent="0.2">
      <c r="A114" s="1456" t="s">
        <v>2293</v>
      </c>
      <c r="B114" s="1456"/>
      <c r="C114" s="1456"/>
      <c r="D114" s="1456"/>
      <c r="E114" s="1456"/>
      <c r="F114" s="1456"/>
      <c r="G114" s="1456"/>
      <c r="H114" s="1456"/>
      <c r="I114" s="1456"/>
      <c r="J114" s="1456"/>
      <c r="K114" s="1456"/>
      <c r="L114" s="1456"/>
      <c r="M114" s="606"/>
      <c r="N114" s="606"/>
    </row>
    <row r="115" spans="1:14" s="607" customFormat="1" ht="19.5" customHeight="1" x14ac:dyDescent="0.2">
      <c r="A115" s="1457" t="s">
        <v>2292</v>
      </c>
      <c r="B115" s="1457"/>
      <c r="C115" s="1457"/>
      <c r="D115" s="1457"/>
      <c r="E115" s="1457"/>
      <c r="F115" s="1457"/>
      <c r="G115" s="1457"/>
      <c r="H115" s="1457"/>
      <c r="I115" s="1457"/>
      <c r="J115" s="1457"/>
      <c r="K115" s="1457"/>
      <c r="L115" s="1457"/>
      <c r="M115" s="606"/>
      <c r="N115" s="606"/>
    </row>
    <row r="116" spans="1:14" s="607" customFormat="1" ht="17.25" customHeight="1" x14ac:dyDescent="0.2">
      <c r="A116" s="608" t="s">
        <v>765</v>
      </c>
      <c r="B116" s="609" t="s">
        <v>766</v>
      </c>
      <c r="C116" s="609" t="s">
        <v>767</v>
      </c>
      <c r="D116" s="1240" t="s">
        <v>768</v>
      </c>
      <c r="E116" s="1458" t="s">
        <v>769</v>
      </c>
      <c r="F116" s="1458"/>
      <c r="G116" s="1459" t="s">
        <v>770</v>
      </c>
      <c r="H116" s="1459"/>
      <c r="I116" s="1459"/>
      <c r="J116" s="1459" t="s">
        <v>771</v>
      </c>
      <c r="K116" s="1459"/>
      <c r="L116" s="1459"/>
      <c r="M116" s="1257"/>
    </row>
    <row r="117" spans="1:14" s="607" customFormat="1" ht="18.75" customHeight="1" x14ac:dyDescent="0.2">
      <c r="A117" s="1283" t="s">
        <v>2295</v>
      </c>
      <c r="B117" s="610" t="s">
        <v>218</v>
      </c>
      <c r="C117" s="611">
        <v>1</v>
      </c>
      <c r="D117" s="1241">
        <f>2.94/2</f>
        <v>1.47</v>
      </c>
      <c r="E117" s="1460">
        <f>(D117+D118+D119)/3</f>
        <v>3.3550000000000004</v>
      </c>
      <c r="F117" s="1460"/>
      <c r="G117" s="1461" t="s">
        <v>2294</v>
      </c>
      <c r="H117" s="1461"/>
      <c r="I117" s="1461"/>
      <c r="J117" s="1470" t="s">
        <v>2408</v>
      </c>
      <c r="K117" s="1471"/>
      <c r="L117" s="1471"/>
      <c r="M117" s="612"/>
    </row>
    <row r="118" spans="1:14" s="607" customFormat="1" ht="29.25" customHeight="1" x14ac:dyDescent="0.2">
      <c r="A118" s="1283" t="s">
        <v>2296</v>
      </c>
      <c r="B118" s="610" t="s">
        <v>218</v>
      </c>
      <c r="C118" s="611">
        <v>1</v>
      </c>
      <c r="D118" s="1241">
        <f>2.8/2</f>
        <v>1.4</v>
      </c>
      <c r="E118" s="1460"/>
      <c r="F118" s="1460"/>
      <c r="G118" s="1461" t="s">
        <v>2298</v>
      </c>
      <c r="H118" s="1461"/>
      <c r="I118" s="1461"/>
      <c r="J118" s="1462" t="s">
        <v>2297</v>
      </c>
      <c r="K118" s="1463"/>
      <c r="L118" s="1463"/>
      <c r="M118" s="613"/>
    </row>
    <row r="119" spans="1:14" s="607" customFormat="1" ht="18.75" customHeight="1" x14ac:dyDescent="0.2">
      <c r="A119" s="1283" t="s">
        <v>2299</v>
      </c>
      <c r="B119" s="610" t="s">
        <v>218</v>
      </c>
      <c r="C119" s="611">
        <v>1</v>
      </c>
      <c r="D119" s="1241">
        <f>14.39/2</f>
        <v>7.1950000000000003</v>
      </c>
      <c r="E119" s="1460"/>
      <c r="F119" s="1460"/>
      <c r="G119" s="1461" t="s">
        <v>2301</v>
      </c>
      <c r="H119" s="1461"/>
      <c r="I119" s="1461"/>
      <c r="J119" s="1462" t="s">
        <v>2300</v>
      </c>
      <c r="K119" s="1463"/>
      <c r="L119" s="1463"/>
      <c r="M119" s="612"/>
    </row>
    <row r="120" spans="1:14" ht="16.5" customHeight="1" x14ac:dyDescent="0.2">
      <c r="A120" s="1285"/>
      <c r="B120" s="1285"/>
      <c r="C120" s="547"/>
      <c r="D120" s="547"/>
      <c r="E120" s="547"/>
      <c r="F120" s="547"/>
      <c r="G120" s="547"/>
      <c r="H120" s="547"/>
      <c r="I120" s="547"/>
      <c r="J120" s="567"/>
      <c r="K120" s="564"/>
      <c r="L120" s="544"/>
      <c r="M120" s="545"/>
    </row>
    <row r="121" spans="1:14" s="607" customFormat="1" ht="17.25" customHeight="1" x14ac:dyDescent="0.2">
      <c r="A121" s="1456" t="s">
        <v>2433</v>
      </c>
      <c r="B121" s="1456"/>
      <c r="C121" s="1456"/>
      <c r="D121" s="1456"/>
      <c r="E121" s="1456"/>
      <c r="F121" s="1456"/>
      <c r="G121" s="1456"/>
      <c r="H121" s="1456"/>
      <c r="I121" s="1456"/>
      <c r="J121" s="1456"/>
      <c r="K121" s="1456"/>
      <c r="L121" s="1456"/>
      <c r="M121" s="606"/>
      <c r="N121" s="606"/>
    </row>
    <row r="122" spans="1:14" s="607" customFormat="1" ht="19.5" customHeight="1" x14ac:dyDescent="0.2">
      <c r="A122" s="1457" t="s">
        <v>2418</v>
      </c>
      <c r="B122" s="1457"/>
      <c r="C122" s="1457"/>
      <c r="D122" s="1457"/>
      <c r="E122" s="1457"/>
      <c r="F122" s="1457"/>
      <c r="G122" s="1457"/>
      <c r="H122" s="1457"/>
      <c r="I122" s="1457"/>
      <c r="J122" s="1457"/>
      <c r="K122" s="1457"/>
      <c r="L122" s="1457"/>
      <c r="M122" s="606"/>
      <c r="N122" s="606"/>
    </row>
    <row r="123" spans="1:14" s="607" customFormat="1" ht="17.25" customHeight="1" x14ac:dyDescent="0.2">
      <c r="A123" s="608" t="s">
        <v>765</v>
      </c>
      <c r="B123" s="609" t="s">
        <v>766</v>
      </c>
      <c r="C123" s="609" t="s">
        <v>767</v>
      </c>
      <c r="D123" s="1240" t="s">
        <v>768</v>
      </c>
      <c r="E123" s="1458" t="s">
        <v>769</v>
      </c>
      <c r="F123" s="1458"/>
      <c r="G123" s="1459" t="s">
        <v>770</v>
      </c>
      <c r="H123" s="1459"/>
      <c r="I123" s="1459"/>
      <c r="J123" s="1459" t="s">
        <v>771</v>
      </c>
      <c r="K123" s="1459"/>
      <c r="L123" s="1459"/>
      <c r="M123" s="1257"/>
    </row>
    <row r="124" spans="1:14" s="607" customFormat="1" ht="15.6" customHeight="1" x14ac:dyDescent="0.2">
      <c r="A124" s="1283" t="s">
        <v>777</v>
      </c>
      <c r="B124" s="610" t="s">
        <v>50</v>
      </c>
      <c r="C124" s="611">
        <v>1</v>
      </c>
      <c r="D124" s="1241">
        <v>38.11</v>
      </c>
      <c r="E124" s="1460">
        <f>(D124+D125+D126)/3</f>
        <v>38.613333333333337</v>
      </c>
      <c r="F124" s="1460"/>
      <c r="G124" s="1461" t="s">
        <v>778</v>
      </c>
      <c r="H124" s="1461"/>
      <c r="I124" s="1461"/>
      <c r="J124" s="1462" t="s">
        <v>779</v>
      </c>
      <c r="K124" s="1463"/>
      <c r="L124" s="1463"/>
      <c r="M124" s="612"/>
    </row>
    <row r="125" spans="1:14" s="607" customFormat="1" ht="15.6" customHeight="1" x14ac:dyDescent="0.2">
      <c r="A125" s="1283" t="s">
        <v>2243</v>
      </c>
      <c r="B125" s="610" t="s">
        <v>50</v>
      </c>
      <c r="C125" s="611">
        <v>1</v>
      </c>
      <c r="D125" s="1241">
        <v>42.38</v>
      </c>
      <c r="E125" s="1460"/>
      <c r="F125" s="1460"/>
      <c r="G125" s="1464" t="s">
        <v>2435</v>
      </c>
      <c r="H125" s="1465"/>
      <c r="I125" s="1466"/>
      <c r="J125" s="1467" t="s">
        <v>2434</v>
      </c>
      <c r="K125" s="1468"/>
      <c r="L125" s="1469"/>
      <c r="M125" s="613"/>
    </row>
    <row r="126" spans="1:14" s="607" customFormat="1" ht="15.6" customHeight="1" x14ac:dyDescent="0.2">
      <c r="A126" s="1283" t="s">
        <v>2436</v>
      </c>
      <c r="B126" s="610" t="s">
        <v>50</v>
      </c>
      <c r="C126" s="611">
        <v>1</v>
      </c>
      <c r="D126" s="1241">
        <v>35.35</v>
      </c>
      <c r="E126" s="1460"/>
      <c r="F126" s="1460"/>
      <c r="G126" s="1461"/>
      <c r="H126" s="1461"/>
      <c r="I126" s="1461"/>
      <c r="J126" s="1462" t="s">
        <v>2437</v>
      </c>
      <c r="K126" s="1463"/>
      <c r="L126" s="1463"/>
      <c r="M126" s="612"/>
    </row>
    <row r="127" spans="1:14" x14ac:dyDescent="0.2">
      <c r="A127" s="574"/>
      <c r="B127" s="574"/>
      <c r="C127" s="574"/>
      <c r="D127" s="574"/>
      <c r="E127" s="574"/>
      <c r="F127" s="574"/>
      <c r="G127" s="574"/>
      <c r="H127" s="574"/>
      <c r="I127" s="574"/>
      <c r="J127" s="574"/>
      <c r="K127" s="574"/>
      <c r="L127" s="574"/>
      <c r="M127" s="559"/>
    </row>
    <row r="128" spans="1:14" s="607" customFormat="1" ht="17.25" customHeight="1" x14ac:dyDescent="0.2">
      <c r="A128" s="1456" t="s">
        <v>2440</v>
      </c>
      <c r="B128" s="1456"/>
      <c r="C128" s="1456"/>
      <c r="D128" s="1456"/>
      <c r="E128" s="1456"/>
      <c r="F128" s="1456"/>
      <c r="G128" s="1456"/>
      <c r="H128" s="1456"/>
      <c r="I128" s="1456"/>
      <c r="J128" s="1456"/>
      <c r="K128" s="1456"/>
      <c r="L128" s="1456"/>
      <c r="M128" s="606"/>
      <c r="N128" s="606"/>
    </row>
    <row r="129" spans="1:14" s="607" customFormat="1" ht="19.5" customHeight="1" x14ac:dyDescent="0.2">
      <c r="A129" s="1457" t="s">
        <v>2439</v>
      </c>
      <c r="B129" s="1457"/>
      <c r="C129" s="1457"/>
      <c r="D129" s="1457"/>
      <c r="E129" s="1457"/>
      <c r="F129" s="1457"/>
      <c r="G129" s="1457"/>
      <c r="H129" s="1457"/>
      <c r="I129" s="1457"/>
      <c r="J129" s="1457"/>
      <c r="K129" s="1457"/>
      <c r="L129" s="1457"/>
      <c r="M129" s="606"/>
      <c r="N129" s="606"/>
    </row>
    <row r="130" spans="1:14" s="607" customFormat="1" ht="17.25" customHeight="1" x14ac:dyDescent="0.2">
      <c r="A130" s="608" t="s">
        <v>765</v>
      </c>
      <c r="B130" s="609" t="s">
        <v>766</v>
      </c>
      <c r="C130" s="609" t="s">
        <v>767</v>
      </c>
      <c r="D130" s="1240" t="s">
        <v>768</v>
      </c>
      <c r="E130" s="1458" t="s">
        <v>769</v>
      </c>
      <c r="F130" s="1458"/>
      <c r="G130" s="1459" t="s">
        <v>770</v>
      </c>
      <c r="H130" s="1459"/>
      <c r="I130" s="1459"/>
      <c r="J130" s="1459" t="s">
        <v>771</v>
      </c>
      <c r="K130" s="1459"/>
      <c r="L130" s="1459"/>
      <c r="M130" s="1257"/>
    </row>
    <row r="131" spans="1:14" s="607" customFormat="1" ht="15.6" customHeight="1" x14ac:dyDescent="0.2">
      <c r="A131" s="1283" t="s">
        <v>2441</v>
      </c>
      <c r="B131" s="610" t="s">
        <v>50</v>
      </c>
      <c r="C131" s="611">
        <v>1</v>
      </c>
      <c r="D131" s="1241">
        <v>22.39</v>
      </c>
      <c r="E131" s="1460">
        <f>(D131+D132+D133)/3</f>
        <v>32.713333333333331</v>
      </c>
      <c r="F131" s="1460"/>
      <c r="G131" s="1461"/>
      <c r="H131" s="1461"/>
      <c r="I131" s="1461"/>
      <c r="J131" s="1462" t="s">
        <v>2442</v>
      </c>
      <c r="K131" s="1463"/>
      <c r="L131" s="1463"/>
      <c r="M131" s="612"/>
    </row>
    <row r="132" spans="1:14" s="607" customFormat="1" ht="15.6" customHeight="1" x14ac:dyDescent="0.2">
      <c r="A132" s="1283" t="s">
        <v>2443</v>
      </c>
      <c r="B132" s="610" t="s">
        <v>50</v>
      </c>
      <c r="C132" s="611">
        <v>1</v>
      </c>
      <c r="D132" s="1241">
        <v>37.61</v>
      </c>
      <c r="E132" s="1460"/>
      <c r="F132" s="1460"/>
      <c r="G132" s="1464"/>
      <c r="H132" s="1465"/>
      <c r="I132" s="1466"/>
      <c r="J132" s="1467" t="s">
        <v>2444</v>
      </c>
      <c r="K132" s="1468"/>
      <c r="L132" s="1469"/>
      <c r="M132" s="613"/>
    </row>
    <row r="133" spans="1:14" s="607" customFormat="1" ht="15.6" customHeight="1" x14ac:dyDescent="0.2">
      <c r="A133" s="1283" t="s">
        <v>777</v>
      </c>
      <c r="B133" s="610" t="s">
        <v>50</v>
      </c>
      <c r="C133" s="611">
        <v>1</v>
      </c>
      <c r="D133" s="1241">
        <v>38.14</v>
      </c>
      <c r="E133" s="1460"/>
      <c r="F133" s="1460"/>
      <c r="G133" s="1461" t="s">
        <v>778</v>
      </c>
      <c r="H133" s="1461"/>
      <c r="I133" s="1461"/>
      <c r="J133" s="1462" t="s">
        <v>779</v>
      </c>
      <c r="K133" s="1463"/>
      <c r="L133" s="1463"/>
      <c r="M133" s="612"/>
    </row>
    <row r="134" spans="1:14" x14ac:dyDescent="0.2">
      <c r="A134" s="574"/>
      <c r="B134" s="574"/>
      <c r="C134" s="574"/>
      <c r="D134" s="574"/>
      <c r="E134" s="574"/>
      <c r="F134" s="574"/>
      <c r="G134" s="574"/>
      <c r="H134" s="574"/>
      <c r="I134" s="574"/>
      <c r="J134" s="574"/>
      <c r="K134" s="574"/>
      <c r="L134" s="574"/>
      <c r="M134" s="559"/>
    </row>
    <row r="135" spans="1:14" s="607" customFormat="1" ht="17.25" customHeight="1" x14ac:dyDescent="0.2">
      <c r="A135" s="1456" t="s">
        <v>2446</v>
      </c>
      <c r="B135" s="1456"/>
      <c r="C135" s="1456"/>
      <c r="D135" s="1456"/>
      <c r="E135" s="1456"/>
      <c r="F135" s="1456"/>
      <c r="G135" s="1456"/>
      <c r="H135" s="1456"/>
      <c r="I135" s="1456"/>
      <c r="J135" s="1456"/>
      <c r="K135" s="1456"/>
      <c r="L135" s="1456"/>
      <c r="M135" s="606"/>
      <c r="N135" s="606"/>
    </row>
    <row r="136" spans="1:14" s="607" customFormat="1" ht="19.5" customHeight="1" x14ac:dyDescent="0.2">
      <c r="A136" s="1457" t="s">
        <v>2445</v>
      </c>
      <c r="B136" s="1457"/>
      <c r="C136" s="1457"/>
      <c r="D136" s="1457"/>
      <c r="E136" s="1457"/>
      <c r="F136" s="1457"/>
      <c r="G136" s="1457"/>
      <c r="H136" s="1457"/>
      <c r="I136" s="1457"/>
      <c r="J136" s="1457"/>
      <c r="K136" s="1457"/>
      <c r="L136" s="1457"/>
      <c r="M136" s="606"/>
      <c r="N136" s="606"/>
    </row>
    <row r="137" spans="1:14" s="607" customFormat="1" ht="17.25" customHeight="1" x14ac:dyDescent="0.2">
      <c r="A137" s="608" t="s">
        <v>765</v>
      </c>
      <c r="B137" s="609" t="s">
        <v>766</v>
      </c>
      <c r="C137" s="609" t="s">
        <v>767</v>
      </c>
      <c r="D137" s="1240" t="s">
        <v>768</v>
      </c>
      <c r="E137" s="1458" t="s">
        <v>769</v>
      </c>
      <c r="F137" s="1458"/>
      <c r="G137" s="1459" t="s">
        <v>770</v>
      </c>
      <c r="H137" s="1459"/>
      <c r="I137" s="1459"/>
      <c r="J137" s="1459" t="s">
        <v>771</v>
      </c>
      <c r="K137" s="1459"/>
      <c r="L137" s="1459"/>
      <c r="M137" s="1257"/>
    </row>
    <row r="138" spans="1:14" s="607" customFormat="1" ht="15.6" customHeight="1" x14ac:dyDescent="0.2">
      <c r="A138" s="1283" t="s">
        <v>2447</v>
      </c>
      <c r="B138" s="610" t="s">
        <v>50</v>
      </c>
      <c r="C138" s="611">
        <v>1</v>
      </c>
      <c r="D138" s="1241">
        <v>55</v>
      </c>
      <c r="E138" s="1460">
        <f>(D138+D139+D140)/3</f>
        <v>40.306666666666665</v>
      </c>
      <c r="F138" s="1460"/>
      <c r="G138" s="1461" t="s">
        <v>2449</v>
      </c>
      <c r="H138" s="1461"/>
      <c r="I138" s="1461"/>
      <c r="J138" s="1462" t="s">
        <v>2448</v>
      </c>
      <c r="K138" s="1463"/>
      <c r="L138" s="1463"/>
      <c r="M138" s="612"/>
    </row>
    <row r="139" spans="1:14" s="607" customFormat="1" ht="15.6" customHeight="1" x14ac:dyDescent="0.2">
      <c r="A139" s="1283" t="s">
        <v>2243</v>
      </c>
      <c r="B139" s="610" t="s">
        <v>50</v>
      </c>
      <c r="C139" s="611">
        <v>1</v>
      </c>
      <c r="D139" s="1241">
        <v>30.05</v>
      </c>
      <c r="E139" s="1460"/>
      <c r="F139" s="1460"/>
      <c r="G139" s="1464" t="s">
        <v>2435</v>
      </c>
      <c r="H139" s="1465"/>
      <c r="I139" s="1466"/>
      <c r="J139" s="1467" t="s">
        <v>2434</v>
      </c>
      <c r="K139" s="1468"/>
      <c r="L139" s="1469"/>
      <c r="M139" s="613"/>
    </row>
    <row r="140" spans="1:14" s="607" customFormat="1" ht="15.6" customHeight="1" x14ac:dyDescent="0.2">
      <c r="A140" s="1283" t="s">
        <v>2443</v>
      </c>
      <c r="B140" s="610" t="s">
        <v>50</v>
      </c>
      <c r="C140" s="611">
        <v>1</v>
      </c>
      <c r="D140" s="1241">
        <v>35.869999999999997</v>
      </c>
      <c r="E140" s="1460"/>
      <c r="F140" s="1460"/>
      <c r="G140" s="1461"/>
      <c r="H140" s="1461"/>
      <c r="I140" s="1461"/>
      <c r="J140" s="1462" t="s">
        <v>776</v>
      </c>
      <c r="K140" s="1463"/>
      <c r="L140" s="1463"/>
      <c r="M140" s="612"/>
    </row>
    <row r="141" spans="1:14" x14ac:dyDescent="0.2">
      <c r="A141" s="574"/>
      <c r="B141" s="574"/>
      <c r="C141" s="574"/>
      <c r="D141" s="574"/>
      <c r="E141" s="574"/>
      <c r="F141" s="574"/>
      <c r="G141" s="574"/>
      <c r="H141" s="574"/>
      <c r="I141" s="574"/>
      <c r="J141" s="574"/>
      <c r="K141" s="574"/>
      <c r="L141" s="574"/>
      <c r="M141" s="559"/>
    </row>
    <row r="142" spans="1:14" s="607" customFormat="1" ht="17.25" customHeight="1" x14ac:dyDescent="0.2">
      <c r="A142" s="1456" t="s">
        <v>2452</v>
      </c>
      <c r="B142" s="1456"/>
      <c r="C142" s="1456"/>
      <c r="D142" s="1456"/>
      <c r="E142" s="1456"/>
      <c r="F142" s="1456"/>
      <c r="G142" s="1456"/>
      <c r="H142" s="1456"/>
      <c r="I142" s="1456"/>
      <c r="J142" s="1456"/>
      <c r="K142" s="1456"/>
      <c r="L142" s="1456"/>
      <c r="M142" s="606"/>
      <c r="N142" s="606"/>
    </row>
    <row r="143" spans="1:14" s="607" customFormat="1" ht="19.5" customHeight="1" x14ac:dyDescent="0.2">
      <c r="A143" s="1457" t="s">
        <v>2451</v>
      </c>
      <c r="B143" s="1457"/>
      <c r="C143" s="1457"/>
      <c r="D143" s="1457"/>
      <c r="E143" s="1457"/>
      <c r="F143" s="1457"/>
      <c r="G143" s="1457"/>
      <c r="H143" s="1457"/>
      <c r="I143" s="1457"/>
      <c r="J143" s="1457"/>
      <c r="K143" s="1457"/>
      <c r="L143" s="1457"/>
      <c r="M143" s="606"/>
      <c r="N143" s="606"/>
    </row>
    <row r="144" spans="1:14" s="607" customFormat="1" ht="17.25" customHeight="1" x14ac:dyDescent="0.2">
      <c r="A144" s="608" t="s">
        <v>765</v>
      </c>
      <c r="B144" s="609" t="s">
        <v>766</v>
      </c>
      <c r="C144" s="609" t="s">
        <v>767</v>
      </c>
      <c r="D144" s="1240" t="s">
        <v>768</v>
      </c>
      <c r="E144" s="1458" t="s">
        <v>769</v>
      </c>
      <c r="F144" s="1458"/>
      <c r="G144" s="1459" t="s">
        <v>770</v>
      </c>
      <c r="H144" s="1459"/>
      <c r="I144" s="1459"/>
      <c r="J144" s="1459" t="s">
        <v>771</v>
      </c>
      <c r="K144" s="1459"/>
      <c r="L144" s="1459"/>
      <c r="M144" s="1257"/>
    </row>
    <row r="145" spans="1:14" s="607" customFormat="1" ht="15.6" customHeight="1" x14ac:dyDescent="0.2">
      <c r="A145" s="1283" t="s">
        <v>2454</v>
      </c>
      <c r="B145" s="610" t="s">
        <v>50</v>
      </c>
      <c r="C145" s="611">
        <v>1</v>
      </c>
      <c r="D145" s="1241">
        <v>40.630000000000003</v>
      </c>
      <c r="E145" s="1460">
        <f>(D145+D146+D147)/3</f>
        <v>31.593333333333334</v>
      </c>
      <c r="F145" s="1460"/>
      <c r="G145" s="1461" t="s">
        <v>2455</v>
      </c>
      <c r="H145" s="1461"/>
      <c r="I145" s="1461"/>
      <c r="J145" s="1462" t="s">
        <v>2456</v>
      </c>
      <c r="K145" s="1463"/>
      <c r="L145" s="1463"/>
      <c r="M145" s="612"/>
    </row>
    <row r="146" spans="1:14" s="607" customFormat="1" ht="15.6" customHeight="1" x14ac:dyDescent="0.2">
      <c r="A146" s="1283" t="s">
        <v>777</v>
      </c>
      <c r="B146" s="610" t="s">
        <v>50</v>
      </c>
      <c r="C146" s="611">
        <v>1</v>
      </c>
      <c r="D146" s="1241">
        <v>22.42</v>
      </c>
      <c r="E146" s="1460"/>
      <c r="F146" s="1460"/>
      <c r="G146" s="1461" t="s">
        <v>778</v>
      </c>
      <c r="H146" s="1461"/>
      <c r="I146" s="1461"/>
      <c r="J146" s="1462" t="s">
        <v>779</v>
      </c>
      <c r="K146" s="1463"/>
      <c r="L146" s="1463"/>
      <c r="M146" s="613"/>
    </row>
    <row r="147" spans="1:14" s="607" customFormat="1" ht="15.6" customHeight="1" x14ac:dyDescent="0.2">
      <c r="A147" s="1283" t="s">
        <v>2443</v>
      </c>
      <c r="B147" s="610" t="s">
        <v>50</v>
      </c>
      <c r="C147" s="611">
        <v>1</v>
      </c>
      <c r="D147" s="1241">
        <v>31.73</v>
      </c>
      <c r="E147" s="1460"/>
      <c r="F147" s="1460"/>
      <c r="G147" s="1461"/>
      <c r="H147" s="1461"/>
      <c r="I147" s="1461"/>
      <c r="J147" s="1462" t="s">
        <v>776</v>
      </c>
      <c r="K147" s="1463"/>
      <c r="L147" s="1463"/>
      <c r="M147" s="612"/>
    </row>
    <row r="148" spans="1:14" x14ac:dyDescent="0.2">
      <c r="A148" s="574"/>
      <c r="B148" s="574"/>
      <c r="C148" s="574"/>
      <c r="D148" s="574"/>
      <c r="E148" s="574"/>
      <c r="F148" s="574"/>
      <c r="G148" s="574"/>
      <c r="H148" s="574"/>
      <c r="I148" s="574"/>
      <c r="J148" s="574"/>
      <c r="K148" s="574"/>
      <c r="L148" s="574"/>
      <c r="M148" s="559"/>
    </row>
    <row r="149" spans="1:14" s="607" customFormat="1" ht="17.25" customHeight="1" x14ac:dyDescent="0.2">
      <c r="A149" s="1456" t="s">
        <v>2458</v>
      </c>
      <c r="B149" s="1456"/>
      <c r="C149" s="1456"/>
      <c r="D149" s="1456"/>
      <c r="E149" s="1456"/>
      <c r="F149" s="1456"/>
      <c r="G149" s="1456"/>
      <c r="H149" s="1456"/>
      <c r="I149" s="1456"/>
      <c r="J149" s="1456"/>
      <c r="K149" s="1456"/>
      <c r="L149" s="1456"/>
      <c r="M149" s="606"/>
      <c r="N149" s="606"/>
    </row>
    <row r="150" spans="1:14" s="607" customFormat="1" ht="19.5" customHeight="1" x14ac:dyDescent="0.2">
      <c r="A150" s="1457" t="s">
        <v>2453</v>
      </c>
      <c r="B150" s="1457"/>
      <c r="C150" s="1457"/>
      <c r="D150" s="1457"/>
      <c r="E150" s="1457"/>
      <c r="F150" s="1457"/>
      <c r="G150" s="1457"/>
      <c r="H150" s="1457"/>
      <c r="I150" s="1457"/>
      <c r="J150" s="1457"/>
      <c r="K150" s="1457"/>
      <c r="L150" s="1457"/>
      <c r="M150" s="606"/>
      <c r="N150" s="606"/>
    </row>
    <row r="151" spans="1:14" s="607" customFormat="1" ht="17.25" customHeight="1" x14ac:dyDescent="0.2">
      <c r="A151" s="608" t="s">
        <v>765</v>
      </c>
      <c r="B151" s="609" t="s">
        <v>766</v>
      </c>
      <c r="C151" s="609" t="s">
        <v>767</v>
      </c>
      <c r="D151" s="1240" t="s">
        <v>768</v>
      </c>
      <c r="E151" s="1458" t="s">
        <v>769</v>
      </c>
      <c r="F151" s="1458"/>
      <c r="G151" s="1459" t="s">
        <v>770</v>
      </c>
      <c r="H151" s="1459"/>
      <c r="I151" s="1459"/>
      <c r="J151" s="1459" t="s">
        <v>771</v>
      </c>
      <c r="K151" s="1459"/>
      <c r="L151" s="1459"/>
      <c r="M151" s="1257"/>
    </row>
    <row r="152" spans="1:14" s="607" customFormat="1" ht="28.15" customHeight="1" x14ac:dyDescent="0.2">
      <c r="A152" s="1283" t="s">
        <v>2459</v>
      </c>
      <c r="B152" s="610" t="s">
        <v>50</v>
      </c>
      <c r="C152" s="611">
        <v>1</v>
      </c>
      <c r="D152" s="1241">
        <v>55.65</v>
      </c>
      <c r="E152" s="1460">
        <f>(D152+D153+D154)/3</f>
        <v>57.043333333333329</v>
      </c>
      <c r="F152" s="1460"/>
      <c r="G152" s="1461" t="s">
        <v>2461</v>
      </c>
      <c r="H152" s="1461"/>
      <c r="I152" s="1461"/>
      <c r="J152" s="1462" t="s">
        <v>2460</v>
      </c>
      <c r="K152" s="1463"/>
      <c r="L152" s="1463"/>
      <c r="M152" s="612"/>
    </row>
    <row r="153" spans="1:14" s="607" customFormat="1" ht="15.6" customHeight="1" x14ac:dyDescent="0.2">
      <c r="A153" s="1283" t="s">
        <v>2464</v>
      </c>
      <c r="B153" s="610" t="s">
        <v>50</v>
      </c>
      <c r="C153" s="611">
        <v>1</v>
      </c>
      <c r="D153" s="1241">
        <v>53.18</v>
      </c>
      <c r="E153" s="1460"/>
      <c r="F153" s="1460"/>
      <c r="G153" s="1464" t="s">
        <v>2463</v>
      </c>
      <c r="H153" s="1465"/>
      <c r="I153" s="1466"/>
      <c r="J153" s="1467" t="s">
        <v>2462</v>
      </c>
      <c r="K153" s="1468"/>
      <c r="L153" s="1469"/>
      <c r="M153" s="613"/>
    </row>
    <row r="154" spans="1:14" s="607" customFormat="1" ht="15.6" customHeight="1" x14ac:dyDescent="0.2">
      <c r="A154" s="1283" t="s">
        <v>2443</v>
      </c>
      <c r="B154" s="610" t="s">
        <v>50</v>
      </c>
      <c r="C154" s="611">
        <v>1</v>
      </c>
      <c r="D154" s="1241">
        <v>62.3</v>
      </c>
      <c r="E154" s="1460"/>
      <c r="F154" s="1460"/>
      <c r="G154" s="1461"/>
      <c r="H154" s="1461"/>
      <c r="I154" s="1461"/>
      <c r="J154" s="1462" t="s">
        <v>776</v>
      </c>
      <c r="K154" s="1463"/>
      <c r="L154" s="1463"/>
      <c r="M154" s="612"/>
    </row>
    <row r="155" spans="1:14" x14ac:dyDescent="0.2">
      <c r="A155" s="574"/>
      <c r="B155" s="574"/>
      <c r="C155" s="574"/>
      <c r="D155" s="574"/>
      <c r="E155" s="574"/>
      <c r="F155" s="574"/>
      <c r="G155" s="574"/>
      <c r="H155" s="574"/>
      <c r="I155" s="574"/>
      <c r="J155" s="574"/>
      <c r="K155" s="574"/>
      <c r="L155" s="574"/>
      <c r="M155" s="559"/>
    </row>
    <row r="156" spans="1:14" s="607" customFormat="1" ht="17.25" customHeight="1" x14ac:dyDescent="0.2">
      <c r="A156" s="1456" t="s">
        <v>2467</v>
      </c>
      <c r="B156" s="1456"/>
      <c r="C156" s="1456"/>
      <c r="D156" s="1456"/>
      <c r="E156" s="1456"/>
      <c r="F156" s="1456"/>
      <c r="G156" s="1456"/>
      <c r="H156" s="1456"/>
      <c r="I156" s="1456"/>
      <c r="J156" s="1456"/>
      <c r="K156" s="1456"/>
      <c r="L156" s="1456"/>
      <c r="M156" s="606"/>
      <c r="N156" s="606"/>
    </row>
    <row r="157" spans="1:14" s="607" customFormat="1" ht="19.5" customHeight="1" x14ac:dyDescent="0.2">
      <c r="A157" s="1457" t="s">
        <v>2466</v>
      </c>
      <c r="B157" s="1457"/>
      <c r="C157" s="1457"/>
      <c r="D157" s="1457"/>
      <c r="E157" s="1457"/>
      <c r="F157" s="1457"/>
      <c r="G157" s="1457"/>
      <c r="H157" s="1457"/>
      <c r="I157" s="1457"/>
      <c r="J157" s="1457"/>
      <c r="K157" s="1457"/>
      <c r="L157" s="1457"/>
      <c r="M157" s="606"/>
      <c r="N157" s="606"/>
    </row>
    <row r="158" spans="1:14" s="607" customFormat="1" ht="17.25" customHeight="1" x14ac:dyDescent="0.2">
      <c r="A158" s="608" t="s">
        <v>765</v>
      </c>
      <c r="B158" s="609" t="s">
        <v>766</v>
      </c>
      <c r="C158" s="609" t="s">
        <v>767</v>
      </c>
      <c r="D158" s="1240" t="s">
        <v>768</v>
      </c>
      <c r="E158" s="1458" t="s">
        <v>769</v>
      </c>
      <c r="F158" s="1458"/>
      <c r="G158" s="1459" t="s">
        <v>770</v>
      </c>
      <c r="H158" s="1459"/>
      <c r="I158" s="1459"/>
      <c r="J158" s="1459" t="s">
        <v>771</v>
      </c>
      <c r="K158" s="1459"/>
      <c r="L158" s="1459"/>
      <c r="M158" s="1257"/>
    </row>
    <row r="159" spans="1:14" s="607" customFormat="1" ht="17.45" customHeight="1" x14ac:dyDescent="0.2">
      <c r="A159" s="1283" t="s">
        <v>1965</v>
      </c>
      <c r="B159" s="610" t="s">
        <v>50</v>
      </c>
      <c r="C159" s="611">
        <v>1</v>
      </c>
      <c r="D159" s="1241">
        <v>9.57</v>
      </c>
      <c r="E159" s="1460">
        <f>(D159+D160+D161)/3</f>
        <v>7.9266666666666659</v>
      </c>
      <c r="F159" s="1460"/>
      <c r="G159" s="1461" t="s">
        <v>1809</v>
      </c>
      <c r="H159" s="1461"/>
      <c r="I159" s="1461"/>
      <c r="J159" s="1462" t="s">
        <v>1808</v>
      </c>
      <c r="K159" s="1463"/>
      <c r="L159" s="1463"/>
      <c r="M159" s="612"/>
    </row>
    <row r="160" spans="1:14" s="607" customFormat="1" ht="17.45" customHeight="1" x14ac:dyDescent="0.2">
      <c r="A160" s="1283" t="s">
        <v>2447</v>
      </c>
      <c r="B160" s="610" t="s">
        <v>50</v>
      </c>
      <c r="C160" s="611">
        <v>1</v>
      </c>
      <c r="D160" s="1241">
        <v>9.94</v>
      </c>
      <c r="E160" s="1460"/>
      <c r="F160" s="1460"/>
      <c r="G160" s="1461" t="s">
        <v>2449</v>
      </c>
      <c r="H160" s="1461"/>
      <c r="I160" s="1461"/>
      <c r="J160" s="1462" t="s">
        <v>2448</v>
      </c>
      <c r="K160" s="1463"/>
      <c r="L160" s="1463"/>
      <c r="M160" s="613"/>
    </row>
    <row r="161" spans="1:14" s="607" customFormat="1" ht="17.45" customHeight="1" x14ac:dyDescent="0.2">
      <c r="A161" s="1283" t="s">
        <v>2441</v>
      </c>
      <c r="B161" s="610" t="s">
        <v>50</v>
      </c>
      <c r="C161" s="611">
        <v>1</v>
      </c>
      <c r="D161" s="1241">
        <v>4.2699999999999996</v>
      </c>
      <c r="E161" s="1460"/>
      <c r="F161" s="1460"/>
      <c r="G161" s="1464"/>
      <c r="H161" s="1465"/>
      <c r="I161" s="1466"/>
      <c r="J161" s="1462" t="s">
        <v>2442</v>
      </c>
      <c r="K161" s="1463"/>
      <c r="L161" s="1463"/>
      <c r="M161" s="612"/>
    </row>
    <row r="162" spans="1:14" x14ac:dyDescent="0.2">
      <c r="A162" s="574"/>
      <c r="B162" s="574"/>
      <c r="C162" s="574"/>
      <c r="D162" s="574"/>
      <c r="E162" s="574"/>
      <c r="F162" s="574"/>
      <c r="G162" s="574"/>
      <c r="H162" s="574"/>
      <c r="I162" s="574"/>
      <c r="J162" s="574"/>
      <c r="K162" s="574"/>
      <c r="L162" s="574"/>
      <c r="M162" s="559"/>
    </row>
    <row r="163" spans="1:14" s="607" customFormat="1" ht="21" customHeight="1" x14ac:dyDescent="0.2">
      <c r="A163" s="1456" t="s">
        <v>2472</v>
      </c>
      <c r="B163" s="1456"/>
      <c r="C163" s="1456"/>
      <c r="D163" s="1456"/>
      <c r="E163" s="1456"/>
      <c r="F163" s="1456"/>
      <c r="G163" s="1456"/>
      <c r="H163" s="1456"/>
      <c r="I163" s="1456"/>
      <c r="J163" s="1456"/>
      <c r="K163" s="1456"/>
      <c r="L163" s="1456"/>
      <c r="M163" s="606"/>
      <c r="N163" s="606"/>
    </row>
    <row r="164" spans="1:14" s="607" customFormat="1" ht="19.5" customHeight="1" x14ac:dyDescent="0.2">
      <c r="A164" s="1457" t="s">
        <v>2473</v>
      </c>
      <c r="B164" s="1457"/>
      <c r="C164" s="1457"/>
      <c r="D164" s="1457"/>
      <c r="E164" s="1457"/>
      <c r="F164" s="1457"/>
      <c r="G164" s="1457"/>
      <c r="H164" s="1457"/>
      <c r="I164" s="1457"/>
      <c r="J164" s="1457"/>
      <c r="K164" s="1457"/>
      <c r="L164" s="1457"/>
      <c r="M164" s="606"/>
      <c r="N164" s="606"/>
    </row>
    <row r="165" spans="1:14" s="607" customFormat="1" ht="17.25" customHeight="1" x14ac:dyDescent="0.2">
      <c r="A165" s="608" t="s">
        <v>765</v>
      </c>
      <c r="B165" s="609" t="s">
        <v>766</v>
      </c>
      <c r="C165" s="609" t="s">
        <v>767</v>
      </c>
      <c r="D165" s="1240" t="s">
        <v>768</v>
      </c>
      <c r="E165" s="1458" t="s">
        <v>769</v>
      </c>
      <c r="F165" s="1458"/>
      <c r="G165" s="1459" t="s">
        <v>770</v>
      </c>
      <c r="H165" s="1459"/>
      <c r="I165" s="1459"/>
      <c r="J165" s="1459" t="s">
        <v>771</v>
      </c>
      <c r="K165" s="1459"/>
      <c r="L165" s="1459"/>
      <c r="M165" s="1257"/>
    </row>
    <row r="166" spans="1:14" s="607" customFormat="1" ht="13.9" customHeight="1" x14ac:dyDescent="0.2">
      <c r="A166" s="1283" t="s">
        <v>2436</v>
      </c>
      <c r="B166" s="610" t="s">
        <v>50</v>
      </c>
      <c r="C166" s="611">
        <v>1</v>
      </c>
      <c r="D166" s="1241">
        <v>3.86</v>
      </c>
      <c r="E166" s="1460">
        <f>(D166+D167+D168)/3</f>
        <v>3.9499999999999997</v>
      </c>
      <c r="F166" s="1460"/>
      <c r="G166" s="1461"/>
      <c r="H166" s="1461"/>
      <c r="I166" s="1461"/>
      <c r="J166" s="1462" t="s">
        <v>2437</v>
      </c>
      <c r="K166" s="1463"/>
      <c r="L166" s="1463"/>
      <c r="M166" s="612"/>
    </row>
    <row r="167" spans="1:14" s="607" customFormat="1" ht="13.9" customHeight="1" x14ac:dyDescent="0.2">
      <c r="A167" s="1283" t="s">
        <v>2447</v>
      </c>
      <c r="B167" s="610" t="s">
        <v>50</v>
      </c>
      <c r="C167" s="611">
        <v>1</v>
      </c>
      <c r="D167" s="1241">
        <v>4.21</v>
      </c>
      <c r="E167" s="1460"/>
      <c r="F167" s="1460"/>
      <c r="G167" s="1461" t="s">
        <v>2449</v>
      </c>
      <c r="H167" s="1461"/>
      <c r="I167" s="1461"/>
      <c r="J167" s="1462" t="s">
        <v>2448</v>
      </c>
      <c r="K167" s="1463"/>
      <c r="L167" s="1463"/>
      <c r="M167" s="613"/>
    </row>
    <row r="168" spans="1:14" s="607" customFormat="1" ht="13.9" customHeight="1" x14ac:dyDescent="0.2">
      <c r="A168" s="1283" t="s">
        <v>2443</v>
      </c>
      <c r="B168" s="610" t="s">
        <v>50</v>
      </c>
      <c r="C168" s="611">
        <v>1</v>
      </c>
      <c r="D168" s="1241">
        <v>3.78</v>
      </c>
      <c r="E168" s="1460"/>
      <c r="F168" s="1460"/>
      <c r="G168" s="1461"/>
      <c r="H168" s="1461"/>
      <c r="I168" s="1461"/>
      <c r="J168" s="1462" t="s">
        <v>776</v>
      </c>
      <c r="K168" s="1463"/>
      <c r="L168" s="1463"/>
      <c r="M168" s="612"/>
    </row>
    <row r="169" spans="1:14" x14ac:dyDescent="0.2">
      <c r="A169" s="574"/>
      <c r="B169" s="574"/>
      <c r="C169" s="574"/>
      <c r="D169" s="574"/>
      <c r="E169" s="574"/>
      <c r="F169" s="574"/>
      <c r="G169" s="574"/>
      <c r="H169" s="574"/>
      <c r="I169" s="574"/>
      <c r="J169" s="574"/>
      <c r="K169" s="574"/>
      <c r="L169" s="574"/>
      <c r="M169" s="559"/>
    </row>
    <row r="170" spans="1:14" s="607" customFormat="1" ht="23.25" customHeight="1" x14ac:dyDescent="0.2">
      <c r="A170" s="1456" t="s">
        <v>2476</v>
      </c>
      <c r="B170" s="1456"/>
      <c r="C170" s="1456"/>
      <c r="D170" s="1456"/>
      <c r="E170" s="1456"/>
      <c r="F170" s="1456"/>
      <c r="G170" s="1456"/>
      <c r="H170" s="1456"/>
      <c r="I170" s="1456"/>
      <c r="J170" s="1456"/>
      <c r="K170" s="1456"/>
      <c r="L170" s="1456"/>
      <c r="M170" s="606"/>
      <c r="N170" s="606"/>
    </row>
    <row r="171" spans="1:14" s="607" customFormat="1" ht="19.5" customHeight="1" x14ac:dyDescent="0.2">
      <c r="A171" s="1457" t="s">
        <v>2475</v>
      </c>
      <c r="B171" s="1457"/>
      <c r="C171" s="1457"/>
      <c r="D171" s="1457"/>
      <c r="E171" s="1457"/>
      <c r="F171" s="1457"/>
      <c r="G171" s="1457"/>
      <c r="H171" s="1457"/>
      <c r="I171" s="1457"/>
      <c r="J171" s="1457"/>
      <c r="K171" s="1457"/>
      <c r="L171" s="1457"/>
      <c r="M171" s="606"/>
      <c r="N171" s="606"/>
    </row>
    <row r="172" spans="1:14" s="607" customFormat="1" ht="17.25" customHeight="1" x14ac:dyDescent="0.2">
      <c r="A172" s="608" t="s">
        <v>765</v>
      </c>
      <c r="B172" s="609" t="s">
        <v>766</v>
      </c>
      <c r="C172" s="609" t="s">
        <v>767</v>
      </c>
      <c r="D172" s="1240" t="s">
        <v>768</v>
      </c>
      <c r="E172" s="1458" t="s">
        <v>769</v>
      </c>
      <c r="F172" s="1458"/>
      <c r="G172" s="1459" t="s">
        <v>770</v>
      </c>
      <c r="H172" s="1459"/>
      <c r="I172" s="1459"/>
      <c r="J172" s="1459" t="s">
        <v>771</v>
      </c>
      <c r="K172" s="1459"/>
      <c r="L172" s="1459"/>
      <c r="M172" s="1257"/>
    </row>
    <row r="173" spans="1:14" s="607" customFormat="1" ht="13.9" customHeight="1" x14ac:dyDescent="0.2">
      <c r="A173" s="1283" t="s">
        <v>2447</v>
      </c>
      <c r="B173" s="610" t="s">
        <v>50</v>
      </c>
      <c r="C173" s="611">
        <v>1</v>
      </c>
      <c r="D173" s="1241">
        <v>5.4</v>
      </c>
      <c r="E173" s="1460">
        <f>(D173+D174+D175)/3</f>
        <v>6.580000000000001</v>
      </c>
      <c r="F173" s="1460"/>
      <c r="G173" s="1461" t="s">
        <v>2449</v>
      </c>
      <c r="H173" s="1461"/>
      <c r="I173" s="1461"/>
      <c r="J173" s="1462" t="s">
        <v>2448</v>
      </c>
      <c r="K173" s="1463"/>
      <c r="L173" s="1463"/>
      <c r="M173" s="612"/>
    </row>
    <row r="174" spans="1:14" s="607" customFormat="1" ht="13.9" customHeight="1" x14ac:dyDescent="0.2">
      <c r="A174" s="1283" t="s">
        <v>777</v>
      </c>
      <c r="B174" s="610" t="s">
        <v>50</v>
      </c>
      <c r="C174" s="611">
        <v>1</v>
      </c>
      <c r="D174" s="1241">
        <v>10.42</v>
      </c>
      <c r="E174" s="1460"/>
      <c r="F174" s="1460"/>
      <c r="G174" s="1461" t="s">
        <v>778</v>
      </c>
      <c r="H174" s="1461"/>
      <c r="I174" s="1461"/>
      <c r="J174" s="1462" t="s">
        <v>779</v>
      </c>
      <c r="K174" s="1463"/>
      <c r="L174" s="1463"/>
      <c r="M174" s="613"/>
    </row>
    <row r="175" spans="1:14" s="607" customFormat="1" ht="13.9" customHeight="1" x14ac:dyDescent="0.2">
      <c r="A175" s="1283" t="s">
        <v>2477</v>
      </c>
      <c r="B175" s="610" t="s">
        <v>50</v>
      </c>
      <c r="C175" s="611">
        <v>1</v>
      </c>
      <c r="D175" s="1241">
        <v>3.92</v>
      </c>
      <c r="E175" s="1460"/>
      <c r="F175" s="1460"/>
      <c r="G175" s="1461" t="s">
        <v>2479</v>
      </c>
      <c r="H175" s="1461"/>
      <c r="I175" s="1461"/>
      <c r="J175" s="1462" t="s">
        <v>2478</v>
      </c>
      <c r="K175" s="1463"/>
      <c r="L175" s="1463"/>
      <c r="M175" s="612"/>
    </row>
    <row r="176" spans="1:14" x14ac:dyDescent="0.2">
      <c r="A176" s="574"/>
      <c r="B176" s="574"/>
      <c r="C176" s="574"/>
      <c r="D176" s="574"/>
      <c r="E176" s="574"/>
      <c r="F176" s="574"/>
      <c r="G176" s="574"/>
      <c r="H176" s="574"/>
      <c r="I176" s="574"/>
      <c r="J176" s="574"/>
      <c r="K176" s="574"/>
      <c r="L176" s="574"/>
      <c r="M176" s="559"/>
    </row>
    <row r="177" spans="1:14" s="607" customFormat="1" ht="38.25" customHeight="1" x14ac:dyDescent="0.2">
      <c r="A177" s="1484" t="s">
        <v>2555</v>
      </c>
      <c r="B177" s="1484"/>
      <c r="C177" s="1484"/>
      <c r="D177" s="1484"/>
      <c r="E177" s="1484"/>
      <c r="F177" s="1484"/>
      <c r="G177" s="1484"/>
      <c r="H177" s="1484"/>
      <c r="I177" s="1484"/>
      <c r="J177" s="1484"/>
      <c r="K177" s="1484"/>
      <c r="L177" s="1484"/>
      <c r="M177" s="606"/>
      <c r="N177" s="606"/>
    </row>
    <row r="178" spans="1:14" s="607" customFormat="1" ht="19.5" customHeight="1" x14ac:dyDescent="0.2">
      <c r="A178" s="1457" t="s">
        <v>2475</v>
      </c>
      <c r="B178" s="1457"/>
      <c r="C178" s="1457"/>
      <c r="D178" s="1457"/>
      <c r="E178" s="1457"/>
      <c r="F178" s="1457"/>
      <c r="G178" s="1457"/>
      <c r="H178" s="1457"/>
      <c r="I178" s="1457"/>
      <c r="J178" s="1457"/>
      <c r="K178" s="1457"/>
      <c r="L178" s="1457"/>
      <c r="M178" s="606"/>
      <c r="N178" s="606"/>
    </row>
    <row r="179" spans="1:14" s="607" customFormat="1" ht="17.25" customHeight="1" x14ac:dyDescent="0.2">
      <c r="A179" s="608" t="s">
        <v>765</v>
      </c>
      <c r="B179" s="609" t="s">
        <v>766</v>
      </c>
      <c r="C179" s="609" t="s">
        <v>767</v>
      </c>
      <c r="D179" s="1240" t="s">
        <v>768</v>
      </c>
      <c r="E179" s="1458" t="s">
        <v>769</v>
      </c>
      <c r="F179" s="1458"/>
      <c r="G179" s="1459" t="s">
        <v>770</v>
      </c>
      <c r="H179" s="1459"/>
      <c r="I179" s="1459"/>
      <c r="J179" s="1459" t="s">
        <v>771</v>
      </c>
      <c r="K179" s="1459"/>
      <c r="L179" s="1459"/>
      <c r="M179" s="1257"/>
    </row>
    <row r="180" spans="1:14" s="607" customFormat="1" ht="29.25" customHeight="1" x14ac:dyDescent="0.2">
      <c r="A180" s="1283" t="s">
        <v>2556</v>
      </c>
      <c r="B180" s="610" t="s">
        <v>50</v>
      </c>
      <c r="C180" s="611">
        <v>1</v>
      </c>
      <c r="D180" s="1241">
        <v>1473.13</v>
      </c>
      <c r="E180" s="1460">
        <f>(D180+D181+D182)/3</f>
        <v>1596.9366666666667</v>
      </c>
      <c r="F180" s="1460"/>
      <c r="G180" s="1461" t="s">
        <v>2558</v>
      </c>
      <c r="H180" s="1461"/>
      <c r="I180" s="1461"/>
      <c r="J180" s="1462" t="s">
        <v>2557</v>
      </c>
      <c r="K180" s="1463"/>
      <c r="L180" s="1463"/>
      <c r="M180" s="612"/>
    </row>
    <row r="181" spans="1:14" s="607" customFormat="1" ht="19.5" customHeight="1" x14ac:dyDescent="0.2">
      <c r="A181" s="1283" t="s">
        <v>2447</v>
      </c>
      <c r="B181" s="610" t="s">
        <v>50</v>
      </c>
      <c r="C181" s="611">
        <v>1</v>
      </c>
      <c r="D181" s="1241">
        <v>1708.75</v>
      </c>
      <c r="E181" s="1460"/>
      <c r="F181" s="1460"/>
      <c r="G181" s="1461" t="s">
        <v>2449</v>
      </c>
      <c r="H181" s="1461"/>
      <c r="I181" s="1461"/>
      <c r="J181" s="1462" t="s">
        <v>2448</v>
      </c>
      <c r="K181" s="1463"/>
      <c r="L181" s="1463"/>
      <c r="M181" s="613"/>
    </row>
    <row r="182" spans="1:14" s="607" customFormat="1" ht="17.25" customHeight="1" x14ac:dyDescent="0.2">
      <c r="A182" s="1283" t="s">
        <v>2477</v>
      </c>
      <c r="B182" s="610" t="s">
        <v>50</v>
      </c>
      <c r="C182" s="611">
        <v>1</v>
      </c>
      <c r="D182" s="1241">
        <v>1608.93</v>
      </c>
      <c r="E182" s="1460"/>
      <c r="F182" s="1460"/>
      <c r="G182" s="1461" t="s">
        <v>2479</v>
      </c>
      <c r="H182" s="1461"/>
      <c r="I182" s="1461"/>
      <c r="J182" s="1462" t="s">
        <v>2478</v>
      </c>
      <c r="K182" s="1463"/>
      <c r="L182" s="1463"/>
      <c r="M182" s="612"/>
    </row>
    <row r="183" spans="1:14" x14ac:dyDescent="0.2">
      <c r="A183" s="574"/>
      <c r="B183" s="574"/>
      <c r="C183" s="574"/>
      <c r="D183" s="574"/>
      <c r="E183" s="574"/>
      <c r="F183" s="574"/>
      <c r="G183" s="574"/>
      <c r="H183" s="574"/>
      <c r="I183" s="574"/>
      <c r="J183" s="574"/>
      <c r="K183" s="574"/>
      <c r="L183" s="574"/>
      <c r="M183" s="559"/>
    </row>
    <row r="184" spans="1:14" s="607" customFormat="1" ht="17.25" customHeight="1" x14ac:dyDescent="0.2">
      <c r="A184" s="1456" t="s">
        <v>2583</v>
      </c>
      <c r="B184" s="1456"/>
      <c r="C184" s="1456"/>
      <c r="D184" s="1456"/>
      <c r="E184" s="1456"/>
      <c r="F184" s="1456"/>
      <c r="G184" s="1456"/>
      <c r="H184" s="1456"/>
      <c r="I184" s="1456"/>
      <c r="J184" s="1456"/>
      <c r="K184" s="1456"/>
      <c r="L184" s="1456"/>
      <c r="M184" s="606"/>
      <c r="N184" s="606"/>
    </row>
    <row r="185" spans="1:14" s="607" customFormat="1" ht="19.5" customHeight="1" x14ac:dyDescent="0.2">
      <c r="A185" s="1457" t="s">
        <v>2582</v>
      </c>
      <c r="B185" s="1457"/>
      <c r="C185" s="1457"/>
      <c r="D185" s="1457"/>
      <c r="E185" s="1457"/>
      <c r="F185" s="1457"/>
      <c r="G185" s="1457"/>
      <c r="H185" s="1457"/>
      <c r="I185" s="1457"/>
      <c r="J185" s="1457"/>
      <c r="K185" s="1457"/>
      <c r="L185" s="1457"/>
      <c r="M185" s="606"/>
      <c r="N185" s="606"/>
    </row>
    <row r="186" spans="1:14" s="607" customFormat="1" ht="17.25" customHeight="1" x14ac:dyDescent="0.2">
      <c r="A186" s="608" t="s">
        <v>765</v>
      </c>
      <c r="B186" s="609" t="s">
        <v>766</v>
      </c>
      <c r="C186" s="609" t="s">
        <v>767</v>
      </c>
      <c r="D186" s="1240" t="s">
        <v>768</v>
      </c>
      <c r="E186" s="1458" t="s">
        <v>769</v>
      </c>
      <c r="F186" s="1458"/>
      <c r="G186" s="1459" t="s">
        <v>770</v>
      </c>
      <c r="H186" s="1459"/>
      <c r="I186" s="1459"/>
      <c r="J186" s="1459" t="s">
        <v>771</v>
      </c>
      <c r="K186" s="1459"/>
      <c r="L186" s="1459"/>
      <c r="M186" s="1257"/>
    </row>
    <row r="187" spans="1:14" s="607" customFormat="1" ht="18.75" customHeight="1" x14ac:dyDescent="0.2">
      <c r="A187" s="1283" t="s">
        <v>777</v>
      </c>
      <c r="B187" s="610" t="s">
        <v>50</v>
      </c>
      <c r="C187" s="611">
        <v>1</v>
      </c>
      <c r="D187" s="1241">
        <v>39.5</v>
      </c>
      <c r="E187" s="1460">
        <f>(D187+D188+D189)/3</f>
        <v>37.583333333333336</v>
      </c>
      <c r="F187" s="1460"/>
      <c r="G187" s="1461" t="s">
        <v>778</v>
      </c>
      <c r="H187" s="1461"/>
      <c r="I187" s="1461"/>
      <c r="J187" s="1462" t="s">
        <v>779</v>
      </c>
      <c r="K187" s="1463"/>
      <c r="L187" s="1463"/>
      <c r="M187" s="612"/>
    </row>
    <row r="188" spans="1:14" s="607" customFormat="1" ht="15" customHeight="1" x14ac:dyDescent="0.2">
      <c r="A188" s="1283" t="s">
        <v>1965</v>
      </c>
      <c r="B188" s="610" t="s">
        <v>50</v>
      </c>
      <c r="C188" s="611">
        <v>1</v>
      </c>
      <c r="D188" s="1241">
        <v>21.39</v>
      </c>
      <c r="E188" s="1460"/>
      <c r="F188" s="1460"/>
      <c r="G188" s="1464" t="s">
        <v>1809</v>
      </c>
      <c r="H188" s="1465"/>
      <c r="I188" s="1466"/>
      <c r="J188" s="1467" t="s">
        <v>1808</v>
      </c>
      <c r="K188" s="1468"/>
      <c r="L188" s="1469"/>
      <c r="M188" s="613"/>
    </row>
    <row r="189" spans="1:14" s="607" customFormat="1" ht="18.75" customHeight="1" x14ac:dyDescent="0.2">
      <c r="A189" s="1283" t="s">
        <v>2150</v>
      </c>
      <c r="B189" s="610" t="s">
        <v>50</v>
      </c>
      <c r="C189" s="611">
        <v>1</v>
      </c>
      <c r="D189" s="1241">
        <v>51.86</v>
      </c>
      <c r="E189" s="1460"/>
      <c r="F189" s="1460"/>
      <c r="G189" s="1461" t="s">
        <v>2151</v>
      </c>
      <c r="H189" s="1461"/>
      <c r="I189" s="1461"/>
      <c r="J189" s="1462" t="s">
        <v>2152</v>
      </c>
      <c r="K189" s="1463"/>
      <c r="L189" s="1463"/>
      <c r="M189" s="612"/>
    </row>
    <row r="190" spans="1:14" x14ac:dyDescent="0.2">
      <c r="A190" s="574"/>
      <c r="B190" s="574"/>
      <c r="C190" s="574"/>
      <c r="D190" s="574"/>
      <c r="E190" s="574"/>
      <c r="F190" s="574"/>
      <c r="G190" s="574"/>
      <c r="H190" s="574"/>
      <c r="I190" s="574"/>
      <c r="J190" s="574"/>
      <c r="K190" s="574"/>
      <c r="L190" s="574"/>
      <c r="M190" s="559"/>
    </row>
    <row r="191" spans="1:14" x14ac:dyDescent="0.2">
      <c r="A191" s="560"/>
      <c r="B191" s="560"/>
      <c r="C191" s="558"/>
      <c r="D191" s="558"/>
      <c r="E191" s="558"/>
      <c r="F191" s="558"/>
      <c r="G191" s="558"/>
      <c r="H191" s="558"/>
      <c r="I191" s="558"/>
      <c r="J191" s="561"/>
      <c r="K191" s="561"/>
      <c r="L191" s="562"/>
      <c r="M191" s="562"/>
    </row>
    <row r="192" spans="1:14" ht="33.75" customHeight="1" x14ac:dyDescent="0.2">
      <c r="A192" s="1286"/>
      <c r="B192" s="1286"/>
      <c r="C192" s="547"/>
      <c r="D192" s="547"/>
      <c r="E192" s="547"/>
      <c r="F192" s="547"/>
      <c r="G192" s="547"/>
      <c r="H192" s="547"/>
      <c r="I192" s="547"/>
      <c r="J192" s="567"/>
      <c r="K192" s="563"/>
      <c r="L192" s="544"/>
      <c r="M192" s="545"/>
    </row>
    <row r="193" spans="1:13" ht="55.5" customHeight="1" x14ac:dyDescent="0.2">
      <c r="A193" s="1286"/>
      <c r="B193" s="1286"/>
      <c r="C193" s="547"/>
      <c r="D193" s="547"/>
      <c r="E193" s="547"/>
      <c r="F193" s="547"/>
      <c r="G193" s="547"/>
      <c r="H193" s="547"/>
      <c r="I193" s="547"/>
      <c r="J193" s="567"/>
      <c r="K193" s="563"/>
      <c r="L193" s="544"/>
      <c r="M193" s="545"/>
    </row>
    <row r="194" spans="1:13" ht="33.75" customHeight="1" x14ac:dyDescent="0.2">
      <c r="A194" s="1286"/>
      <c r="B194" s="1286"/>
      <c r="C194" s="547"/>
      <c r="D194" s="547"/>
      <c r="E194" s="547"/>
      <c r="F194" s="547"/>
      <c r="G194" s="547"/>
      <c r="H194" s="547"/>
      <c r="I194" s="547"/>
      <c r="J194" s="567"/>
      <c r="K194" s="563"/>
      <c r="L194" s="544"/>
      <c r="M194" s="545"/>
    </row>
    <row r="195" spans="1:13" ht="19.5" customHeight="1" x14ac:dyDescent="0.2">
      <c r="A195" s="1286"/>
      <c r="B195" s="1286"/>
      <c r="C195" s="547"/>
      <c r="D195" s="547"/>
      <c r="E195" s="547"/>
      <c r="F195" s="547"/>
      <c r="G195" s="547"/>
      <c r="H195" s="547"/>
      <c r="I195" s="547"/>
      <c r="J195" s="567"/>
      <c r="K195" s="563"/>
      <c r="L195" s="544"/>
      <c r="M195" s="545"/>
    </row>
    <row r="196" spans="1:13" ht="45" customHeight="1" x14ac:dyDescent="0.2">
      <c r="A196" s="1286"/>
      <c r="B196" s="1286"/>
      <c r="C196" s="547"/>
      <c r="D196" s="547"/>
      <c r="E196" s="547"/>
      <c r="F196" s="547"/>
      <c r="G196" s="547"/>
      <c r="H196" s="547"/>
      <c r="I196" s="547"/>
      <c r="J196" s="567"/>
      <c r="K196" s="564"/>
      <c r="L196" s="544"/>
      <c r="M196" s="545"/>
    </row>
    <row r="197" spans="1:13" ht="48" customHeight="1" x14ac:dyDescent="0.2">
      <c r="A197" s="1286"/>
      <c r="B197" s="1286"/>
      <c r="C197" s="547"/>
      <c r="D197" s="547"/>
      <c r="E197" s="547"/>
      <c r="F197" s="547"/>
      <c r="G197" s="547"/>
      <c r="H197" s="547"/>
      <c r="I197" s="547"/>
      <c r="J197" s="567"/>
      <c r="K197" s="564"/>
      <c r="L197" s="544"/>
      <c r="M197" s="545"/>
    </row>
    <row r="198" spans="1:13" x14ac:dyDescent="0.2">
      <c r="A198" s="567"/>
      <c r="B198" s="567"/>
      <c r="C198" s="558"/>
      <c r="D198" s="558"/>
      <c r="E198" s="558"/>
      <c r="F198" s="558"/>
      <c r="G198" s="558"/>
      <c r="H198" s="558"/>
      <c r="I198" s="558"/>
      <c r="J198" s="558"/>
      <c r="K198" s="561"/>
      <c r="L198" s="568"/>
      <c r="M198" s="565"/>
    </row>
    <row r="200" spans="1:13" x14ac:dyDescent="0.2">
      <c r="A200" s="570"/>
      <c r="B200" s="570"/>
      <c r="C200" s="558"/>
      <c r="D200" s="558"/>
      <c r="E200" s="558"/>
      <c r="F200" s="558"/>
      <c r="G200" s="558"/>
      <c r="H200" s="558"/>
      <c r="I200" s="558"/>
      <c r="J200" s="558"/>
      <c r="K200" s="558"/>
      <c r="L200" s="558"/>
      <c r="M200" s="559"/>
    </row>
    <row r="201" spans="1:13" ht="35.25" customHeight="1" x14ac:dyDescent="0.2">
      <c r="A201" s="592"/>
      <c r="B201" s="592"/>
      <c r="C201" s="182"/>
      <c r="D201" s="182"/>
      <c r="E201" s="182"/>
      <c r="F201" s="182"/>
      <c r="G201" s="182"/>
      <c r="H201" s="182"/>
      <c r="I201" s="182"/>
      <c r="J201" s="182"/>
      <c r="K201" s="182"/>
      <c r="L201" s="182"/>
      <c r="M201" s="182"/>
    </row>
    <row r="202" spans="1:13" ht="20.25" customHeight="1" x14ac:dyDescent="0.2">
      <c r="A202" s="574"/>
      <c r="B202" s="574"/>
      <c r="C202" s="574"/>
      <c r="D202" s="574"/>
      <c r="E202" s="574"/>
      <c r="F202" s="574"/>
      <c r="G202" s="574"/>
      <c r="H202" s="574"/>
      <c r="I202" s="574"/>
      <c r="J202" s="574"/>
      <c r="K202" s="574"/>
      <c r="L202" s="574"/>
      <c r="M202" s="559"/>
    </row>
    <row r="203" spans="1:13" s="577" customFormat="1" ht="18" customHeight="1" x14ac:dyDescent="0.2">
      <c r="A203" s="560"/>
      <c r="B203" s="560"/>
      <c r="C203" s="570"/>
      <c r="D203" s="570"/>
      <c r="E203" s="570"/>
      <c r="F203" s="570"/>
      <c r="G203" s="570"/>
      <c r="H203" s="570"/>
      <c r="I203" s="570"/>
      <c r="J203" s="560"/>
      <c r="K203" s="560"/>
      <c r="L203" s="568"/>
      <c r="M203" s="562"/>
    </row>
    <row r="204" spans="1:13" ht="46.5" customHeight="1" x14ac:dyDescent="0.2">
      <c r="A204" s="1286"/>
      <c r="B204" s="1286"/>
      <c r="C204" s="547"/>
      <c r="D204" s="547"/>
      <c r="E204" s="547"/>
      <c r="F204" s="547"/>
      <c r="G204" s="547"/>
      <c r="H204" s="547"/>
      <c r="I204" s="547"/>
      <c r="J204" s="567"/>
      <c r="K204" s="564"/>
      <c r="L204" s="544"/>
      <c r="M204" s="545"/>
    </row>
    <row r="205" spans="1:13" ht="48" customHeight="1" x14ac:dyDescent="0.2">
      <c r="A205" s="1286"/>
      <c r="B205" s="1286"/>
      <c r="C205" s="547"/>
      <c r="D205" s="547"/>
      <c r="E205" s="547"/>
      <c r="F205" s="547"/>
      <c r="G205" s="547"/>
      <c r="H205" s="547"/>
      <c r="I205" s="547"/>
      <c r="J205" s="567"/>
      <c r="K205" s="564"/>
      <c r="L205" s="544"/>
      <c r="M205" s="545"/>
    </row>
    <row r="206" spans="1:13" ht="40.5" customHeight="1" x14ac:dyDescent="0.2">
      <c r="A206" s="1286"/>
      <c r="B206" s="1286"/>
      <c r="C206" s="547"/>
      <c r="D206" s="547"/>
      <c r="E206" s="547"/>
      <c r="F206" s="547"/>
      <c r="G206" s="547"/>
      <c r="H206" s="547"/>
      <c r="I206" s="547"/>
      <c r="J206" s="567"/>
      <c r="K206" s="564"/>
      <c r="L206" s="544"/>
      <c r="M206" s="545"/>
    </row>
    <row r="207" spans="1:13" ht="36" customHeight="1" x14ac:dyDescent="0.2">
      <c r="A207" s="1286"/>
      <c r="B207" s="1286"/>
      <c r="C207" s="547"/>
      <c r="D207" s="547"/>
      <c r="E207" s="547"/>
      <c r="F207" s="547"/>
      <c r="G207" s="547"/>
      <c r="H207" s="547"/>
      <c r="I207" s="547"/>
      <c r="J207" s="567"/>
      <c r="K207" s="563"/>
      <c r="L207" s="544"/>
      <c r="M207" s="545"/>
    </row>
    <row r="208" spans="1:13" ht="22.5" customHeight="1" x14ac:dyDescent="0.2">
      <c r="A208" s="1285"/>
      <c r="B208" s="1285"/>
      <c r="C208" s="547"/>
      <c r="D208" s="547"/>
      <c r="E208" s="547"/>
      <c r="F208" s="547"/>
      <c r="G208" s="547"/>
      <c r="H208" s="547"/>
      <c r="I208" s="547"/>
      <c r="J208" s="567"/>
      <c r="K208" s="564"/>
      <c r="L208" s="544"/>
      <c r="M208" s="545"/>
    </row>
    <row r="209" spans="1:13" ht="20.25" customHeight="1" x14ac:dyDescent="0.2">
      <c r="A209" s="1285"/>
      <c r="B209" s="1285"/>
      <c r="C209" s="547"/>
      <c r="D209" s="547"/>
      <c r="E209" s="547"/>
      <c r="F209" s="547"/>
      <c r="G209" s="547"/>
      <c r="H209" s="547"/>
      <c r="I209" s="547"/>
      <c r="J209" s="567"/>
      <c r="K209" s="564"/>
      <c r="L209" s="544"/>
      <c r="M209" s="545"/>
    </row>
    <row r="210" spans="1:13" ht="33" customHeight="1" x14ac:dyDescent="0.2">
      <c r="A210" s="1286"/>
      <c r="B210" s="1285"/>
      <c r="C210" s="547"/>
      <c r="D210" s="547"/>
      <c r="E210" s="547"/>
      <c r="F210" s="547"/>
      <c r="G210" s="547"/>
      <c r="H210" s="547"/>
      <c r="I210" s="547"/>
      <c r="J210" s="567"/>
      <c r="K210" s="564"/>
      <c r="L210" s="544"/>
      <c r="M210" s="545"/>
    </row>
    <row r="211" spans="1:13" ht="46.5" customHeight="1" x14ac:dyDescent="0.2">
      <c r="A211" s="1286"/>
      <c r="B211" s="1285"/>
      <c r="C211" s="547"/>
      <c r="D211" s="547"/>
      <c r="E211" s="547"/>
      <c r="F211" s="547"/>
      <c r="G211" s="547"/>
      <c r="H211" s="547"/>
      <c r="I211" s="547"/>
      <c r="J211" s="567"/>
      <c r="K211" s="564"/>
      <c r="L211" s="544"/>
      <c r="M211" s="545"/>
    </row>
    <row r="212" spans="1:13" ht="20.25" customHeight="1" x14ac:dyDescent="0.2">
      <c r="A212" s="1286"/>
      <c r="B212" s="1285"/>
      <c r="C212" s="546"/>
      <c r="D212" s="547"/>
      <c r="E212" s="547"/>
      <c r="F212" s="547"/>
      <c r="G212" s="547"/>
      <c r="H212" s="547"/>
      <c r="I212" s="547"/>
      <c r="J212" s="567"/>
      <c r="K212" s="564"/>
      <c r="L212" s="544"/>
      <c r="M212" s="545"/>
    </row>
    <row r="213" spans="1:13" ht="20.25" customHeight="1" x14ac:dyDescent="0.2">
      <c r="A213" s="1286"/>
      <c r="B213" s="1285"/>
      <c r="C213" s="546"/>
      <c r="D213" s="547"/>
      <c r="E213" s="547"/>
      <c r="F213" s="547"/>
      <c r="G213" s="547"/>
      <c r="H213" s="547"/>
      <c r="I213" s="547"/>
      <c r="J213" s="567"/>
      <c r="K213" s="564"/>
      <c r="L213" s="544"/>
      <c r="M213" s="545"/>
    </row>
    <row r="214" spans="1:13" x14ac:dyDescent="0.2">
      <c r="A214" s="567"/>
      <c r="B214" s="567"/>
      <c r="C214" s="558"/>
      <c r="D214" s="558"/>
      <c r="E214" s="558"/>
      <c r="F214" s="558"/>
      <c r="G214" s="558"/>
      <c r="H214" s="558"/>
      <c r="I214" s="558"/>
      <c r="J214" s="558"/>
      <c r="K214" s="561"/>
      <c r="L214" s="568"/>
      <c r="M214" s="565"/>
    </row>
    <row r="216" spans="1:13" x14ac:dyDescent="0.2">
      <c r="A216" s="570"/>
      <c r="B216" s="570"/>
      <c r="C216" s="558"/>
      <c r="D216" s="558"/>
      <c r="E216" s="558"/>
      <c r="F216" s="558"/>
      <c r="G216" s="558"/>
      <c r="H216" s="558"/>
      <c r="I216" s="558"/>
      <c r="J216" s="558"/>
      <c r="K216" s="558"/>
      <c r="L216" s="558"/>
      <c r="M216" s="559"/>
    </row>
    <row r="217" spans="1:13" x14ac:dyDescent="0.2">
      <c r="A217" s="560"/>
      <c r="B217" s="560"/>
      <c r="C217" s="558"/>
      <c r="D217" s="558"/>
      <c r="E217" s="558"/>
      <c r="F217" s="558"/>
      <c r="G217" s="558"/>
      <c r="H217" s="558"/>
      <c r="I217" s="558"/>
      <c r="J217" s="558"/>
      <c r="K217" s="558"/>
      <c r="L217" s="558"/>
      <c r="M217" s="559"/>
    </row>
    <row r="218" spans="1:13" ht="55.5" customHeight="1" x14ac:dyDescent="0.2">
      <c r="A218" s="592"/>
      <c r="B218" s="592"/>
      <c r="C218" s="182"/>
      <c r="D218" s="182"/>
      <c r="E218" s="182"/>
      <c r="F218" s="182"/>
      <c r="G218" s="182"/>
      <c r="H218" s="182"/>
      <c r="I218" s="182"/>
      <c r="J218" s="182"/>
      <c r="K218" s="182"/>
      <c r="L218" s="182"/>
      <c r="M218" s="182"/>
    </row>
    <row r="219" spans="1:13" ht="18.75" customHeight="1" x14ac:dyDescent="0.2">
      <c r="A219" s="574"/>
      <c r="B219" s="574"/>
      <c r="C219" s="574"/>
      <c r="D219" s="574"/>
      <c r="E219" s="574"/>
      <c r="F219" s="574"/>
      <c r="G219" s="574"/>
      <c r="H219" s="574"/>
      <c r="I219" s="574"/>
      <c r="J219" s="574"/>
      <c r="K219" s="574"/>
      <c r="L219" s="574"/>
      <c r="M219" s="559"/>
    </row>
    <row r="220" spans="1:13" ht="15" customHeight="1" x14ac:dyDescent="0.2">
      <c r="A220" s="560"/>
      <c r="B220" s="560"/>
      <c r="C220" s="558"/>
      <c r="D220" s="558"/>
      <c r="E220" s="558"/>
      <c r="F220" s="558"/>
      <c r="G220" s="558"/>
      <c r="H220" s="558"/>
      <c r="I220" s="558"/>
      <c r="J220" s="561"/>
      <c r="K220" s="561"/>
      <c r="L220" s="562"/>
      <c r="M220" s="562"/>
    </row>
    <row r="221" spans="1:13" ht="56.25" customHeight="1" x14ac:dyDescent="0.2">
      <c r="A221" s="1286"/>
      <c r="B221" s="1286"/>
      <c r="C221" s="547"/>
      <c r="D221" s="547"/>
      <c r="E221" s="547"/>
      <c r="F221" s="547"/>
      <c r="G221" s="547"/>
      <c r="H221" s="547"/>
      <c r="I221" s="547"/>
      <c r="J221" s="567"/>
      <c r="K221" s="564"/>
      <c r="L221" s="544"/>
      <c r="M221" s="545"/>
    </row>
    <row r="222" spans="1:13" ht="48" customHeight="1" x14ac:dyDescent="0.2">
      <c r="A222" s="1286"/>
      <c r="B222" s="1286"/>
      <c r="C222" s="547"/>
      <c r="D222" s="547"/>
      <c r="E222" s="547"/>
      <c r="F222" s="547"/>
      <c r="G222" s="547"/>
      <c r="H222" s="547"/>
      <c r="I222" s="547"/>
      <c r="J222" s="567"/>
      <c r="K222" s="564"/>
      <c r="L222" s="544"/>
      <c r="M222" s="545"/>
    </row>
    <row r="223" spans="1:13" ht="22.5" customHeight="1" x14ac:dyDescent="0.2">
      <c r="A223" s="1286"/>
      <c r="B223" s="1286"/>
      <c r="C223" s="547"/>
      <c r="D223" s="547"/>
      <c r="E223" s="547"/>
      <c r="F223" s="547"/>
      <c r="G223" s="547"/>
      <c r="H223" s="547"/>
      <c r="I223" s="547"/>
      <c r="J223" s="567"/>
      <c r="K223" s="564"/>
      <c r="L223" s="544"/>
      <c r="M223" s="545"/>
    </row>
    <row r="224" spans="1:13" ht="34.5" customHeight="1" x14ac:dyDescent="0.2">
      <c r="A224" s="1286"/>
      <c r="B224" s="1286"/>
      <c r="C224" s="547"/>
      <c r="D224" s="547"/>
      <c r="E224" s="547"/>
      <c r="F224" s="547"/>
      <c r="G224" s="547"/>
      <c r="H224" s="547"/>
      <c r="I224" s="547"/>
      <c r="J224" s="567"/>
      <c r="K224" s="564"/>
      <c r="L224" s="544"/>
      <c r="M224" s="545"/>
    </row>
    <row r="225" spans="1:18" ht="34.5" customHeight="1" x14ac:dyDescent="0.2">
      <c r="A225" s="1286"/>
      <c r="B225" s="1286"/>
      <c r="C225" s="547"/>
      <c r="D225" s="547"/>
      <c r="E225" s="547"/>
      <c r="F225" s="547"/>
      <c r="G225" s="547"/>
      <c r="H225" s="547"/>
      <c r="I225" s="547"/>
      <c r="J225" s="567"/>
      <c r="K225" s="563"/>
      <c r="L225" s="544"/>
      <c r="M225" s="545"/>
    </row>
    <row r="226" spans="1:18" ht="51.75" customHeight="1" x14ac:dyDescent="0.2">
      <c r="A226" s="1286"/>
      <c r="B226" s="1286"/>
      <c r="C226" s="547"/>
      <c r="D226" s="547"/>
      <c r="E226" s="547"/>
      <c r="F226" s="547"/>
      <c r="G226" s="547"/>
      <c r="H226" s="547"/>
      <c r="I226" s="547"/>
      <c r="J226" s="567"/>
      <c r="K226" s="564"/>
      <c r="L226" s="544"/>
      <c r="M226" s="545"/>
    </row>
    <row r="227" spans="1:18" ht="18.75" customHeight="1" x14ac:dyDescent="0.2">
      <c r="A227" s="1286"/>
      <c r="B227" s="1286"/>
      <c r="C227" s="546"/>
      <c r="D227" s="547"/>
      <c r="E227" s="547"/>
      <c r="F227" s="547"/>
      <c r="G227" s="547"/>
      <c r="H227" s="547"/>
      <c r="I227" s="547"/>
      <c r="J227" s="567"/>
      <c r="K227" s="563"/>
      <c r="L227" s="544"/>
      <c r="M227" s="545"/>
    </row>
    <row r="228" spans="1:18" x14ac:dyDescent="0.2">
      <c r="A228" s="567"/>
      <c r="B228" s="567"/>
      <c r="C228" s="558"/>
      <c r="D228" s="558"/>
      <c r="E228" s="558"/>
      <c r="F228" s="558"/>
      <c r="G228" s="558"/>
      <c r="H228" s="558"/>
      <c r="I228" s="558"/>
      <c r="J228" s="558"/>
      <c r="K228" s="561"/>
      <c r="L228" s="568"/>
      <c r="M228" s="565"/>
    </row>
    <row r="230" spans="1:18" x14ac:dyDescent="0.2">
      <c r="A230" s="570"/>
      <c r="B230" s="570"/>
      <c r="C230" s="558"/>
      <c r="D230" s="558"/>
      <c r="E230" s="558"/>
      <c r="F230" s="558"/>
      <c r="G230" s="558"/>
      <c r="H230" s="558"/>
      <c r="I230" s="558"/>
      <c r="J230" s="558"/>
      <c r="K230" s="558"/>
      <c r="L230" s="558"/>
      <c r="M230" s="559"/>
    </row>
    <row r="231" spans="1:18" ht="31.5" customHeight="1" x14ac:dyDescent="0.2">
      <c r="A231" s="592"/>
      <c r="B231" s="592"/>
      <c r="C231" s="182"/>
      <c r="D231" s="182"/>
      <c r="E231" s="182"/>
      <c r="F231" s="182"/>
      <c r="G231" s="182"/>
      <c r="H231" s="182"/>
      <c r="I231" s="182"/>
      <c r="J231" s="182"/>
      <c r="K231" s="182"/>
      <c r="L231" s="182"/>
      <c r="M231" s="182"/>
    </row>
    <row r="232" spans="1:18" ht="18" customHeight="1" x14ac:dyDescent="0.2">
      <c r="A232" s="574"/>
      <c r="B232" s="574"/>
      <c r="C232" s="574"/>
      <c r="D232" s="574"/>
      <c r="E232" s="574"/>
      <c r="F232" s="574"/>
      <c r="G232" s="574"/>
      <c r="H232" s="574"/>
      <c r="I232" s="574"/>
      <c r="J232" s="574"/>
      <c r="K232" s="574"/>
      <c r="L232" s="574"/>
      <c r="M232" s="559"/>
    </row>
    <row r="233" spans="1:18" x14ac:dyDescent="0.2">
      <c r="A233" s="560"/>
      <c r="B233" s="560"/>
      <c r="C233" s="558"/>
      <c r="D233" s="558"/>
      <c r="E233" s="558"/>
      <c r="F233" s="558"/>
      <c r="G233" s="558"/>
      <c r="H233" s="558"/>
      <c r="I233" s="558"/>
      <c r="J233" s="561"/>
      <c r="K233" s="561"/>
      <c r="L233" s="562"/>
      <c r="M233" s="562"/>
    </row>
    <row r="234" spans="1:18" ht="78" customHeight="1" x14ac:dyDescent="0.2">
      <c r="A234" s="1286"/>
      <c r="B234" s="1286"/>
      <c r="C234" s="547"/>
      <c r="D234" s="547"/>
      <c r="E234" s="547"/>
      <c r="F234" s="547"/>
      <c r="G234" s="547"/>
      <c r="H234" s="547"/>
      <c r="I234" s="547"/>
      <c r="J234" s="567"/>
      <c r="K234" s="564"/>
      <c r="L234" s="544"/>
      <c r="M234" s="545"/>
      <c r="R234" s="1287"/>
    </row>
    <row r="235" spans="1:18" ht="31.5" customHeight="1" x14ac:dyDescent="0.2">
      <c r="A235" s="1286"/>
      <c r="B235" s="1286"/>
      <c r="C235" s="547"/>
      <c r="D235" s="547"/>
      <c r="E235" s="547"/>
      <c r="F235" s="547"/>
      <c r="G235" s="547"/>
      <c r="H235" s="547"/>
      <c r="I235" s="547"/>
      <c r="J235" s="567"/>
      <c r="K235" s="564"/>
      <c r="L235" s="544"/>
      <c r="M235" s="545"/>
    </row>
    <row r="236" spans="1:18" ht="20.25" customHeight="1" x14ac:dyDescent="0.2">
      <c r="A236" s="1286"/>
      <c r="B236" s="1286"/>
      <c r="C236" s="547"/>
      <c r="D236" s="547"/>
      <c r="E236" s="547"/>
      <c r="F236" s="547"/>
      <c r="G236" s="547"/>
      <c r="H236" s="547"/>
      <c r="I236" s="547"/>
      <c r="J236" s="567"/>
      <c r="K236" s="564"/>
      <c r="L236" s="544"/>
      <c r="M236" s="545"/>
    </row>
    <row r="237" spans="1:18" ht="14.25" x14ac:dyDescent="0.2">
      <c r="A237" s="1286"/>
      <c r="B237" s="1286"/>
      <c r="C237" s="546"/>
      <c r="D237" s="547"/>
      <c r="E237" s="547"/>
      <c r="F237" s="547"/>
      <c r="G237" s="547"/>
      <c r="H237" s="547"/>
      <c r="I237" s="547"/>
      <c r="J237" s="567"/>
      <c r="K237" s="563"/>
      <c r="L237" s="544"/>
      <c r="M237" s="545"/>
    </row>
    <row r="238" spans="1:18" ht="14.25" x14ac:dyDescent="0.2">
      <c r="A238" s="1286"/>
      <c r="B238" s="1286"/>
      <c r="C238" s="546"/>
      <c r="D238" s="547"/>
      <c r="E238" s="547"/>
      <c r="F238" s="547"/>
      <c r="G238" s="547"/>
      <c r="H238" s="547"/>
      <c r="I238" s="547"/>
      <c r="J238" s="567"/>
      <c r="K238" s="563"/>
      <c r="L238" s="544"/>
      <c r="M238" s="545"/>
    </row>
    <row r="239" spans="1:18" ht="34.5" customHeight="1" x14ac:dyDescent="0.2">
      <c r="A239" s="1285"/>
      <c r="B239" s="1285"/>
      <c r="C239" s="547"/>
      <c r="D239" s="547"/>
      <c r="E239" s="547"/>
      <c r="F239" s="547"/>
      <c r="G239" s="547"/>
      <c r="H239" s="547"/>
      <c r="I239" s="547"/>
      <c r="J239" s="567"/>
      <c r="K239" s="564"/>
      <c r="L239" s="544"/>
      <c r="M239" s="545"/>
    </row>
    <row r="240" spans="1:18" ht="47.25" customHeight="1" x14ac:dyDescent="0.2">
      <c r="A240" s="1285"/>
      <c r="B240" s="1285"/>
      <c r="C240" s="547"/>
      <c r="D240" s="547"/>
      <c r="E240" s="547"/>
      <c r="F240" s="547"/>
      <c r="G240" s="547"/>
      <c r="H240" s="547"/>
      <c r="I240" s="547"/>
      <c r="J240" s="567"/>
      <c r="K240" s="564"/>
      <c r="L240" s="544"/>
      <c r="M240" s="545"/>
    </row>
    <row r="241" spans="1:18" x14ac:dyDescent="0.2">
      <c r="A241" s="567"/>
      <c r="B241" s="567"/>
      <c r="C241" s="558"/>
      <c r="D241" s="558"/>
      <c r="E241" s="558"/>
      <c r="F241" s="558"/>
      <c r="G241" s="558"/>
      <c r="H241" s="558"/>
      <c r="I241" s="558"/>
      <c r="J241" s="558"/>
      <c r="K241" s="561"/>
      <c r="L241" s="568"/>
      <c r="M241" s="565"/>
    </row>
    <row r="243" spans="1:18" x14ac:dyDescent="0.2">
      <c r="A243" s="570"/>
      <c r="B243" s="570"/>
      <c r="C243" s="558"/>
      <c r="D243" s="558"/>
      <c r="E243" s="558"/>
      <c r="F243" s="558"/>
      <c r="G243" s="558"/>
      <c r="H243" s="558"/>
      <c r="I243" s="558"/>
      <c r="J243" s="558"/>
      <c r="K243" s="558"/>
      <c r="L243" s="558"/>
      <c r="M243" s="559"/>
    </row>
    <row r="244" spans="1:18" ht="31.5" customHeight="1" x14ac:dyDescent="0.2">
      <c r="A244" s="592"/>
      <c r="B244" s="592"/>
      <c r="C244" s="182"/>
      <c r="D244" s="182"/>
      <c r="E244" s="182"/>
      <c r="F244" s="182"/>
      <c r="G244" s="182"/>
      <c r="H244" s="182"/>
      <c r="I244" s="182"/>
      <c r="J244" s="182"/>
      <c r="K244" s="182"/>
      <c r="L244" s="182"/>
      <c r="M244" s="182"/>
    </row>
    <row r="245" spans="1:18" ht="18" customHeight="1" x14ac:dyDescent="0.2">
      <c r="A245" s="574"/>
      <c r="B245" s="574"/>
      <c r="C245" s="574"/>
      <c r="D245" s="574"/>
      <c r="E245" s="574"/>
      <c r="F245" s="574"/>
      <c r="G245" s="574"/>
      <c r="H245" s="574"/>
      <c r="I245" s="574"/>
      <c r="J245" s="574"/>
      <c r="K245" s="574"/>
      <c r="L245" s="574"/>
      <c r="M245" s="559"/>
    </row>
    <row r="246" spans="1:18" x14ac:dyDescent="0.2">
      <c r="A246" s="560"/>
      <c r="B246" s="560"/>
      <c r="C246" s="558"/>
      <c r="D246" s="558"/>
      <c r="E246" s="558"/>
      <c r="F246" s="558"/>
      <c r="G246" s="558"/>
      <c r="H246" s="558"/>
      <c r="I246" s="558"/>
      <c r="J246" s="561"/>
      <c r="K246" s="561"/>
      <c r="L246" s="562"/>
      <c r="M246" s="562"/>
    </row>
    <row r="247" spans="1:18" ht="31.5" customHeight="1" x14ac:dyDescent="0.2">
      <c r="A247" s="1286"/>
      <c r="B247" s="1286"/>
      <c r="C247" s="547"/>
      <c r="D247" s="547"/>
      <c r="E247" s="547"/>
      <c r="F247" s="547"/>
      <c r="G247" s="547"/>
      <c r="H247" s="547"/>
      <c r="I247" s="547"/>
      <c r="J247" s="567"/>
      <c r="K247" s="564"/>
      <c r="L247" s="544"/>
      <c r="M247" s="545"/>
      <c r="R247" s="1287"/>
    </row>
    <row r="248" spans="1:18" ht="20.25" customHeight="1" x14ac:dyDescent="0.2">
      <c r="A248" s="1286"/>
      <c r="B248" s="1286"/>
      <c r="C248" s="547"/>
      <c r="D248" s="547"/>
      <c r="E248" s="547"/>
      <c r="F248" s="547"/>
      <c r="G248" s="547"/>
      <c r="H248" s="547"/>
      <c r="I248" s="547"/>
      <c r="J248" s="567"/>
      <c r="K248" s="564"/>
      <c r="L248" s="544"/>
      <c r="M248" s="545"/>
    </row>
    <row r="249" spans="1:18" ht="20.25" customHeight="1" x14ac:dyDescent="0.2">
      <c r="A249" s="1286"/>
      <c r="B249" s="1286"/>
      <c r="C249" s="547"/>
      <c r="D249" s="547"/>
      <c r="E249" s="547"/>
      <c r="F249" s="547"/>
      <c r="G249" s="547"/>
      <c r="H249" s="547"/>
      <c r="I249" s="547"/>
      <c r="J249" s="567"/>
      <c r="K249" s="564"/>
      <c r="L249" s="544"/>
      <c r="M249" s="545"/>
    </row>
    <row r="250" spans="1:18" ht="31.5" customHeight="1" x14ac:dyDescent="0.2">
      <c r="A250" s="1286"/>
      <c r="B250" s="1286"/>
      <c r="C250" s="547"/>
      <c r="D250" s="547"/>
      <c r="E250" s="547"/>
      <c r="F250" s="547"/>
      <c r="G250" s="547"/>
      <c r="H250" s="547"/>
      <c r="I250" s="547"/>
      <c r="J250" s="567"/>
      <c r="K250" s="563"/>
      <c r="L250" s="544"/>
      <c r="M250" s="545"/>
    </row>
    <row r="251" spans="1:18" ht="33.75" customHeight="1" x14ac:dyDescent="0.2">
      <c r="A251" s="1286"/>
      <c r="B251" s="1286"/>
      <c r="C251" s="547"/>
      <c r="D251" s="547"/>
      <c r="E251" s="547"/>
      <c r="F251" s="547"/>
      <c r="G251" s="547"/>
      <c r="H251" s="547"/>
      <c r="I251" s="547"/>
      <c r="J251" s="567"/>
      <c r="K251" s="563"/>
      <c r="L251" s="544"/>
      <c r="M251" s="545"/>
    </row>
    <row r="252" spans="1:18" x14ac:dyDescent="0.2">
      <c r="A252" s="567"/>
      <c r="B252" s="567"/>
      <c r="C252" s="558"/>
      <c r="D252" s="558"/>
      <c r="E252" s="558"/>
      <c r="F252" s="558"/>
      <c r="G252" s="558"/>
      <c r="H252" s="558"/>
      <c r="I252" s="558"/>
      <c r="J252" s="558"/>
      <c r="K252" s="561"/>
      <c r="L252" s="568"/>
      <c r="M252" s="565"/>
    </row>
    <row r="254" spans="1:18" ht="12.75" customHeight="1" x14ac:dyDescent="0.2">
      <c r="A254" s="560"/>
      <c r="B254" s="560"/>
      <c r="C254" s="571"/>
      <c r="D254" s="571"/>
      <c r="E254" s="571"/>
      <c r="F254" s="571"/>
      <c r="G254" s="571"/>
      <c r="H254" s="571"/>
      <c r="I254" s="571"/>
      <c r="J254" s="571"/>
      <c r="K254" s="571"/>
      <c r="L254" s="571"/>
      <c r="M254" s="559"/>
    </row>
    <row r="255" spans="1:18" ht="38.25" customHeight="1" x14ac:dyDescent="0.2">
      <c r="A255" s="573"/>
      <c r="C255" s="595"/>
      <c r="D255" s="595"/>
      <c r="E255" s="595"/>
      <c r="F255" s="595"/>
      <c r="G255" s="595"/>
      <c r="H255" s="595"/>
      <c r="I255" s="595"/>
      <c r="J255" s="595"/>
      <c r="K255" s="595"/>
      <c r="L255" s="595"/>
      <c r="M255" s="595"/>
    </row>
    <row r="256" spans="1:18" ht="18" customHeight="1" x14ac:dyDescent="0.2">
      <c r="A256" s="567"/>
      <c r="B256" s="567"/>
      <c r="C256" s="574"/>
      <c r="D256" s="574"/>
      <c r="E256" s="574"/>
      <c r="F256" s="574"/>
      <c r="G256" s="570"/>
      <c r="H256" s="574"/>
      <c r="I256" s="574"/>
      <c r="J256" s="574"/>
      <c r="K256" s="574"/>
      <c r="L256" s="574"/>
      <c r="M256" s="559"/>
    </row>
    <row r="257" spans="1:13" s="577" customFormat="1" ht="16.5" customHeight="1" x14ac:dyDescent="0.2">
      <c r="A257" s="560"/>
      <c r="B257" s="560"/>
      <c r="C257" s="570"/>
      <c r="D257" s="570"/>
      <c r="E257" s="570"/>
      <c r="F257" s="570"/>
      <c r="G257" s="570"/>
      <c r="H257" s="570"/>
      <c r="I257" s="570"/>
      <c r="J257" s="560"/>
      <c r="K257" s="560"/>
      <c r="L257" s="575"/>
      <c r="M257" s="576"/>
    </row>
    <row r="258" spans="1:13" ht="31.5" customHeight="1" x14ac:dyDescent="0.2">
      <c r="A258" s="551"/>
      <c r="B258" s="551"/>
      <c r="C258" s="592"/>
      <c r="D258" s="592"/>
      <c r="E258" s="592"/>
      <c r="F258" s="592"/>
      <c r="G258" s="592"/>
      <c r="H258" s="592"/>
      <c r="I258" s="592"/>
      <c r="J258" s="567"/>
      <c r="K258" s="548"/>
      <c r="L258" s="578"/>
      <c r="M258" s="578"/>
    </row>
    <row r="259" spans="1:13" ht="48" customHeight="1" x14ac:dyDescent="0.2">
      <c r="A259" s="551"/>
      <c r="B259" s="551"/>
      <c r="C259" s="592"/>
      <c r="D259" s="592"/>
      <c r="E259" s="592"/>
      <c r="F259" s="592"/>
      <c r="G259" s="592"/>
      <c r="H259" s="592"/>
      <c r="I259" s="592"/>
      <c r="J259" s="567"/>
      <c r="K259" s="548"/>
      <c r="L259" s="578"/>
      <c r="M259" s="578"/>
    </row>
    <row r="260" spans="1:13" ht="24" customHeight="1" x14ac:dyDescent="0.2">
      <c r="A260" s="551"/>
      <c r="B260" s="551"/>
      <c r="C260" s="592"/>
      <c r="D260" s="592"/>
      <c r="E260" s="592"/>
      <c r="F260" s="592"/>
      <c r="G260" s="592"/>
      <c r="H260" s="592"/>
      <c r="I260" s="592"/>
      <c r="J260" s="567"/>
      <c r="K260" s="548"/>
      <c r="L260" s="578"/>
      <c r="M260" s="578"/>
    </row>
    <row r="261" spans="1:13" ht="33.75" customHeight="1" x14ac:dyDescent="0.2">
      <c r="A261" s="551"/>
      <c r="B261" s="551"/>
      <c r="C261" s="592"/>
      <c r="D261" s="592"/>
      <c r="E261" s="592"/>
      <c r="F261" s="592"/>
      <c r="G261" s="592"/>
      <c r="H261" s="592"/>
      <c r="I261" s="592"/>
      <c r="J261" s="567"/>
      <c r="K261" s="548"/>
      <c r="L261" s="578"/>
      <c r="M261" s="578"/>
    </row>
    <row r="262" spans="1:13" ht="33.75" customHeight="1" x14ac:dyDescent="0.2">
      <c r="A262" s="551"/>
      <c r="B262" s="551"/>
      <c r="C262" s="592"/>
      <c r="D262" s="592"/>
      <c r="E262" s="592"/>
      <c r="F262" s="592"/>
      <c r="G262" s="592"/>
      <c r="H262" s="592"/>
      <c r="I262" s="592"/>
      <c r="J262" s="567"/>
      <c r="K262" s="548"/>
      <c r="L262" s="578"/>
      <c r="M262" s="578"/>
    </row>
    <row r="263" spans="1:13" ht="35.25" customHeight="1" x14ac:dyDescent="0.2">
      <c r="A263" s="551"/>
      <c r="B263" s="551"/>
      <c r="C263" s="592"/>
      <c r="D263" s="592"/>
      <c r="E263" s="592"/>
      <c r="F263" s="592"/>
      <c r="G263" s="592"/>
      <c r="H263" s="592"/>
      <c r="I263" s="592"/>
      <c r="J263" s="567"/>
      <c r="K263" s="548"/>
      <c r="L263" s="578"/>
      <c r="M263" s="578"/>
    </row>
    <row r="264" spans="1:13" ht="45.75" customHeight="1" x14ac:dyDescent="0.2">
      <c r="A264" s="551"/>
      <c r="B264" s="551"/>
      <c r="C264" s="592"/>
      <c r="D264" s="592"/>
      <c r="E264" s="592"/>
      <c r="F264" s="592"/>
      <c r="G264" s="592"/>
      <c r="H264" s="592"/>
      <c r="I264" s="592"/>
      <c r="J264" s="567"/>
      <c r="K264" s="548"/>
      <c r="L264" s="578"/>
      <c r="M264" s="578"/>
    </row>
    <row r="265" spans="1:13" ht="45" customHeight="1" x14ac:dyDescent="0.2">
      <c r="A265" s="551"/>
      <c r="B265" s="551"/>
      <c r="C265" s="592"/>
      <c r="D265" s="592"/>
      <c r="E265" s="592"/>
      <c r="F265" s="592"/>
      <c r="G265" s="592"/>
      <c r="H265" s="592"/>
      <c r="I265" s="592"/>
      <c r="J265" s="567"/>
      <c r="K265" s="548"/>
      <c r="L265" s="578"/>
      <c r="M265" s="578"/>
    </row>
    <row r="266" spans="1:13" ht="45" customHeight="1" x14ac:dyDescent="0.2">
      <c r="A266" s="551"/>
      <c r="B266" s="551"/>
      <c r="C266" s="592"/>
      <c r="D266" s="592"/>
      <c r="E266" s="592"/>
      <c r="F266" s="592"/>
      <c r="G266" s="592"/>
      <c r="H266" s="592"/>
      <c r="I266" s="592"/>
      <c r="J266" s="567"/>
      <c r="K266" s="548"/>
      <c r="L266" s="578"/>
      <c r="M266" s="578"/>
    </row>
    <row r="267" spans="1:13" ht="34.5" customHeight="1" x14ac:dyDescent="0.2">
      <c r="A267" s="551"/>
      <c r="B267" s="551"/>
      <c r="C267" s="592"/>
      <c r="D267" s="592"/>
      <c r="E267" s="592"/>
      <c r="F267" s="592"/>
      <c r="G267" s="592"/>
      <c r="H267" s="592"/>
      <c r="I267" s="592"/>
      <c r="J267" s="567"/>
      <c r="K267" s="548"/>
      <c r="L267" s="578"/>
      <c r="M267" s="578"/>
    </row>
    <row r="268" spans="1:13" ht="24" customHeight="1" x14ac:dyDescent="0.2">
      <c r="A268" s="551"/>
      <c r="B268" s="551"/>
      <c r="C268" s="592"/>
      <c r="D268" s="592"/>
      <c r="E268" s="592"/>
      <c r="F268" s="592"/>
      <c r="G268" s="592"/>
      <c r="H268" s="592"/>
      <c r="I268" s="592"/>
      <c r="J268" s="567"/>
      <c r="K268" s="548"/>
      <c r="L268" s="578"/>
      <c r="M268" s="578"/>
    </row>
    <row r="269" spans="1:13" ht="24" customHeight="1" x14ac:dyDescent="0.2">
      <c r="A269" s="551"/>
      <c r="B269" s="551"/>
      <c r="C269" s="592"/>
      <c r="D269" s="592"/>
      <c r="E269" s="592"/>
      <c r="F269" s="592"/>
      <c r="G269" s="592"/>
      <c r="H269" s="592"/>
      <c r="I269" s="592"/>
      <c r="J269" s="567"/>
      <c r="K269" s="548"/>
      <c r="L269" s="578"/>
      <c r="M269" s="578"/>
    </row>
    <row r="270" spans="1:13" ht="24" customHeight="1" x14ac:dyDescent="0.2">
      <c r="A270" s="551"/>
      <c r="B270" s="551"/>
      <c r="C270" s="592"/>
      <c r="D270" s="592"/>
      <c r="E270" s="592"/>
      <c r="F270" s="592"/>
      <c r="G270" s="592"/>
      <c r="H270" s="592"/>
      <c r="I270" s="592"/>
      <c r="J270" s="567"/>
      <c r="K270" s="548"/>
      <c r="L270" s="578"/>
      <c r="M270" s="578"/>
    </row>
    <row r="271" spans="1:13" ht="34.5" customHeight="1" x14ac:dyDescent="0.2">
      <c r="A271" s="551"/>
      <c r="B271" s="551"/>
      <c r="C271" s="592"/>
      <c r="D271" s="592"/>
      <c r="E271" s="592"/>
      <c r="F271" s="592"/>
      <c r="G271" s="592"/>
      <c r="H271" s="592"/>
      <c r="I271" s="592"/>
      <c r="J271" s="567"/>
      <c r="K271" s="548"/>
      <c r="L271" s="578"/>
      <c r="M271" s="578"/>
    </row>
    <row r="272" spans="1:13" ht="25.5" customHeight="1" x14ac:dyDescent="0.2">
      <c r="A272" s="551"/>
      <c r="B272" s="551"/>
      <c r="C272" s="592"/>
      <c r="D272" s="592"/>
      <c r="E272" s="592"/>
      <c r="F272" s="592"/>
      <c r="G272" s="592"/>
      <c r="H272" s="592"/>
      <c r="I272" s="592"/>
      <c r="J272" s="567"/>
      <c r="K272" s="548"/>
      <c r="L272" s="578"/>
      <c r="M272" s="578"/>
    </row>
    <row r="273" spans="1:13" ht="12.75" customHeight="1" x14ac:dyDescent="0.2">
      <c r="A273" s="567"/>
      <c r="B273" s="567"/>
      <c r="C273" s="558"/>
      <c r="D273" s="558"/>
      <c r="E273" s="558"/>
      <c r="F273" s="558"/>
      <c r="G273" s="558"/>
      <c r="H273" s="558"/>
      <c r="I273" s="558"/>
      <c r="J273" s="558"/>
      <c r="K273" s="561"/>
      <c r="L273" s="575"/>
      <c r="M273" s="579"/>
    </row>
    <row r="274" spans="1:13" ht="12.75" customHeight="1" x14ac:dyDescent="0.2">
      <c r="A274" s="556"/>
      <c r="B274" s="556"/>
      <c r="C274" s="557"/>
      <c r="D274" s="557"/>
      <c r="E274" s="557"/>
      <c r="F274" s="557"/>
      <c r="G274" s="557"/>
      <c r="H274" s="557"/>
      <c r="I274" s="557"/>
      <c r="J274" s="557"/>
      <c r="K274" s="557"/>
      <c r="L274" s="557"/>
      <c r="M274" s="557"/>
    </row>
    <row r="275" spans="1:13" ht="15.75" customHeight="1" x14ac:dyDescent="0.2">
      <c r="A275" s="590"/>
      <c r="B275" s="590"/>
      <c r="C275" s="590"/>
      <c r="D275" s="590"/>
      <c r="E275" s="590"/>
      <c r="F275" s="590"/>
      <c r="G275" s="590"/>
      <c r="H275" s="590"/>
      <c r="I275" s="590"/>
      <c r="J275" s="590"/>
      <c r="K275" s="590"/>
      <c r="L275" s="590"/>
      <c r="M275" s="590"/>
    </row>
    <row r="276" spans="1:13" x14ac:dyDescent="0.2">
      <c r="A276" s="567"/>
      <c r="B276" s="561"/>
      <c r="C276" s="561"/>
      <c r="D276" s="561"/>
      <c r="E276" s="561"/>
      <c r="H276" s="561"/>
      <c r="I276" s="561"/>
      <c r="J276" s="561"/>
      <c r="K276" s="568"/>
      <c r="L276" s="565"/>
    </row>
    <row r="277" spans="1:13" ht="16.5" customHeight="1" x14ac:dyDescent="0.2">
      <c r="A277" s="572"/>
      <c r="B277" s="1288"/>
      <c r="C277" s="561"/>
      <c r="D277" s="561"/>
      <c r="E277" s="561"/>
      <c r="F277" s="1289"/>
      <c r="G277" s="1289"/>
      <c r="H277" s="1288"/>
      <c r="I277" s="561"/>
      <c r="J277" s="561"/>
      <c r="K277" s="561"/>
      <c r="L277" s="561"/>
      <c r="M277" s="1289"/>
    </row>
    <row r="278" spans="1:13" ht="22.5" customHeight="1" x14ac:dyDescent="0.2">
      <c r="A278" s="560"/>
      <c r="B278" s="560"/>
      <c r="C278" s="560"/>
      <c r="D278" s="560"/>
      <c r="E278" s="560"/>
      <c r="F278" s="568"/>
      <c r="G278" s="1289"/>
      <c r="H278" s="560"/>
      <c r="I278" s="560"/>
      <c r="J278" s="560"/>
      <c r="K278" s="560"/>
      <c r="L278" s="560"/>
      <c r="M278" s="568"/>
    </row>
    <row r="279" spans="1:13" ht="17.25" customHeight="1" x14ac:dyDescent="0.2">
      <c r="A279" s="1290"/>
      <c r="B279" s="548"/>
      <c r="C279" s="567"/>
      <c r="D279" s="548"/>
      <c r="E279" s="567"/>
      <c r="F279" s="1291"/>
      <c r="G279" s="1289"/>
      <c r="H279" s="1290"/>
      <c r="I279" s="548"/>
      <c r="J279" s="567"/>
      <c r="K279" s="548"/>
      <c r="L279" s="567"/>
      <c r="M279" s="1291"/>
    </row>
    <row r="280" spans="1:13" ht="16.5" customHeight="1" x14ac:dyDescent="0.2">
      <c r="A280" s="572"/>
      <c r="B280" s="570"/>
      <c r="C280" s="570"/>
      <c r="D280" s="570"/>
      <c r="E280" s="570"/>
      <c r="F280" s="1291"/>
      <c r="G280" s="1289"/>
      <c r="H280" s="570"/>
      <c r="I280" s="570"/>
      <c r="J280" s="570"/>
      <c r="K280" s="570"/>
      <c r="L280" s="570"/>
      <c r="M280" s="1291"/>
    </row>
    <row r="281" spans="1:13" x14ac:dyDescent="0.2">
      <c r="A281" s="567"/>
      <c r="B281" s="567"/>
      <c r="C281" s="561"/>
      <c r="D281" s="561"/>
      <c r="E281" s="561"/>
      <c r="F281" s="1289"/>
      <c r="G281" s="1289"/>
      <c r="H281" s="567"/>
      <c r="I281" s="567"/>
      <c r="J281" s="561"/>
      <c r="K281" s="561"/>
      <c r="L281" s="561"/>
      <c r="M281" s="1289"/>
    </row>
    <row r="282" spans="1:13" ht="16.5" customHeight="1" x14ac:dyDescent="0.2">
      <c r="A282" s="574"/>
      <c r="B282" s="574"/>
      <c r="C282" s="574"/>
      <c r="D282" s="574"/>
      <c r="E282" s="561"/>
      <c r="F282" s="1289"/>
      <c r="G282" s="1289"/>
      <c r="H282" s="574"/>
      <c r="I282" s="574"/>
      <c r="J282" s="574"/>
      <c r="K282" s="574"/>
      <c r="L282" s="574"/>
      <c r="M282" s="1289"/>
    </row>
    <row r="283" spans="1:13" ht="30" customHeight="1" x14ac:dyDescent="0.2">
      <c r="A283" s="560"/>
      <c r="B283" s="560"/>
      <c r="C283" s="560"/>
      <c r="D283" s="560"/>
      <c r="E283" s="560"/>
      <c r="F283" s="580"/>
      <c r="G283" s="560"/>
      <c r="H283" s="568"/>
      <c r="I283" s="560"/>
      <c r="J283" s="560"/>
      <c r="K283" s="560"/>
      <c r="L283" s="560"/>
      <c r="M283" s="568"/>
    </row>
    <row r="284" spans="1:13" ht="17.25" customHeight="1" x14ac:dyDescent="0.2">
      <c r="A284" s="1292"/>
      <c r="B284" s="1293"/>
      <c r="C284" s="567"/>
      <c r="D284" s="1293"/>
      <c r="E284" s="567"/>
      <c r="F284" s="548"/>
      <c r="G284" s="567"/>
      <c r="H284" s="1291"/>
      <c r="I284" s="548"/>
      <c r="J284" s="567"/>
      <c r="K284" s="548"/>
      <c r="L284" s="567"/>
      <c r="M284" s="1291"/>
    </row>
    <row r="285" spans="1:13" ht="17.25" customHeight="1" x14ac:dyDescent="0.2">
      <c r="A285" s="1292"/>
      <c r="B285" s="1293"/>
      <c r="C285" s="567"/>
      <c r="D285" s="1293"/>
      <c r="E285" s="567"/>
      <c r="F285" s="548"/>
      <c r="G285" s="567"/>
      <c r="H285" s="1291"/>
      <c r="I285" s="548"/>
      <c r="J285" s="567"/>
      <c r="K285" s="548"/>
      <c r="L285" s="567"/>
      <c r="M285" s="1291"/>
    </row>
    <row r="286" spans="1:13" ht="17.25" customHeight="1" x14ac:dyDescent="0.2">
      <c r="A286" s="1292"/>
      <c r="B286" s="1293"/>
      <c r="C286" s="567"/>
      <c r="D286" s="1293"/>
      <c r="E286" s="567"/>
      <c r="F286" s="548"/>
      <c r="G286" s="567"/>
      <c r="H286" s="1291"/>
      <c r="I286" s="548"/>
      <c r="J286" s="567"/>
      <c r="K286" s="548"/>
      <c r="L286" s="567"/>
      <c r="M286" s="1291"/>
    </row>
    <row r="287" spans="1:13" ht="17.25" customHeight="1" x14ac:dyDescent="0.2">
      <c r="A287" s="1292"/>
      <c r="B287" s="1294"/>
      <c r="C287" s="567"/>
      <c r="D287" s="1293"/>
      <c r="E287" s="567"/>
      <c r="F287" s="548"/>
      <c r="G287" s="567"/>
      <c r="H287" s="1291"/>
      <c r="I287" s="548"/>
      <c r="J287" s="567"/>
      <c r="K287" s="548"/>
      <c r="L287" s="567"/>
      <c r="M287" s="1291"/>
    </row>
    <row r="288" spans="1:13" ht="16.5" customHeight="1" x14ac:dyDescent="0.2">
      <c r="A288" s="570"/>
      <c r="B288" s="570"/>
      <c r="C288" s="570"/>
      <c r="D288" s="570"/>
      <c r="E288" s="570"/>
      <c r="F288" s="570"/>
      <c r="G288" s="570"/>
      <c r="H288" s="1291"/>
    </row>
    <row r="289" spans="1:13" ht="12.75" customHeight="1" x14ac:dyDescent="0.2">
      <c r="A289" s="556"/>
      <c r="B289" s="556"/>
      <c r="C289" s="557"/>
      <c r="D289" s="557"/>
      <c r="E289" s="557"/>
      <c r="F289" s="557"/>
      <c r="G289" s="557"/>
      <c r="H289" s="557"/>
      <c r="I289" s="557"/>
      <c r="J289" s="557"/>
      <c r="K289" s="557"/>
      <c r="L289" s="557"/>
      <c r="M289" s="557"/>
    </row>
    <row r="290" spans="1:13" ht="12.75" customHeight="1" x14ac:dyDescent="0.2">
      <c r="A290" s="560"/>
      <c r="B290" s="560"/>
      <c r="C290" s="571"/>
      <c r="D290" s="571"/>
      <c r="E290" s="571"/>
      <c r="F290" s="571"/>
      <c r="G290" s="571"/>
      <c r="H290" s="571"/>
      <c r="I290" s="571"/>
      <c r="J290" s="571"/>
      <c r="K290" s="571"/>
      <c r="L290" s="571"/>
      <c r="M290" s="559"/>
    </row>
    <row r="291" spans="1:13" ht="35.25" customHeight="1" x14ac:dyDescent="0.2">
      <c r="A291" s="573"/>
      <c r="C291" s="595"/>
      <c r="D291" s="595"/>
      <c r="E291" s="595"/>
      <c r="F291" s="595"/>
      <c r="G291" s="595"/>
      <c r="H291" s="595"/>
      <c r="I291" s="595"/>
      <c r="J291" s="595"/>
      <c r="K291" s="595"/>
      <c r="L291" s="595"/>
      <c r="M291" s="595"/>
    </row>
    <row r="292" spans="1:13" ht="18" customHeight="1" x14ac:dyDescent="0.2">
      <c r="A292" s="567"/>
      <c r="B292" s="567"/>
      <c r="C292" s="574"/>
      <c r="D292" s="574"/>
      <c r="E292" s="574"/>
      <c r="F292" s="574"/>
      <c r="G292" s="570"/>
      <c r="H292" s="574"/>
      <c r="I292" s="574"/>
      <c r="J292" s="574"/>
      <c r="K292" s="574"/>
      <c r="L292" s="574"/>
      <c r="M292" s="559"/>
    </row>
    <row r="293" spans="1:13" s="577" customFormat="1" ht="16.5" customHeight="1" x14ac:dyDescent="0.2">
      <c r="A293" s="560"/>
      <c r="B293" s="560"/>
      <c r="C293" s="570"/>
      <c r="D293" s="570"/>
      <c r="E293" s="570"/>
      <c r="F293" s="570"/>
      <c r="G293" s="570"/>
      <c r="H293" s="570"/>
      <c r="I293" s="570"/>
      <c r="J293" s="560"/>
      <c r="K293" s="560"/>
      <c r="L293" s="575"/>
      <c r="M293" s="576"/>
    </row>
    <row r="294" spans="1:13" ht="48" customHeight="1" x14ac:dyDescent="0.2">
      <c r="A294" s="551"/>
      <c r="B294" s="551"/>
      <c r="C294" s="592"/>
      <c r="D294" s="592"/>
      <c r="E294" s="592"/>
      <c r="F294" s="592"/>
      <c r="G294" s="592"/>
      <c r="H294" s="592"/>
      <c r="I294" s="592"/>
      <c r="J294" s="567"/>
      <c r="K294" s="548"/>
      <c r="L294" s="578"/>
      <c r="M294" s="578"/>
    </row>
    <row r="295" spans="1:13" ht="37.5" customHeight="1" x14ac:dyDescent="0.2">
      <c r="A295" s="551"/>
      <c r="B295" s="551"/>
      <c r="C295" s="592"/>
      <c r="D295" s="592"/>
      <c r="E295" s="592"/>
      <c r="F295" s="592"/>
      <c r="G295" s="592"/>
      <c r="H295" s="592"/>
      <c r="I295" s="592"/>
      <c r="J295" s="567"/>
      <c r="K295" s="548"/>
      <c r="L295" s="578"/>
      <c r="M295" s="578"/>
    </row>
    <row r="296" spans="1:13" ht="54" customHeight="1" x14ac:dyDescent="0.2">
      <c r="A296" s="551"/>
      <c r="B296" s="551"/>
      <c r="C296" s="592"/>
      <c r="D296" s="592"/>
      <c r="E296" s="592"/>
      <c r="F296" s="592"/>
      <c r="G296" s="592"/>
      <c r="H296" s="592"/>
      <c r="I296" s="592"/>
      <c r="J296" s="567"/>
      <c r="K296" s="548"/>
      <c r="L296" s="578"/>
      <c r="M296" s="578"/>
    </row>
    <row r="297" spans="1:13" ht="45.75" customHeight="1" x14ac:dyDescent="0.2">
      <c r="A297" s="551"/>
      <c r="B297" s="551"/>
      <c r="C297" s="592"/>
      <c r="D297" s="592"/>
      <c r="E297" s="592"/>
      <c r="F297" s="592"/>
      <c r="G297" s="592"/>
      <c r="H297" s="592"/>
      <c r="I297" s="592"/>
      <c r="J297" s="1272"/>
      <c r="K297" s="548"/>
      <c r="L297" s="578"/>
      <c r="M297" s="578"/>
    </row>
    <row r="298" spans="1:13" ht="65.25" customHeight="1" x14ac:dyDescent="0.2">
      <c r="A298" s="551"/>
      <c r="B298" s="551"/>
      <c r="C298" s="592"/>
      <c r="D298" s="592"/>
      <c r="E298" s="592"/>
      <c r="F298" s="592"/>
      <c r="G298" s="592"/>
      <c r="H298" s="592"/>
      <c r="I298" s="592"/>
      <c r="J298" s="1272"/>
      <c r="K298" s="548"/>
      <c r="L298" s="578"/>
      <c r="M298" s="578"/>
    </row>
    <row r="299" spans="1:13" ht="44.25" customHeight="1" x14ac:dyDescent="0.2">
      <c r="A299" s="551"/>
      <c r="B299" s="551"/>
      <c r="C299" s="592"/>
      <c r="D299" s="592"/>
      <c r="E299" s="592"/>
      <c r="F299" s="592"/>
      <c r="G299" s="592"/>
      <c r="H299" s="592"/>
      <c r="I299" s="592"/>
      <c r="J299" s="1272"/>
      <c r="K299" s="548"/>
      <c r="L299" s="578"/>
      <c r="M299" s="578"/>
    </row>
    <row r="300" spans="1:13" ht="31.5" customHeight="1" x14ac:dyDescent="0.2">
      <c r="A300" s="551"/>
      <c r="B300" s="551"/>
      <c r="C300" s="592"/>
      <c r="D300" s="592"/>
      <c r="E300" s="592"/>
      <c r="F300" s="592"/>
      <c r="G300" s="592"/>
      <c r="H300" s="592"/>
      <c r="I300" s="592"/>
      <c r="J300" s="567"/>
      <c r="K300" s="548"/>
      <c r="L300" s="578"/>
      <c r="M300" s="578"/>
    </row>
    <row r="301" spans="1:13" ht="34.5" customHeight="1" x14ac:dyDescent="0.2">
      <c r="A301" s="551"/>
      <c r="B301" s="551"/>
      <c r="C301" s="592"/>
      <c r="D301" s="592"/>
      <c r="E301" s="592"/>
      <c r="F301" s="592"/>
      <c r="G301" s="592"/>
      <c r="H301" s="592"/>
      <c r="I301" s="592"/>
      <c r="J301" s="567"/>
      <c r="K301" s="548"/>
      <c r="L301" s="578"/>
      <c r="M301" s="578"/>
    </row>
    <row r="302" spans="1:13" ht="24" customHeight="1" x14ac:dyDescent="0.2">
      <c r="A302" s="551"/>
      <c r="B302" s="551"/>
      <c r="C302" s="592"/>
      <c r="D302" s="592"/>
      <c r="E302" s="592"/>
      <c r="F302" s="592"/>
      <c r="G302" s="592"/>
      <c r="H302" s="592"/>
      <c r="I302" s="592"/>
      <c r="J302" s="567"/>
      <c r="K302" s="548"/>
      <c r="L302" s="578"/>
      <c r="M302" s="578"/>
    </row>
    <row r="303" spans="1:13" ht="33.75" customHeight="1" x14ac:dyDescent="0.2">
      <c r="A303" s="551"/>
      <c r="B303" s="551"/>
      <c r="C303" s="592"/>
      <c r="D303" s="592"/>
      <c r="E303" s="592"/>
      <c r="F303" s="592"/>
      <c r="G303" s="592"/>
      <c r="H303" s="592"/>
      <c r="I303" s="592"/>
      <c r="J303" s="567"/>
      <c r="K303" s="548"/>
      <c r="L303" s="578"/>
      <c r="M303" s="578"/>
    </row>
    <row r="304" spans="1:13" ht="33.75" customHeight="1" x14ac:dyDescent="0.2">
      <c r="A304" s="551"/>
      <c r="B304" s="551"/>
      <c r="C304" s="592"/>
      <c r="D304" s="592"/>
      <c r="E304" s="592"/>
      <c r="F304" s="592"/>
      <c r="G304" s="592"/>
      <c r="H304" s="592"/>
      <c r="I304" s="592"/>
      <c r="J304" s="567"/>
      <c r="K304" s="548"/>
      <c r="L304" s="578"/>
      <c r="M304" s="578"/>
    </row>
    <row r="305" spans="1:13" ht="35.25" customHeight="1" x14ac:dyDescent="0.2">
      <c r="A305" s="551"/>
      <c r="B305" s="551"/>
      <c r="C305" s="592"/>
      <c r="D305" s="592"/>
      <c r="E305" s="592"/>
      <c r="F305" s="592"/>
      <c r="G305" s="592"/>
      <c r="H305" s="592"/>
      <c r="I305" s="592"/>
      <c r="J305" s="567"/>
      <c r="K305" s="548"/>
      <c r="L305" s="578"/>
      <c r="M305" s="578"/>
    </row>
    <row r="306" spans="1:13" ht="45.75" customHeight="1" x14ac:dyDescent="0.2">
      <c r="A306" s="551"/>
      <c r="B306" s="551"/>
      <c r="C306" s="592"/>
      <c r="D306" s="592"/>
      <c r="E306" s="592"/>
      <c r="F306" s="592"/>
      <c r="G306" s="592"/>
      <c r="H306" s="592"/>
      <c r="I306" s="592"/>
      <c r="J306" s="567"/>
      <c r="K306" s="548"/>
      <c r="L306" s="578"/>
      <c r="M306" s="578"/>
    </row>
    <row r="307" spans="1:13" ht="45" customHeight="1" x14ac:dyDescent="0.2">
      <c r="A307" s="551"/>
      <c r="B307" s="551"/>
      <c r="C307" s="592"/>
      <c r="D307" s="592"/>
      <c r="E307" s="592"/>
      <c r="F307" s="592"/>
      <c r="G307" s="592"/>
      <c r="H307" s="592"/>
      <c r="I307" s="592"/>
      <c r="J307" s="567"/>
      <c r="K307" s="548"/>
      <c r="L307" s="578"/>
      <c r="M307" s="578"/>
    </row>
    <row r="308" spans="1:13" ht="45" customHeight="1" x14ac:dyDescent="0.2">
      <c r="A308" s="551"/>
      <c r="B308" s="551"/>
      <c r="C308" s="592"/>
      <c r="D308" s="592"/>
      <c r="E308" s="592"/>
      <c r="F308" s="592"/>
      <c r="G308" s="592"/>
      <c r="H308" s="592"/>
      <c r="I308" s="592"/>
      <c r="J308" s="567"/>
      <c r="K308" s="548"/>
      <c r="L308" s="578"/>
      <c r="M308" s="578"/>
    </row>
    <row r="309" spans="1:13" ht="34.5" customHeight="1" x14ac:dyDescent="0.2">
      <c r="A309" s="551"/>
      <c r="B309" s="551"/>
      <c r="C309" s="592"/>
      <c r="D309" s="592"/>
      <c r="E309" s="592"/>
      <c r="F309" s="592"/>
      <c r="G309" s="592"/>
      <c r="H309" s="592"/>
      <c r="I309" s="592"/>
      <c r="J309" s="567"/>
      <c r="K309" s="548"/>
      <c r="L309" s="578"/>
      <c r="M309" s="578"/>
    </row>
    <row r="310" spans="1:13" ht="24" customHeight="1" x14ac:dyDescent="0.2">
      <c r="A310" s="551"/>
      <c r="B310" s="551"/>
      <c r="C310" s="592"/>
      <c r="D310" s="592"/>
      <c r="E310" s="592"/>
      <c r="F310" s="592"/>
      <c r="G310" s="592"/>
      <c r="H310" s="592"/>
      <c r="I310" s="592"/>
      <c r="J310" s="567"/>
      <c r="K310" s="548"/>
      <c r="L310" s="578"/>
      <c r="M310" s="578"/>
    </row>
    <row r="311" spans="1:13" ht="24" customHeight="1" x14ac:dyDescent="0.2">
      <c r="A311" s="551"/>
      <c r="B311" s="551"/>
      <c r="C311" s="592"/>
      <c r="D311" s="592"/>
      <c r="E311" s="592"/>
      <c r="F311" s="592"/>
      <c r="G311" s="592"/>
      <c r="H311" s="592"/>
      <c r="I311" s="592"/>
      <c r="J311" s="567"/>
      <c r="K311" s="548"/>
      <c r="L311" s="578"/>
      <c r="M311" s="578"/>
    </row>
    <row r="312" spans="1:13" ht="24" customHeight="1" x14ac:dyDescent="0.2">
      <c r="A312" s="551"/>
      <c r="B312" s="551"/>
      <c r="C312" s="592"/>
      <c r="D312" s="592"/>
      <c r="E312" s="592"/>
      <c r="F312" s="592"/>
      <c r="G312" s="592"/>
      <c r="H312" s="592"/>
      <c r="I312" s="592"/>
      <c r="J312" s="567"/>
      <c r="K312" s="548"/>
      <c r="L312" s="578"/>
      <c r="M312" s="578"/>
    </row>
    <row r="313" spans="1:13" ht="34.5" customHeight="1" x14ac:dyDescent="0.2">
      <c r="A313" s="551"/>
      <c r="B313" s="551"/>
      <c r="C313" s="592"/>
      <c r="D313" s="592"/>
      <c r="E313" s="592"/>
      <c r="F313" s="592"/>
      <c r="G313" s="592"/>
      <c r="H313" s="592"/>
      <c r="I313" s="592"/>
      <c r="J313" s="567"/>
      <c r="K313" s="548"/>
      <c r="L313" s="578"/>
      <c r="M313" s="578"/>
    </row>
    <row r="314" spans="1:13" ht="25.5" customHeight="1" x14ac:dyDescent="0.2">
      <c r="A314" s="551"/>
      <c r="B314" s="551"/>
      <c r="C314" s="592"/>
      <c r="D314" s="592"/>
      <c r="E314" s="592"/>
      <c r="F314" s="592"/>
      <c r="G314" s="592"/>
      <c r="H314" s="592"/>
      <c r="I314" s="592"/>
      <c r="J314" s="567"/>
      <c r="K314" s="548"/>
      <c r="L314" s="578"/>
      <c r="M314" s="578"/>
    </row>
    <row r="315" spans="1:13" ht="12.75" customHeight="1" x14ac:dyDescent="0.2">
      <c r="A315" s="567"/>
      <c r="B315" s="567"/>
      <c r="C315" s="558"/>
      <c r="D315" s="558"/>
      <c r="E315" s="558"/>
      <c r="F315" s="558"/>
      <c r="G315" s="558"/>
      <c r="H315" s="558"/>
      <c r="I315" s="558"/>
      <c r="J315" s="558"/>
      <c r="K315" s="561"/>
      <c r="L315" s="575"/>
      <c r="M315" s="579"/>
    </row>
    <row r="316" spans="1:13" ht="12.75" customHeight="1" x14ac:dyDescent="0.2">
      <c r="A316" s="556"/>
      <c r="B316" s="556"/>
      <c r="C316" s="557"/>
      <c r="D316" s="557"/>
      <c r="E316" s="557"/>
      <c r="F316" s="557"/>
      <c r="G316" s="557"/>
      <c r="H316" s="557"/>
      <c r="I316" s="557"/>
      <c r="J316" s="557"/>
      <c r="K316" s="557"/>
      <c r="L316" s="557"/>
      <c r="M316" s="557"/>
    </row>
    <row r="317" spans="1:13" ht="12.75" customHeight="1" x14ac:dyDescent="0.2">
      <c r="A317" s="560"/>
      <c r="B317" s="560"/>
      <c r="C317" s="571"/>
      <c r="D317" s="571"/>
      <c r="E317" s="571"/>
      <c r="F317" s="571"/>
      <c r="G317" s="571"/>
      <c r="H317" s="571"/>
      <c r="I317" s="571"/>
      <c r="J317" s="571"/>
      <c r="K317" s="571"/>
      <c r="L317" s="571"/>
      <c r="M317" s="559"/>
    </row>
    <row r="318" spans="1:13" ht="38.25" customHeight="1" x14ac:dyDescent="0.2">
      <c r="A318" s="595"/>
      <c r="B318" s="595"/>
      <c r="C318" s="595"/>
      <c r="D318" s="595"/>
      <c r="E318" s="595"/>
      <c r="F318" s="595"/>
      <c r="G318" s="595"/>
      <c r="H318" s="595"/>
      <c r="I318" s="595"/>
      <c r="J318" s="595"/>
      <c r="K318" s="595"/>
      <c r="L318" s="595"/>
      <c r="M318" s="595"/>
    </row>
    <row r="319" spans="1:13" ht="18" customHeight="1" x14ac:dyDescent="0.2">
      <c r="A319" s="567"/>
      <c r="B319" s="567"/>
      <c r="C319" s="574"/>
      <c r="D319" s="574"/>
      <c r="E319" s="574"/>
      <c r="F319" s="574"/>
      <c r="G319" s="570"/>
      <c r="H319" s="574"/>
      <c r="I319" s="574"/>
      <c r="J319" s="574"/>
      <c r="K319" s="574"/>
      <c r="L319" s="574"/>
      <c r="M319" s="559"/>
    </row>
    <row r="320" spans="1:13" s="577" customFormat="1" ht="16.5" customHeight="1" x14ac:dyDescent="0.2">
      <c r="A320" s="560"/>
      <c r="B320" s="560"/>
      <c r="C320" s="570"/>
      <c r="D320" s="570"/>
      <c r="E320" s="570"/>
      <c r="F320" s="570"/>
      <c r="G320" s="570"/>
      <c r="H320" s="570"/>
      <c r="I320" s="570"/>
      <c r="J320" s="560"/>
      <c r="K320" s="560"/>
      <c r="L320" s="575"/>
      <c r="M320" s="576"/>
    </row>
    <row r="321" spans="1:13" ht="31.5" customHeight="1" x14ac:dyDescent="0.2">
      <c r="A321" s="551"/>
      <c r="B321" s="551"/>
      <c r="C321" s="592"/>
      <c r="D321" s="592"/>
      <c r="E321" s="592"/>
      <c r="F321" s="592"/>
      <c r="G321" s="592"/>
      <c r="H321" s="592"/>
      <c r="I321" s="592"/>
      <c r="J321" s="567"/>
      <c r="K321" s="548"/>
      <c r="L321" s="578"/>
      <c r="M321" s="578"/>
    </row>
    <row r="322" spans="1:13" ht="33.75" customHeight="1" x14ac:dyDescent="0.2">
      <c r="A322" s="551"/>
      <c r="B322" s="551"/>
      <c r="C322" s="592"/>
      <c r="D322" s="592"/>
      <c r="E322" s="592"/>
      <c r="F322" s="592"/>
      <c r="G322" s="592"/>
      <c r="H322" s="592"/>
      <c r="I322" s="592"/>
      <c r="J322" s="567"/>
      <c r="K322" s="548"/>
      <c r="L322" s="578"/>
      <c r="M322" s="578"/>
    </row>
    <row r="323" spans="1:13" ht="33.75" customHeight="1" x14ac:dyDescent="0.2">
      <c r="A323" s="551"/>
      <c r="B323" s="551"/>
      <c r="C323" s="592"/>
      <c r="D323" s="592"/>
      <c r="E323" s="592"/>
      <c r="F323" s="592"/>
      <c r="G323" s="592"/>
      <c r="H323" s="592"/>
      <c r="I323" s="592"/>
      <c r="J323" s="567"/>
      <c r="K323" s="548"/>
      <c r="L323" s="578"/>
      <c r="M323" s="578"/>
    </row>
    <row r="324" spans="1:13" ht="35.25" customHeight="1" x14ac:dyDescent="0.2">
      <c r="A324" s="551"/>
      <c r="B324" s="551"/>
      <c r="C324" s="592"/>
      <c r="D324" s="592"/>
      <c r="E324" s="592"/>
      <c r="F324" s="592"/>
      <c r="G324" s="592"/>
      <c r="H324" s="592"/>
      <c r="I324" s="592"/>
      <c r="J324" s="567"/>
      <c r="K324" s="548"/>
      <c r="L324" s="578"/>
      <c r="M324" s="578"/>
    </row>
    <row r="325" spans="1:13" ht="45.75" customHeight="1" x14ac:dyDescent="0.2">
      <c r="A325" s="551"/>
      <c r="B325" s="551"/>
      <c r="C325" s="592"/>
      <c r="D325" s="592"/>
      <c r="E325" s="592"/>
      <c r="F325" s="592"/>
      <c r="G325" s="592"/>
      <c r="H325" s="592"/>
      <c r="I325" s="592"/>
      <c r="J325" s="567"/>
      <c r="K325" s="548"/>
      <c r="L325" s="578"/>
      <c r="M325" s="578"/>
    </row>
    <row r="326" spans="1:13" ht="45" customHeight="1" x14ac:dyDescent="0.2">
      <c r="A326" s="551"/>
      <c r="B326" s="551"/>
      <c r="C326" s="592"/>
      <c r="D326" s="592"/>
      <c r="E326" s="592"/>
      <c r="F326" s="592"/>
      <c r="G326" s="592"/>
      <c r="H326" s="592"/>
      <c r="I326" s="592"/>
      <c r="J326" s="567"/>
      <c r="K326" s="548"/>
      <c r="L326" s="578"/>
      <c r="M326" s="578"/>
    </row>
    <row r="327" spans="1:13" ht="45" customHeight="1" x14ac:dyDescent="0.2">
      <c r="A327" s="551"/>
      <c r="B327" s="551"/>
      <c r="C327" s="592"/>
      <c r="D327" s="592"/>
      <c r="E327" s="592"/>
      <c r="F327" s="592"/>
      <c r="G327" s="592"/>
      <c r="H327" s="592"/>
      <c r="I327" s="592"/>
      <c r="J327" s="567"/>
      <c r="K327" s="548"/>
      <c r="L327" s="578"/>
      <c r="M327" s="578"/>
    </row>
    <row r="328" spans="1:13" ht="34.5" customHeight="1" x14ac:dyDescent="0.2">
      <c r="A328" s="551"/>
      <c r="B328" s="551"/>
      <c r="C328" s="592"/>
      <c r="D328" s="592"/>
      <c r="E328" s="592"/>
      <c r="F328" s="592"/>
      <c r="G328" s="592"/>
      <c r="H328" s="592"/>
      <c r="I328" s="592"/>
      <c r="J328" s="567"/>
      <c r="K328" s="548"/>
      <c r="L328" s="578"/>
      <c r="M328" s="578"/>
    </row>
    <row r="329" spans="1:13" ht="24" customHeight="1" x14ac:dyDescent="0.2">
      <c r="A329" s="551"/>
      <c r="B329" s="551"/>
      <c r="C329" s="592"/>
      <c r="D329" s="592"/>
      <c r="E329" s="592"/>
      <c r="F329" s="592"/>
      <c r="G329" s="592"/>
      <c r="H329" s="592"/>
      <c r="I329" s="592"/>
      <c r="J329" s="567"/>
      <c r="K329" s="548"/>
      <c r="L329" s="578"/>
      <c r="M329" s="578"/>
    </row>
    <row r="330" spans="1:13" ht="24" customHeight="1" x14ac:dyDescent="0.2">
      <c r="A330" s="551"/>
      <c r="B330" s="551"/>
      <c r="C330" s="592"/>
      <c r="D330" s="592"/>
      <c r="E330" s="592"/>
      <c r="F330" s="592"/>
      <c r="G330" s="592"/>
      <c r="H330" s="592"/>
      <c r="I330" s="592"/>
      <c r="J330" s="567"/>
      <c r="K330" s="548"/>
      <c r="L330" s="578"/>
      <c r="M330" s="578"/>
    </row>
    <row r="331" spans="1:13" ht="24" customHeight="1" x14ac:dyDescent="0.2">
      <c r="A331" s="551"/>
      <c r="B331" s="551"/>
      <c r="C331" s="592"/>
      <c r="D331" s="592"/>
      <c r="E331" s="592"/>
      <c r="F331" s="592"/>
      <c r="G331" s="592"/>
      <c r="H331" s="592"/>
      <c r="I331" s="592"/>
      <c r="J331" s="567"/>
      <c r="K331" s="548"/>
      <c r="L331" s="578"/>
      <c r="M331" s="578"/>
    </row>
    <row r="332" spans="1:13" ht="34.5" customHeight="1" x14ac:dyDescent="0.2">
      <c r="A332" s="551"/>
      <c r="B332" s="551"/>
      <c r="C332" s="592"/>
      <c r="D332" s="592"/>
      <c r="E332" s="592"/>
      <c r="F332" s="592"/>
      <c r="G332" s="592"/>
      <c r="H332" s="592"/>
      <c r="I332" s="592"/>
      <c r="J332" s="567"/>
      <c r="K332" s="548"/>
      <c r="L332" s="578"/>
      <c r="M332" s="578"/>
    </row>
    <row r="333" spans="1:13" ht="25.5" customHeight="1" x14ac:dyDescent="0.2">
      <c r="A333" s="551"/>
      <c r="B333" s="551"/>
      <c r="C333" s="592"/>
      <c r="D333" s="592"/>
      <c r="E333" s="592"/>
      <c r="F333" s="592"/>
      <c r="G333" s="592"/>
      <c r="H333" s="592"/>
      <c r="I333" s="592"/>
      <c r="J333" s="567"/>
      <c r="K333" s="548"/>
      <c r="L333" s="578"/>
      <c r="M333" s="578"/>
    </row>
    <row r="334" spans="1:13" ht="12.75" customHeight="1" x14ac:dyDescent="0.2">
      <c r="A334" s="567"/>
      <c r="B334" s="567"/>
      <c r="C334" s="558"/>
      <c r="D334" s="558"/>
      <c r="E334" s="558"/>
      <c r="F334" s="558"/>
      <c r="G334" s="558"/>
      <c r="H334" s="558"/>
      <c r="I334" s="558"/>
      <c r="J334" s="558"/>
      <c r="K334" s="561"/>
      <c r="L334" s="575"/>
      <c r="M334" s="579"/>
    </row>
    <row r="335" spans="1:13" ht="12.75" customHeight="1" x14ac:dyDescent="0.2">
      <c r="A335" s="556"/>
      <c r="B335" s="556"/>
      <c r="C335" s="557"/>
      <c r="D335" s="557"/>
      <c r="E335" s="557"/>
      <c r="F335" s="557"/>
      <c r="G335" s="557"/>
      <c r="H335" s="557"/>
      <c r="I335" s="557"/>
      <c r="J335" s="557"/>
      <c r="K335" s="557"/>
      <c r="L335" s="557"/>
      <c r="M335" s="557"/>
    </row>
    <row r="336" spans="1:13" ht="12.75" customHeight="1" x14ac:dyDescent="0.2">
      <c r="A336" s="556"/>
      <c r="B336" s="556"/>
      <c r="C336" s="557"/>
      <c r="D336" s="557"/>
      <c r="E336" s="557"/>
      <c r="F336" s="557"/>
      <c r="G336" s="557"/>
      <c r="H336" s="557"/>
      <c r="I336" s="557"/>
      <c r="J336" s="557"/>
      <c r="K336" s="557"/>
      <c r="L336" s="557"/>
      <c r="M336" s="557"/>
    </row>
    <row r="337" spans="1:13" ht="12.75" customHeight="1" x14ac:dyDescent="0.2">
      <c r="A337" s="556"/>
      <c r="B337" s="556"/>
      <c r="C337" s="557"/>
      <c r="D337" s="557"/>
      <c r="E337" s="557"/>
      <c r="F337" s="557"/>
      <c r="G337" s="557"/>
      <c r="H337" s="557"/>
      <c r="I337" s="557"/>
      <c r="J337" s="557"/>
      <c r="K337" s="557"/>
      <c r="L337" s="557"/>
      <c r="M337" s="557"/>
    </row>
    <row r="338" spans="1:13" ht="12.75" customHeight="1" x14ac:dyDescent="0.2">
      <c r="A338" s="556"/>
      <c r="B338" s="556"/>
      <c r="C338" s="557"/>
      <c r="D338" s="557"/>
      <c r="E338" s="557"/>
      <c r="F338" s="557"/>
      <c r="G338" s="557"/>
      <c r="H338" s="557"/>
      <c r="I338" s="557"/>
      <c r="J338" s="557"/>
      <c r="K338" s="557"/>
      <c r="L338" s="557"/>
      <c r="M338" s="557"/>
    </row>
    <row r="339" spans="1:13" ht="12.75" customHeight="1" x14ac:dyDescent="0.2">
      <c r="A339" s="556"/>
      <c r="B339" s="556"/>
      <c r="C339" s="557"/>
      <c r="D339" s="557"/>
      <c r="E339" s="557"/>
      <c r="F339" s="557"/>
      <c r="G339" s="557"/>
      <c r="H339" s="557"/>
      <c r="I339" s="557"/>
      <c r="J339" s="557"/>
      <c r="K339" s="557"/>
      <c r="L339" s="557"/>
      <c r="M339" s="557"/>
    </row>
    <row r="340" spans="1:13" ht="12.75" customHeight="1" x14ac:dyDescent="0.2">
      <c r="A340" s="556"/>
      <c r="B340" s="556"/>
      <c r="D340" s="557"/>
      <c r="E340" s="557"/>
      <c r="F340" s="557"/>
      <c r="G340" s="557"/>
      <c r="H340" s="557"/>
      <c r="I340" s="557"/>
      <c r="J340" s="557"/>
      <c r="K340" s="557"/>
      <c r="L340" s="557"/>
      <c r="M340" s="557"/>
    </row>
    <row r="341" spans="1:13" ht="12.75" customHeight="1" x14ac:dyDescent="0.2">
      <c r="A341" s="556"/>
      <c r="B341" s="556"/>
      <c r="C341" s="557"/>
      <c r="D341" s="557"/>
      <c r="E341" s="557"/>
      <c r="F341" s="557"/>
      <c r="G341" s="557"/>
      <c r="H341" s="557"/>
      <c r="I341" s="557"/>
      <c r="J341" s="557"/>
      <c r="K341" s="557"/>
      <c r="L341" s="557"/>
      <c r="M341" s="557"/>
    </row>
    <row r="342" spans="1:13" ht="12.75" customHeight="1" x14ac:dyDescent="0.2">
      <c r="A342" s="556"/>
      <c r="B342" s="556"/>
      <c r="C342" s="557"/>
      <c r="D342" s="557"/>
      <c r="E342" s="557"/>
      <c r="F342" s="557"/>
      <c r="G342" s="557"/>
      <c r="H342" s="557"/>
      <c r="I342" s="557"/>
      <c r="J342" s="557"/>
      <c r="K342" s="557"/>
      <c r="L342" s="557"/>
      <c r="M342" s="557"/>
    </row>
    <row r="343" spans="1:13" ht="12.75" customHeight="1" x14ac:dyDescent="0.2">
      <c r="A343" s="556"/>
      <c r="B343" s="556"/>
      <c r="C343" s="557"/>
      <c r="D343" s="557"/>
      <c r="E343" s="557"/>
      <c r="F343" s="557"/>
      <c r="G343" s="557"/>
      <c r="H343" s="557"/>
      <c r="I343" s="557"/>
      <c r="J343" s="557"/>
      <c r="K343" s="557"/>
      <c r="L343" s="557"/>
      <c r="M343" s="557"/>
    </row>
    <row r="344" spans="1:13" ht="12.75" customHeight="1" x14ac:dyDescent="0.2">
      <c r="A344" s="556"/>
      <c r="B344" s="556"/>
      <c r="C344" s="557"/>
      <c r="D344" s="557"/>
      <c r="E344" s="557"/>
      <c r="F344" s="557"/>
      <c r="G344" s="557"/>
      <c r="H344" s="557"/>
      <c r="I344" s="557"/>
      <c r="J344" s="557"/>
      <c r="K344" s="557"/>
      <c r="L344" s="557"/>
      <c r="M344" s="557"/>
    </row>
    <row r="345" spans="1:13" ht="12.75" customHeight="1" x14ac:dyDescent="0.2">
      <c r="A345" s="556"/>
      <c r="B345" s="556"/>
      <c r="C345" s="557"/>
      <c r="D345" s="557"/>
      <c r="E345" s="557"/>
      <c r="F345" s="557"/>
      <c r="G345" s="557"/>
      <c r="H345" s="557"/>
      <c r="I345" s="557"/>
      <c r="J345" s="557"/>
      <c r="K345" s="557"/>
      <c r="L345" s="557"/>
    </row>
    <row r="346" spans="1:13" ht="12.75" customHeight="1" x14ac:dyDescent="0.2">
      <c r="A346" s="556"/>
      <c r="B346" s="556"/>
      <c r="C346" s="557"/>
      <c r="D346" s="557"/>
      <c r="E346" s="557"/>
      <c r="F346" s="557"/>
      <c r="G346" s="557"/>
      <c r="H346" s="557"/>
      <c r="I346" s="557"/>
      <c r="J346" s="557"/>
      <c r="K346" s="557"/>
      <c r="L346" s="557"/>
      <c r="M346" s="557"/>
    </row>
    <row r="347" spans="1:13" ht="12.75" customHeight="1" x14ac:dyDescent="0.2">
      <c r="A347" s="556"/>
      <c r="B347" s="556"/>
      <c r="C347" s="557"/>
      <c r="D347" s="557"/>
      <c r="E347" s="557"/>
      <c r="F347" s="557"/>
      <c r="G347" s="557"/>
      <c r="H347" s="557"/>
      <c r="I347" s="557"/>
      <c r="J347" s="557"/>
      <c r="K347" s="557"/>
      <c r="L347" s="557"/>
      <c r="M347" s="557"/>
    </row>
    <row r="348" spans="1:13" ht="12.75" customHeight="1" x14ac:dyDescent="0.2">
      <c r="A348" s="556"/>
      <c r="B348" s="556"/>
      <c r="C348" s="557"/>
      <c r="D348" s="557"/>
      <c r="E348" s="557"/>
      <c r="F348" s="557"/>
      <c r="G348" s="557"/>
      <c r="H348" s="557"/>
      <c r="I348" s="557"/>
      <c r="J348" s="557"/>
      <c r="K348" s="557"/>
      <c r="L348" s="557"/>
      <c r="M348" s="557"/>
    </row>
    <row r="349" spans="1:13" x14ac:dyDescent="0.2">
      <c r="A349" s="570"/>
      <c r="B349" s="570"/>
      <c r="C349" s="558"/>
      <c r="D349" s="558"/>
      <c r="E349" s="558"/>
      <c r="F349" s="558"/>
      <c r="G349" s="558"/>
      <c r="H349" s="558"/>
      <c r="I349" s="558"/>
      <c r="J349" s="558"/>
      <c r="K349" s="558"/>
      <c r="L349" s="558"/>
      <c r="M349" s="559"/>
    </row>
    <row r="350" spans="1:13" ht="31.5" customHeight="1" x14ac:dyDescent="0.2">
      <c r="A350" s="592"/>
      <c r="B350" s="592"/>
      <c r="C350" s="182"/>
      <c r="D350" s="182"/>
      <c r="E350" s="182"/>
      <c r="F350" s="182"/>
      <c r="G350" s="182"/>
      <c r="H350" s="182"/>
      <c r="I350" s="182"/>
      <c r="J350" s="182"/>
      <c r="K350" s="182"/>
      <c r="L350" s="182"/>
      <c r="M350" s="182"/>
    </row>
    <row r="351" spans="1:13" ht="18" customHeight="1" x14ac:dyDescent="0.2">
      <c r="A351" s="574"/>
      <c r="B351" s="574"/>
      <c r="C351" s="574"/>
      <c r="D351" s="574"/>
      <c r="E351" s="574"/>
      <c r="F351" s="574"/>
      <c r="G351" s="574"/>
      <c r="H351" s="574"/>
      <c r="I351" s="574"/>
      <c r="J351" s="574"/>
      <c r="K351" s="574"/>
      <c r="L351" s="574"/>
      <c r="M351" s="559"/>
    </row>
    <row r="352" spans="1:13" x14ac:dyDescent="0.2">
      <c r="A352" s="560"/>
      <c r="B352" s="560"/>
      <c r="C352" s="558"/>
      <c r="D352" s="558"/>
      <c r="E352" s="558"/>
      <c r="F352" s="558"/>
      <c r="G352" s="558"/>
      <c r="H352" s="558"/>
      <c r="I352" s="558"/>
      <c r="J352" s="561"/>
      <c r="K352" s="561"/>
      <c r="L352" s="562"/>
      <c r="M352" s="562"/>
    </row>
    <row r="353" spans="1:18" ht="51" customHeight="1" x14ac:dyDescent="0.2">
      <c r="A353" s="1286"/>
      <c r="B353" s="1286"/>
      <c r="C353" s="547"/>
      <c r="D353" s="547"/>
      <c r="E353" s="547"/>
      <c r="F353" s="547"/>
      <c r="G353" s="547"/>
      <c r="H353" s="547"/>
      <c r="I353" s="547"/>
      <c r="J353" s="567"/>
      <c r="K353" s="564"/>
      <c r="L353" s="544"/>
      <c r="M353" s="545"/>
      <c r="R353" s="1287"/>
    </row>
    <row r="354" spans="1:18" ht="18" customHeight="1" x14ac:dyDescent="0.2">
      <c r="A354" s="546"/>
      <c r="B354" s="546"/>
      <c r="C354" s="547"/>
      <c r="D354" s="547"/>
      <c r="E354" s="547"/>
      <c r="F354" s="547"/>
      <c r="G354" s="547"/>
      <c r="H354" s="547"/>
      <c r="I354" s="547"/>
      <c r="J354" s="567"/>
      <c r="K354" s="564"/>
      <c r="L354" s="544"/>
      <c r="M354" s="545"/>
    </row>
    <row r="355" spans="1:18" ht="18" customHeight="1" x14ac:dyDescent="0.2">
      <c r="A355" s="1286"/>
      <c r="B355" s="1286"/>
      <c r="C355" s="547"/>
      <c r="D355" s="547"/>
      <c r="E355" s="547"/>
      <c r="F355" s="547"/>
      <c r="G355" s="547"/>
      <c r="H355" s="547"/>
      <c r="I355" s="547"/>
      <c r="J355" s="567"/>
      <c r="K355" s="564"/>
      <c r="L355" s="544"/>
      <c r="M355" s="545"/>
    </row>
    <row r="356" spans="1:18" ht="18" customHeight="1" x14ac:dyDescent="0.2">
      <c r="A356" s="1286"/>
      <c r="B356" s="1286"/>
      <c r="D356" s="547"/>
      <c r="E356" s="547"/>
      <c r="F356" s="547"/>
      <c r="G356" s="547"/>
      <c r="H356" s="547"/>
      <c r="I356" s="547"/>
      <c r="J356" s="567"/>
      <c r="K356" s="563"/>
      <c r="L356" s="544"/>
      <c r="M356" s="545"/>
    </row>
    <row r="357" spans="1:18" ht="18" customHeight="1" x14ac:dyDescent="0.2">
      <c r="A357" s="1286"/>
      <c r="B357" s="1286"/>
      <c r="C357" s="547"/>
      <c r="D357" s="547"/>
      <c r="E357" s="547"/>
      <c r="F357" s="547"/>
      <c r="G357" s="547"/>
      <c r="H357" s="547"/>
      <c r="I357" s="547"/>
      <c r="J357" s="567"/>
      <c r="K357" s="563"/>
      <c r="L357" s="544"/>
      <c r="M357" s="545"/>
    </row>
    <row r="358" spans="1:18" ht="18" customHeight="1" x14ac:dyDescent="0.2">
      <c r="A358" s="1286"/>
      <c r="B358" s="1286"/>
      <c r="C358" s="547"/>
      <c r="D358" s="547"/>
      <c r="E358" s="547"/>
      <c r="F358" s="547"/>
      <c r="G358" s="547"/>
      <c r="H358" s="547"/>
      <c r="I358" s="547"/>
      <c r="J358" s="567"/>
      <c r="K358" s="564"/>
      <c r="L358" s="544"/>
      <c r="M358" s="545"/>
    </row>
    <row r="359" spans="1:18" ht="18" customHeight="1" x14ac:dyDescent="0.2">
      <c r="A359" s="1286"/>
      <c r="B359" s="1286"/>
      <c r="C359" s="547"/>
      <c r="D359" s="547"/>
      <c r="E359" s="547"/>
      <c r="F359" s="547"/>
      <c r="G359" s="547"/>
      <c r="H359" s="547"/>
      <c r="I359" s="547"/>
      <c r="J359" s="567"/>
      <c r="K359" s="564"/>
      <c r="L359" s="544"/>
      <c r="M359" s="545"/>
    </row>
    <row r="360" spans="1:18" ht="18" customHeight="1" x14ac:dyDescent="0.2">
      <c r="A360" s="1286"/>
      <c r="B360" s="1286"/>
      <c r="C360" s="547"/>
      <c r="D360" s="547"/>
      <c r="E360" s="547"/>
      <c r="F360" s="547"/>
      <c r="G360" s="547"/>
      <c r="H360" s="547"/>
      <c r="I360" s="547"/>
      <c r="J360" s="567"/>
      <c r="K360" s="563"/>
      <c r="L360" s="544"/>
      <c r="M360" s="545"/>
    </row>
    <row r="361" spans="1:18" ht="18" customHeight="1" x14ac:dyDescent="0.2">
      <c r="A361" s="1286"/>
      <c r="B361" s="1286"/>
      <c r="C361" s="547"/>
      <c r="D361" s="547"/>
      <c r="E361" s="547"/>
      <c r="F361" s="547"/>
      <c r="G361" s="547"/>
      <c r="H361" s="547"/>
      <c r="I361" s="547"/>
      <c r="J361" s="567"/>
      <c r="K361" s="563"/>
      <c r="L361" s="544"/>
      <c r="M361" s="545"/>
    </row>
    <row r="362" spans="1:18" x14ac:dyDescent="0.2">
      <c r="A362" s="567"/>
      <c r="B362" s="567"/>
      <c r="C362" s="558"/>
      <c r="D362" s="558"/>
      <c r="E362" s="558"/>
      <c r="F362" s="558"/>
      <c r="G362" s="558"/>
      <c r="H362" s="558"/>
      <c r="I362" s="558"/>
      <c r="J362" s="558"/>
      <c r="K362" s="561"/>
      <c r="L362" s="568"/>
      <c r="M362" s="565"/>
    </row>
    <row r="364" spans="1:18" x14ac:dyDescent="0.2">
      <c r="A364" s="560"/>
      <c r="B364" s="558"/>
      <c r="C364" s="558"/>
      <c r="D364" s="558"/>
      <c r="E364" s="558"/>
      <c r="F364" s="558"/>
      <c r="G364" s="558"/>
      <c r="H364" s="558"/>
      <c r="I364" s="558"/>
      <c r="J364" s="558"/>
      <c r="K364" s="558"/>
      <c r="L364" s="558"/>
      <c r="M364" s="559"/>
    </row>
    <row r="365" spans="1:18" ht="26.25" customHeight="1" x14ac:dyDescent="0.2">
      <c r="A365" s="549"/>
      <c r="B365" s="550"/>
      <c r="C365" s="594"/>
      <c r="D365" s="594"/>
      <c r="E365" s="594"/>
      <c r="F365" s="594"/>
      <c r="G365" s="594"/>
      <c r="H365" s="594"/>
      <c r="I365" s="594"/>
      <c r="J365" s="594"/>
      <c r="K365" s="594"/>
      <c r="L365" s="594"/>
      <c r="M365" s="594"/>
    </row>
    <row r="366" spans="1:18" x14ac:dyDescent="0.2">
      <c r="A366" s="567"/>
      <c r="B366" s="574"/>
      <c r="C366" s="574"/>
      <c r="D366" s="574"/>
      <c r="E366" s="574"/>
      <c r="F366" s="574"/>
      <c r="G366" s="574"/>
      <c r="H366" s="574"/>
      <c r="I366" s="574"/>
      <c r="J366" s="574"/>
      <c r="K366" s="574"/>
      <c r="L366" s="574"/>
      <c r="M366" s="559"/>
    </row>
    <row r="367" spans="1:18" x14ac:dyDescent="0.2">
      <c r="A367" s="560"/>
      <c r="B367" s="560"/>
      <c r="C367" s="558"/>
      <c r="D367" s="558"/>
      <c r="E367" s="558"/>
      <c r="F367" s="558"/>
      <c r="G367" s="558"/>
      <c r="H367" s="558"/>
      <c r="I367" s="558"/>
      <c r="J367" s="561"/>
      <c r="K367" s="561"/>
      <c r="L367" s="562"/>
      <c r="M367" s="581"/>
    </row>
    <row r="368" spans="1:18" ht="12.75" customHeight="1" x14ac:dyDescent="0.2">
      <c r="A368" s="1285"/>
      <c r="B368" s="551"/>
      <c r="C368" s="547"/>
      <c r="D368" s="547"/>
      <c r="E368" s="547"/>
      <c r="F368" s="547"/>
      <c r="G368" s="547"/>
      <c r="H368" s="547"/>
      <c r="I368" s="547"/>
      <c r="J368" s="567"/>
      <c r="K368" s="582"/>
      <c r="L368" s="583"/>
      <c r="M368" s="545"/>
    </row>
    <row r="369" spans="1:13" ht="12.75" customHeight="1" x14ac:dyDescent="0.2">
      <c r="A369" s="1285"/>
      <c r="B369" s="551"/>
      <c r="C369" s="547"/>
      <c r="D369" s="547"/>
      <c r="E369" s="547"/>
      <c r="F369" s="547"/>
      <c r="G369" s="547"/>
      <c r="H369" s="547"/>
      <c r="I369" s="547"/>
      <c r="J369" s="567"/>
      <c r="K369" s="582"/>
      <c r="L369" s="583"/>
      <c r="M369" s="545"/>
    </row>
    <row r="370" spans="1:13" ht="12.75" customHeight="1" x14ac:dyDescent="0.2">
      <c r="A370" s="1285"/>
      <c r="B370" s="551"/>
      <c r="C370" s="547"/>
      <c r="D370" s="547"/>
      <c r="E370" s="547"/>
      <c r="F370" s="547"/>
      <c r="G370" s="547"/>
      <c r="H370" s="547"/>
      <c r="I370" s="547"/>
      <c r="J370" s="567"/>
      <c r="K370" s="582"/>
      <c r="L370" s="583"/>
      <c r="M370" s="545"/>
    </row>
    <row r="371" spans="1:13" ht="25.5" customHeight="1" x14ac:dyDescent="0.2">
      <c r="A371" s="552"/>
      <c r="B371" s="552"/>
      <c r="C371" s="547"/>
      <c r="D371" s="547"/>
      <c r="E371" s="547"/>
      <c r="F371" s="547"/>
      <c r="G371" s="547"/>
      <c r="H371" s="547"/>
      <c r="I371" s="547"/>
      <c r="J371" s="567"/>
      <c r="K371" s="582"/>
      <c r="L371" s="583"/>
      <c r="M371" s="545"/>
    </row>
    <row r="372" spans="1:13" ht="38.25" customHeight="1" x14ac:dyDescent="0.2">
      <c r="A372" s="1286"/>
      <c r="B372" s="551"/>
      <c r="C372" s="547"/>
      <c r="D372" s="547"/>
      <c r="E372" s="547"/>
      <c r="F372" s="547"/>
      <c r="G372" s="547"/>
      <c r="H372" s="547"/>
      <c r="I372" s="547"/>
      <c r="J372" s="567"/>
      <c r="K372" s="582"/>
      <c r="L372" s="583"/>
      <c r="M372" s="545"/>
    </row>
    <row r="373" spans="1:13" ht="38.25" customHeight="1" x14ac:dyDescent="0.2">
      <c r="A373" s="1286"/>
      <c r="B373" s="551"/>
      <c r="C373" s="547"/>
      <c r="D373" s="547"/>
      <c r="E373" s="547"/>
      <c r="F373" s="547"/>
      <c r="G373" s="547"/>
      <c r="H373" s="547"/>
      <c r="I373" s="547"/>
      <c r="J373" s="567"/>
      <c r="K373" s="582"/>
      <c r="L373" s="583"/>
      <c r="M373" s="545"/>
    </row>
    <row r="374" spans="1:13" x14ac:dyDescent="0.2">
      <c r="A374" s="567"/>
      <c r="B374" s="567"/>
      <c r="C374" s="558"/>
      <c r="D374" s="558"/>
      <c r="E374" s="558"/>
      <c r="F374" s="558"/>
      <c r="G374" s="558"/>
      <c r="H374" s="558"/>
      <c r="I374" s="558"/>
      <c r="J374" s="558"/>
      <c r="K374" s="561"/>
      <c r="L374" s="568"/>
      <c r="M374" s="569"/>
    </row>
    <row r="376" spans="1:13" x14ac:dyDescent="0.2">
      <c r="A376" s="560"/>
      <c r="B376" s="558"/>
      <c r="C376" s="558"/>
      <c r="D376" s="558"/>
      <c r="E376" s="558"/>
      <c r="F376" s="558"/>
      <c r="G376" s="558"/>
      <c r="H376" s="558"/>
      <c r="I376" s="558"/>
      <c r="J376" s="558"/>
      <c r="K376" s="558"/>
      <c r="L376" s="558"/>
      <c r="M376" s="559"/>
    </row>
    <row r="377" spans="1:13" ht="26.25" customHeight="1" x14ac:dyDescent="0.2">
      <c r="A377" s="549"/>
      <c r="B377" s="550"/>
      <c r="C377" s="594"/>
      <c r="D377" s="594"/>
      <c r="E377" s="594"/>
      <c r="F377" s="594"/>
      <c r="G377" s="594"/>
      <c r="H377" s="594"/>
      <c r="I377" s="594"/>
      <c r="J377" s="594"/>
      <c r="K377" s="594"/>
      <c r="L377" s="594"/>
      <c r="M377" s="594"/>
    </row>
    <row r="378" spans="1:13" x14ac:dyDescent="0.2">
      <c r="A378" s="567"/>
      <c r="B378" s="574"/>
      <c r="C378" s="574"/>
      <c r="D378" s="574"/>
      <c r="E378" s="574"/>
      <c r="F378" s="574"/>
      <c r="G378" s="574"/>
      <c r="H378" s="574"/>
      <c r="I378" s="574"/>
      <c r="J378" s="574"/>
      <c r="K378" s="574"/>
      <c r="L378" s="574"/>
      <c r="M378" s="559"/>
    </row>
    <row r="379" spans="1:13" x14ac:dyDescent="0.2">
      <c r="A379" s="560"/>
      <c r="B379" s="560"/>
      <c r="C379" s="558"/>
      <c r="D379" s="558"/>
      <c r="E379" s="558"/>
      <c r="F379" s="558"/>
      <c r="G379" s="558"/>
      <c r="H379" s="558"/>
      <c r="I379" s="558"/>
      <c r="J379" s="561"/>
      <c r="K379" s="561"/>
      <c r="L379" s="562"/>
      <c r="M379" s="581"/>
    </row>
    <row r="380" spans="1:13" ht="14.25" x14ac:dyDescent="0.2">
      <c r="A380" s="1285"/>
      <c r="B380" s="551"/>
      <c r="C380" s="547"/>
      <c r="D380" s="547"/>
      <c r="E380" s="547"/>
      <c r="F380" s="547"/>
      <c r="G380" s="547"/>
      <c r="H380" s="547"/>
      <c r="I380" s="547"/>
      <c r="J380" s="584"/>
      <c r="K380" s="585"/>
      <c r="L380" s="586"/>
      <c r="M380" s="545"/>
    </row>
    <row r="381" spans="1:13" ht="12.75" customHeight="1" x14ac:dyDescent="0.2">
      <c r="A381" s="1285"/>
      <c r="B381" s="551"/>
      <c r="C381" s="547"/>
      <c r="D381" s="547"/>
      <c r="E381" s="547"/>
      <c r="F381" s="547"/>
      <c r="G381" s="547"/>
      <c r="H381" s="547"/>
      <c r="I381" s="547"/>
      <c r="J381" s="584"/>
      <c r="K381" s="585"/>
      <c r="L381" s="586"/>
      <c r="M381" s="545"/>
    </row>
    <row r="382" spans="1:13" ht="12.75" customHeight="1" x14ac:dyDescent="0.2">
      <c r="A382" s="1285"/>
      <c r="B382" s="551"/>
      <c r="C382" s="547"/>
      <c r="D382" s="547"/>
      <c r="E382" s="547"/>
      <c r="F382" s="547"/>
      <c r="G382" s="547"/>
      <c r="H382" s="547"/>
      <c r="I382" s="547"/>
      <c r="J382" s="584"/>
      <c r="K382" s="585"/>
      <c r="L382" s="586"/>
      <c r="M382" s="545"/>
    </row>
    <row r="383" spans="1:13" ht="19.5" customHeight="1" x14ac:dyDescent="0.2">
      <c r="A383" s="552"/>
      <c r="B383" s="552"/>
      <c r="C383" s="547"/>
      <c r="D383" s="547"/>
      <c r="E383" s="547"/>
      <c r="F383" s="547"/>
      <c r="G383" s="547"/>
      <c r="H383" s="547"/>
      <c r="I383" s="547"/>
      <c r="J383" s="584"/>
      <c r="K383" s="585"/>
      <c r="L383" s="586"/>
      <c r="M383" s="545"/>
    </row>
    <row r="384" spans="1:13" ht="38.25" customHeight="1" x14ac:dyDescent="0.2">
      <c r="A384" s="1286"/>
      <c r="B384" s="551"/>
      <c r="C384" s="547"/>
      <c r="D384" s="547"/>
      <c r="E384" s="547"/>
      <c r="F384" s="547"/>
      <c r="G384" s="547"/>
      <c r="H384" s="547"/>
      <c r="I384" s="547"/>
      <c r="J384" s="584"/>
      <c r="K384" s="585"/>
      <c r="L384" s="586"/>
      <c r="M384" s="545"/>
    </row>
    <row r="385" spans="1:13" ht="38.25" customHeight="1" x14ac:dyDescent="0.2">
      <c r="A385" s="1286"/>
      <c r="B385" s="551"/>
      <c r="C385" s="547"/>
      <c r="D385" s="547"/>
      <c r="E385" s="547"/>
      <c r="F385" s="547"/>
      <c r="G385" s="547"/>
      <c r="H385" s="547"/>
      <c r="I385" s="547"/>
      <c r="J385" s="584"/>
      <c r="K385" s="585"/>
      <c r="L385" s="586"/>
      <c r="M385" s="545"/>
    </row>
    <row r="386" spans="1:13" x14ac:dyDescent="0.2">
      <c r="A386" s="567"/>
      <c r="B386" s="567"/>
      <c r="C386" s="558"/>
      <c r="D386" s="558"/>
      <c r="E386" s="558"/>
      <c r="F386" s="558"/>
      <c r="G386" s="558"/>
      <c r="H386" s="558"/>
      <c r="I386" s="558"/>
      <c r="J386" s="558"/>
      <c r="K386" s="561"/>
      <c r="L386" s="568"/>
      <c r="M386" s="569"/>
    </row>
    <row r="388" spans="1:13" x14ac:dyDescent="0.2">
      <c r="A388" s="560"/>
      <c r="B388" s="558"/>
      <c r="C388" s="558"/>
      <c r="D388" s="558"/>
      <c r="E388" s="558"/>
      <c r="F388" s="558"/>
      <c r="G388" s="558"/>
      <c r="H388" s="558"/>
      <c r="I388" s="558"/>
      <c r="J388" s="558"/>
      <c r="K388" s="558"/>
      <c r="L388" s="558"/>
      <c r="M388" s="559"/>
    </row>
    <row r="389" spans="1:13" x14ac:dyDescent="0.2">
      <c r="A389" s="549"/>
      <c r="B389" s="550"/>
      <c r="C389" s="594"/>
      <c r="D389" s="594"/>
      <c r="E389" s="594"/>
      <c r="F389" s="594"/>
      <c r="G389" s="594"/>
      <c r="H389" s="594"/>
      <c r="I389" s="594"/>
      <c r="J389" s="594"/>
      <c r="K389" s="594"/>
      <c r="L389" s="594"/>
      <c r="M389" s="594"/>
    </row>
    <row r="390" spans="1:13" x14ac:dyDescent="0.2">
      <c r="A390" s="574"/>
      <c r="B390" s="574"/>
      <c r="C390" s="574"/>
      <c r="D390" s="574"/>
      <c r="E390" s="574"/>
      <c r="F390" s="574"/>
      <c r="G390" s="574"/>
      <c r="H390" s="574"/>
      <c r="I390" s="574"/>
      <c r="J390" s="574"/>
      <c r="K390" s="574"/>
      <c r="L390" s="574"/>
      <c r="M390" s="574"/>
    </row>
    <row r="391" spans="1:13" x14ac:dyDescent="0.2">
      <c r="A391" s="587"/>
      <c r="B391" s="587"/>
      <c r="C391" s="593"/>
      <c r="D391" s="593"/>
      <c r="E391" s="593"/>
      <c r="F391" s="593"/>
      <c r="G391" s="593"/>
      <c r="H391" s="593"/>
      <c r="I391" s="593"/>
      <c r="J391" s="587"/>
      <c r="K391" s="587"/>
      <c r="L391" s="588"/>
      <c r="M391" s="581"/>
    </row>
    <row r="392" spans="1:13" x14ac:dyDescent="0.2">
      <c r="A392" s="1295"/>
      <c r="B392" s="1295"/>
      <c r="C392" s="592"/>
      <c r="D392" s="592"/>
      <c r="E392" s="592"/>
      <c r="F392" s="592"/>
      <c r="G392" s="592"/>
      <c r="H392" s="592"/>
      <c r="I392" s="592"/>
      <c r="J392" s="1296"/>
      <c r="K392" s="1297"/>
      <c r="L392" s="553"/>
      <c r="M392" s="1298"/>
    </row>
    <row r="393" spans="1:13" x14ac:dyDescent="0.2">
      <c r="A393" s="1295"/>
      <c r="B393" s="1295"/>
      <c r="C393" s="592"/>
      <c r="D393" s="592"/>
      <c r="E393" s="592"/>
      <c r="F393" s="592"/>
      <c r="G393" s="592"/>
      <c r="H393" s="592"/>
      <c r="I393" s="592"/>
      <c r="J393" s="1296"/>
      <c r="K393" s="1299"/>
      <c r="L393" s="553"/>
      <c r="M393" s="1298"/>
    </row>
    <row r="394" spans="1:13" x14ac:dyDescent="0.2">
      <c r="A394" s="1295"/>
      <c r="B394" s="1295"/>
      <c r="C394" s="592"/>
      <c r="D394" s="592"/>
      <c r="E394" s="592"/>
      <c r="F394" s="592"/>
      <c r="G394" s="592"/>
      <c r="H394" s="592"/>
      <c r="I394" s="592"/>
      <c r="J394" s="1296"/>
      <c r="K394" s="1299"/>
      <c r="L394" s="553"/>
      <c r="M394" s="1298"/>
    </row>
    <row r="395" spans="1:13" x14ac:dyDescent="0.2">
      <c r="A395" s="1296"/>
      <c r="B395" s="1296"/>
      <c r="C395" s="593"/>
      <c r="D395" s="593"/>
      <c r="E395" s="593"/>
      <c r="F395" s="593"/>
      <c r="G395" s="593"/>
      <c r="H395" s="593"/>
      <c r="I395" s="593"/>
      <c r="J395" s="593"/>
      <c r="K395" s="587"/>
      <c r="L395" s="588"/>
      <c r="M395" s="589"/>
    </row>
  </sheetData>
  <mergeCells count="315">
    <mergeCell ref="A177:L177"/>
    <mergeCell ref="A178:L178"/>
    <mergeCell ref="E179:F179"/>
    <mergeCell ref="G179:I179"/>
    <mergeCell ref="J179:L179"/>
    <mergeCell ref="E180:F182"/>
    <mergeCell ref="G180:I180"/>
    <mergeCell ref="J180:L180"/>
    <mergeCell ref="G181:I181"/>
    <mergeCell ref="J181:L181"/>
    <mergeCell ref="G182:I182"/>
    <mergeCell ref="J182:L182"/>
    <mergeCell ref="A114:L114"/>
    <mergeCell ref="A115:L115"/>
    <mergeCell ref="E116:F116"/>
    <mergeCell ref="G116:I116"/>
    <mergeCell ref="J116:L116"/>
    <mergeCell ref="E117:F119"/>
    <mergeCell ref="G117:I117"/>
    <mergeCell ref="J117:L117"/>
    <mergeCell ref="G118:I118"/>
    <mergeCell ref="J118:L118"/>
    <mergeCell ref="G119:I119"/>
    <mergeCell ref="J119:L119"/>
    <mergeCell ref="E68:F70"/>
    <mergeCell ref="G68:I68"/>
    <mergeCell ref="J68:L68"/>
    <mergeCell ref="G69:I69"/>
    <mergeCell ref="J69:L69"/>
    <mergeCell ref="G70:I70"/>
    <mergeCell ref="J70:L70"/>
    <mergeCell ref="A65:L65"/>
    <mergeCell ref="A66:L66"/>
    <mergeCell ref="E67:F67"/>
    <mergeCell ref="G67:I67"/>
    <mergeCell ref="J67:L67"/>
    <mergeCell ref="E61:F63"/>
    <mergeCell ref="G61:I61"/>
    <mergeCell ref="J61:L61"/>
    <mergeCell ref="G62:I62"/>
    <mergeCell ref="J62:L62"/>
    <mergeCell ref="G63:I63"/>
    <mergeCell ref="J63:L63"/>
    <mergeCell ref="A58:L58"/>
    <mergeCell ref="A59:L59"/>
    <mergeCell ref="E60:F60"/>
    <mergeCell ref="G60:I60"/>
    <mergeCell ref="J60:L60"/>
    <mergeCell ref="A3:L3"/>
    <mergeCell ref="B5:F5"/>
    <mergeCell ref="G5:H5"/>
    <mergeCell ref="I5:L5"/>
    <mergeCell ref="B6:L6"/>
    <mergeCell ref="B7:L7"/>
    <mergeCell ref="B8:F8"/>
    <mergeCell ref="G8:H8"/>
    <mergeCell ref="J25:L25"/>
    <mergeCell ref="A23:L23"/>
    <mergeCell ref="A24:L24"/>
    <mergeCell ref="G21:I21"/>
    <mergeCell ref="J21:L21"/>
    <mergeCell ref="A11:L11"/>
    <mergeCell ref="A13:L13"/>
    <mergeCell ref="A14:L14"/>
    <mergeCell ref="I8:L8"/>
    <mergeCell ref="B9:F9"/>
    <mergeCell ref="G9:H9"/>
    <mergeCell ref="I9:L9"/>
    <mergeCell ref="E19:F21"/>
    <mergeCell ref="G19:I19"/>
    <mergeCell ref="J19:L19"/>
    <mergeCell ref="G20:I20"/>
    <mergeCell ref="J20:L20"/>
    <mergeCell ref="A16:L16"/>
    <mergeCell ref="A17:L17"/>
    <mergeCell ref="E18:F18"/>
    <mergeCell ref="G18:I18"/>
    <mergeCell ref="J18:L18"/>
    <mergeCell ref="A30:L30"/>
    <mergeCell ref="A31:L31"/>
    <mergeCell ref="E32:F32"/>
    <mergeCell ref="G32:I32"/>
    <mergeCell ref="J32:L32"/>
    <mergeCell ref="G26:I26"/>
    <mergeCell ref="J26:L26"/>
    <mergeCell ref="E26:F28"/>
    <mergeCell ref="G27:I27"/>
    <mergeCell ref="J27:L27"/>
    <mergeCell ref="G28:I28"/>
    <mergeCell ref="J28:L28"/>
    <mergeCell ref="E25:F25"/>
    <mergeCell ref="G25:I25"/>
    <mergeCell ref="E33:F35"/>
    <mergeCell ref="G33:I33"/>
    <mergeCell ref="J33:L33"/>
    <mergeCell ref="G34:I34"/>
    <mergeCell ref="J34:L34"/>
    <mergeCell ref="G35:I35"/>
    <mergeCell ref="J35:L35"/>
    <mergeCell ref="A44:L44"/>
    <mergeCell ref="A45:L45"/>
    <mergeCell ref="E40:F42"/>
    <mergeCell ref="G40:I40"/>
    <mergeCell ref="J40:L40"/>
    <mergeCell ref="G41:I41"/>
    <mergeCell ref="J41:L41"/>
    <mergeCell ref="G42:I42"/>
    <mergeCell ref="J42:L42"/>
    <mergeCell ref="A37:L37"/>
    <mergeCell ref="A38:L38"/>
    <mergeCell ref="E39:F39"/>
    <mergeCell ref="G39:I39"/>
    <mergeCell ref="J39:L39"/>
    <mergeCell ref="E46:F46"/>
    <mergeCell ref="G46:I46"/>
    <mergeCell ref="J46:L46"/>
    <mergeCell ref="E47:F49"/>
    <mergeCell ref="G47:I47"/>
    <mergeCell ref="J47:L47"/>
    <mergeCell ref="G48:I48"/>
    <mergeCell ref="J48:L48"/>
    <mergeCell ref="G49:I49"/>
    <mergeCell ref="J49:L49"/>
    <mergeCell ref="A51:L51"/>
    <mergeCell ref="A52:L52"/>
    <mergeCell ref="E53:F53"/>
    <mergeCell ref="G53:I53"/>
    <mergeCell ref="J53:L53"/>
    <mergeCell ref="E54:F56"/>
    <mergeCell ref="G54:I54"/>
    <mergeCell ref="J54:L54"/>
    <mergeCell ref="G55:I55"/>
    <mergeCell ref="J55:L55"/>
    <mergeCell ref="G56:I56"/>
    <mergeCell ref="J56:L56"/>
    <mergeCell ref="A72:L72"/>
    <mergeCell ref="A73:L73"/>
    <mergeCell ref="E74:F74"/>
    <mergeCell ref="G74:I74"/>
    <mergeCell ref="J74:L74"/>
    <mergeCell ref="E75:F77"/>
    <mergeCell ref="G75:I75"/>
    <mergeCell ref="J75:L75"/>
    <mergeCell ref="G76:I76"/>
    <mergeCell ref="J76:L76"/>
    <mergeCell ref="G77:I77"/>
    <mergeCell ref="J77:L77"/>
    <mergeCell ref="A79:L79"/>
    <mergeCell ref="A80:L80"/>
    <mergeCell ref="E81:F81"/>
    <mergeCell ref="G81:I81"/>
    <mergeCell ref="J81:L81"/>
    <mergeCell ref="E82:F84"/>
    <mergeCell ref="G82:I82"/>
    <mergeCell ref="J82:L82"/>
    <mergeCell ref="G83:I83"/>
    <mergeCell ref="J83:L83"/>
    <mergeCell ref="G84:I84"/>
    <mergeCell ref="J84:L84"/>
    <mergeCell ref="A86:L86"/>
    <mergeCell ref="A87:L87"/>
    <mergeCell ref="E88:F88"/>
    <mergeCell ref="G88:I88"/>
    <mergeCell ref="J88:L88"/>
    <mergeCell ref="E89:F91"/>
    <mergeCell ref="G89:I89"/>
    <mergeCell ref="J89:L89"/>
    <mergeCell ref="G90:I90"/>
    <mergeCell ref="J90:L90"/>
    <mergeCell ref="G91:I91"/>
    <mergeCell ref="J91:L91"/>
    <mergeCell ref="A93:L93"/>
    <mergeCell ref="A94:L94"/>
    <mergeCell ref="E95:F95"/>
    <mergeCell ref="G95:I95"/>
    <mergeCell ref="J95:L95"/>
    <mergeCell ref="E96:F98"/>
    <mergeCell ref="G96:I96"/>
    <mergeCell ref="J96:L96"/>
    <mergeCell ref="G97:I97"/>
    <mergeCell ref="J97:L97"/>
    <mergeCell ref="G98:I98"/>
    <mergeCell ref="J98:L98"/>
    <mergeCell ref="A100:L100"/>
    <mergeCell ref="A101:L101"/>
    <mergeCell ref="E102:F102"/>
    <mergeCell ref="G102:I102"/>
    <mergeCell ref="J102:L102"/>
    <mergeCell ref="E103:F105"/>
    <mergeCell ref="G103:I103"/>
    <mergeCell ref="J103:L103"/>
    <mergeCell ref="G104:I104"/>
    <mergeCell ref="J104:L104"/>
    <mergeCell ref="G105:I105"/>
    <mergeCell ref="J105:L105"/>
    <mergeCell ref="A107:L107"/>
    <mergeCell ref="A108:L108"/>
    <mergeCell ref="E109:F109"/>
    <mergeCell ref="G109:I109"/>
    <mergeCell ref="J109:L109"/>
    <mergeCell ref="E110:F112"/>
    <mergeCell ref="G110:I110"/>
    <mergeCell ref="J110:L110"/>
    <mergeCell ref="G111:I111"/>
    <mergeCell ref="J111:L111"/>
    <mergeCell ref="G112:I112"/>
    <mergeCell ref="J112:L112"/>
    <mergeCell ref="A184:L184"/>
    <mergeCell ref="A185:L185"/>
    <mergeCell ref="E186:F186"/>
    <mergeCell ref="G186:I186"/>
    <mergeCell ref="J186:L186"/>
    <mergeCell ref="E187:F189"/>
    <mergeCell ref="G187:I187"/>
    <mergeCell ref="J187:L187"/>
    <mergeCell ref="G188:I188"/>
    <mergeCell ref="J188:L188"/>
    <mergeCell ref="G189:I189"/>
    <mergeCell ref="J189:L189"/>
    <mergeCell ref="A121:L121"/>
    <mergeCell ref="A122:L122"/>
    <mergeCell ref="E123:F123"/>
    <mergeCell ref="G123:I123"/>
    <mergeCell ref="J123:L123"/>
    <mergeCell ref="E124:F126"/>
    <mergeCell ref="G124:I124"/>
    <mergeCell ref="J124:L124"/>
    <mergeCell ref="G125:I125"/>
    <mergeCell ref="J125:L125"/>
    <mergeCell ref="G126:I126"/>
    <mergeCell ref="J126:L126"/>
    <mergeCell ref="A128:L128"/>
    <mergeCell ref="A129:L129"/>
    <mergeCell ref="E130:F130"/>
    <mergeCell ref="G130:I130"/>
    <mergeCell ref="J130:L130"/>
    <mergeCell ref="E131:F133"/>
    <mergeCell ref="G131:I131"/>
    <mergeCell ref="J131:L131"/>
    <mergeCell ref="G132:I132"/>
    <mergeCell ref="J132:L132"/>
    <mergeCell ref="G133:I133"/>
    <mergeCell ref="J133:L133"/>
    <mergeCell ref="A135:L135"/>
    <mergeCell ref="A136:L136"/>
    <mergeCell ref="E137:F137"/>
    <mergeCell ref="G137:I137"/>
    <mergeCell ref="J137:L137"/>
    <mergeCell ref="E138:F140"/>
    <mergeCell ref="G138:I138"/>
    <mergeCell ref="J138:L138"/>
    <mergeCell ref="G139:I139"/>
    <mergeCell ref="J139:L139"/>
    <mergeCell ref="G140:I140"/>
    <mergeCell ref="J140:L140"/>
    <mergeCell ref="A142:L142"/>
    <mergeCell ref="A143:L143"/>
    <mergeCell ref="E144:F144"/>
    <mergeCell ref="G144:I144"/>
    <mergeCell ref="J144:L144"/>
    <mergeCell ref="E145:F147"/>
    <mergeCell ref="G145:I145"/>
    <mergeCell ref="J145:L145"/>
    <mergeCell ref="G146:I146"/>
    <mergeCell ref="J146:L146"/>
    <mergeCell ref="G147:I147"/>
    <mergeCell ref="J147:L147"/>
    <mergeCell ref="A149:L149"/>
    <mergeCell ref="A150:L150"/>
    <mergeCell ref="E151:F151"/>
    <mergeCell ref="G151:I151"/>
    <mergeCell ref="J151:L151"/>
    <mergeCell ref="E152:F154"/>
    <mergeCell ref="G152:I152"/>
    <mergeCell ref="J152:L152"/>
    <mergeCell ref="G153:I153"/>
    <mergeCell ref="J153:L153"/>
    <mergeCell ref="G154:I154"/>
    <mergeCell ref="J154:L154"/>
    <mergeCell ref="A156:L156"/>
    <mergeCell ref="A157:L157"/>
    <mergeCell ref="E158:F158"/>
    <mergeCell ref="G158:I158"/>
    <mergeCell ref="J158:L158"/>
    <mergeCell ref="E159:F161"/>
    <mergeCell ref="G159:I159"/>
    <mergeCell ref="J159:L159"/>
    <mergeCell ref="G160:I160"/>
    <mergeCell ref="J160:L160"/>
    <mergeCell ref="G161:I161"/>
    <mergeCell ref="J161:L161"/>
    <mergeCell ref="A163:L163"/>
    <mergeCell ref="A164:L164"/>
    <mergeCell ref="E165:F165"/>
    <mergeCell ref="G165:I165"/>
    <mergeCell ref="J165:L165"/>
    <mergeCell ref="E166:F168"/>
    <mergeCell ref="G166:I166"/>
    <mergeCell ref="J166:L166"/>
    <mergeCell ref="G167:I167"/>
    <mergeCell ref="J167:L167"/>
    <mergeCell ref="G168:I168"/>
    <mergeCell ref="J168:L168"/>
    <mergeCell ref="A170:L170"/>
    <mergeCell ref="A171:L171"/>
    <mergeCell ref="E172:F172"/>
    <mergeCell ref="G172:I172"/>
    <mergeCell ref="J172:L172"/>
    <mergeCell ref="E173:F175"/>
    <mergeCell ref="G173:I173"/>
    <mergeCell ref="J173:L173"/>
    <mergeCell ref="G174:I174"/>
    <mergeCell ref="J174:L174"/>
    <mergeCell ref="G175:I175"/>
    <mergeCell ref="J175:L175"/>
  </mergeCells>
  <phoneticPr fontId="6" type="noConversion"/>
  <hyperlinks>
    <hyperlink ref="J19" r:id="rId1"/>
    <hyperlink ref="J20" r:id="rId2"/>
    <hyperlink ref="J21" r:id="rId3"/>
    <hyperlink ref="J26" r:id="rId4"/>
    <hyperlink ref="J27" r:id="rId5"/>
    <hyperlink ref="J28" r:id="rId6"/>
    <hyperlink ref="J33" r:id="rId7"/>
    <hyperlink ref="J34" r:id="rId8"/>
    <hyperlink ref="J35" r:id="rId9"/>
    <hyperlink ref="J47" r:id="rId10"/>
    <hyperlink ref="J48" r:id="rId11"/>
    <hyperlink ref="J49" r:id="rId12"/>
    <hyperlink ref="J55" r:id="rId13"/>
    <hyperlink ref="J56" r:id="rId14"/>
    <hyperlink ref="J54" r:id="rId15"/>
    <hyperlink ref="J61" r:id="rId16"/>
    <hyperlink ref="J62" r:id="rId17"/>
    <hyperlink ref="J63" r:id="rId18"/>
    <hyperlink ref="J68" r:id="rId19"/>
    <hyperlink ref="J69" r:id="rId20"/>
    <hyperlink ref="J70" r:id="rId21"/>
    <hyperlink ref="J75" r:id="rId22"/>
    <hyperlink ref="J76" r:id="rId23"/>
    <hyperlink ref="J77" r:id="rId24"/>
    <hyperlink ref="J82" r:id="rId25"/>
    <hyperlink ref="J83" r:id="rId26"/>
    <hyperlink ref="J84" r:id="rId27"/>
    <hyperlink ref="J89" r:id="rId28"/>
    <hyperlink ref="J90" r:id="rId29"/>
    <hyperlink ref="J91" r:id="rId30"/>
    <hyperlink ref="J96" r:id="rId31"/>
    <hyperlink ref="J97" r:id="rId32"/>
    <hyperlink ref="J98" r:id="rId33"/>
    <hyperlink ref="J103" r:id="rId34"/>
    <hyperlink ref="J104" r:id="rId35"/>
    <hyperlink ref="J105" r:id="rId36"/>
    <hyperlink ref="J110" r:id="rId37"/>
    <hyperlink ref="J111" r:id="rId38"/>
    <hyperlink ref="J112" r:id="rId39"/>
    <hyperlink ref="J117" r:id="rId40"/>
    <hyperlink ref="J118" r:id="rId41"/>
    <hyperlink ref="J119" r:id="rId42"/>
    <hyperlink ref="J187" r:id="rId43"/>
    <hyperlink ref="J188" r:id="rId44"/>
    <hyperlink ref="J189" r:id="rId45"/>
    <hyperlink ref="J124" r:id="rId46"/>
    <hyperlink ref="J125" r:id="rId47"/>
    <hyperlink ref="J126" r:id="rId48"/>
    <hyperlink ref="J133" r:id="rId49"/>
    <hyperlink ref="J138" r:id="rId50"/>
    <hyperlink ref="J139" r:id="rId51"/>
    <hyperlink ref="J140" r:id="rId52"/>
    <hyperlink ref="J147" r:id="rId53"/>
    <hyperlink ref="J145" r:id="rId54"/>
    <hyperlink ref="J146" r:id="rId55"/>
    <hyperlink ref="J152" r:id="rId56"/>
    <hyperlink ref="J153" r:id="rId57" display="https://rceletrica.com.br/"/>
    <hyperlink ref="J154" r:id="rId58"/>
    <hyperlink ref="J160" r:id="rId59"/>
    <hyperlink ref="J166" r:id="rId60"/>
    <hyperlink ref="J167" r:id="rId61"/>
    <hyperlink ref="J168" r:id="rId62"/>
    <hyperlink ref="J173" r:id="rId63"/>
    <hyperlink ref="J174" r:id="rId64"/>
    <hyperlink ref="J175" r:id="rId65"/>
    <hyperlink ref="J180" r:id="rId66"/>
    <hyperlink ref="J181" r:id="rId67"/>
    <hyperlink ref="J182" r:id="rId68"/>
  </hyperlinks>
  <pageMargins left="0.51181102362204722" right="0.51181102362204722" top="0.78740157480314965" bottom="0.78740157480314965" header="0.31496062992125984" footer="0.31496062992125984"/>
  <pageSetup paperSize="9" scale="46" fitToHeight="0" orientation="portrait" r:id="rId69"/>
  <rowBreaks count="2" manualBreakCount="2">
    <brk id="57" max="11" man="1"/>
    <brk id="119" max="11" man="1"/>
  </rowBreaks>
  <drawing r:id="rId7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610"/>
  <sheetViews>
    <sheetView view="pageBreakPreview" topLeftCell="A73" zoomScale="80" zoomScaleSheetLayoutView="80" workbookViewId="0">
      <selection activeCell="O34" sqref="O34"/>
    </sheetView>
  </sheetViews>
  <sheetFormatPr defaultColWidth="9.140625" defaultRowHeight="12.75" outlineLevelRow="1" x14ac:dyDescent="0.2"/>
  <cols>
    <col min="1" max="1" width="14.7109375" style="69" customWidth="1"/>
    <col min="2" max="2" width="10" style="69" customWidth="1"/>
    <col min="3" max="3" width="11.42578125" style="69" customWidth="1"/>
    <col min="4" max="4" width="67.85546875" style="1258" customWidth="1"/>
    <col min="5" max="5" width="11" style="695" customWidth="1"/>
    <col min="6" max="6" width="9.85546875" style="721" bestFit="1" customWidth="1"/>
    <col min="7" max="7" width="13" style="695" customWidth="1"/>
    <col min="8" max="8" width="14" style="695" customWidth="1"/>
    <col min="9" max="9" width="16.42578125" style="722" customWidth="1"/>
    <col min="10" max="10" width="10.28515625" style="69" customWidth="1"/>
    <col min="11" max="11" width="13.28515625" style="69" customWidth="1"/>
    <col min="12" max="12" width="26.28515625" style="69" customWidth="1"/>
    <col min="13" max="13" width="12.42578125" style="69" customWidth="1"/>
    <col min="14" max="14" width="9.140625" style="69"/>
    <col min="15" max="15" width="29" style="69" bestFit="1" customWidth="1"/>
    <col min="16" max="16" width="12" style="69" bestFit="1" customWidth="1"/>
    <col min="17" max="17" width="13.140625" style="69" bestFit="1" customWidth="1"/>
    <col min="18" max="16384" width="9.140625" style="69"/>
  </cols>
  <sheetData>
    <row r="1" spans="1:12" ht="69.95" customHeight="1" x14ac:dyDescent="0.2"/>
    <row r="2" spans="1:12" s="140" customFormat="1" ht="21.75" customHeight="1" x14ac:dyDescent="0.2">
      <c r="A2" s="138" t="s">
        <v>79</v>
      </c>
      <c r="B2" s="1526" t="s">
        <v>408</v>
      </c>
      <c r="C2" s="1527"/>
      <c r="D2" s="1527"/>
      <c r="E2" s="1527"/>
      <c r="F2" s="1527"/>
      <c r="G2" s="1554" t="s">
        <v>85</v>
      </c>
      <c r="H2" s="1554"/>
      <c r="I2" s="1522" t="s">
        <v>407</v>
      </c>
      <c r="J2" s="1523"/>
    </row>
    <row r="3" spans="1:12" s="140" customFormat="1" ht="22.5" customHeight="1" x14ac:dyDescent="0.2">
      <c r="A3" s="138" t="s">
        <v>80</v>
      </c>
      <c r="B3" s="1528" t="s">
        <v>510</v>
      </c>
      <c r="C3" s="1529"/>
      <c r="D3" s="1529"/>
      <c r="E3" s="1529"/>
      <c r="F3" s="1529"/>
      <c r="G3" s="1554"/>
      <c r="H3" s="1554"/>
      <c r="I3" s="1524"/>
      <c r="J3" s="1525"/>
    </row>
    <row r="4" spans="1:12" s="140" customFormat="1" ht="16.5" customHeight="1" x14ac:dyDescent="0.2">
      <c r="A4" s="138" t="s">
        <v>161</v>
      </c>
      <c r="B4" s="1526" t="s">
        <v>511</v>
      </c>
      <c r="C4" s="1527"/>
      <c r="D4" s="1527"/>
      <c r="E4" s="1527"/>
      <c r="F4" s="1527"/>
      <c r="G4" s="1527"/>
      <c r="H4" s="1527"/>
      <c r="I4" s="1527"/>
      <c r="J4" s="1530"/>
      <c r="K4" s="144"/>
      <c r="L4" s="144"/>
    </row>
    <row r="5" spans="1:12" s="21" customFormat="1" ht="15" x14ac:dyDescent="0.2">
      <c r="A5" s="1232" t="s">
        <v>81</v>
      </c>
      <c r="B5" s="1531">
        <f>BDI!I24</f>
        <v>0.2881986483454233</v>
      </c>
      <c r="C5" s="1532"/>
      <c r="D5" s="1533"/>
      <c r="E5" s="1534" t="s">
        <v>55</v>
      </c>
      <c r="F5" s="1535"/>
      <c r="G5" s="1543" t="s">
        <v>2409</v>
      </c>
      <c r="H5" s="1544"/>
      <c r="I5" s="1544"/>
      <c r="J5" s="1545"/>
      <c r="K5" s="140"/>
    </row>
    <row r="6" spans="1:12" s="21" customFormat="1" ht="19.5" customHeight="1" x14ac:dyDescent="0.2">
      <c r="A6" s="1489" t="s">
        <v>82</v>
      </c>
      <c r="B6" s="1363" t="s">
        <v>310</v>
      </c>
      <c r="C6" s="1538"/>
      <c r="D6" s="1539"/>
      <c r="E6" s="1536"/>
      <c r="F6" s="1537"/>
      <c r="G6" s="1546"/>
      <c r="H6" s="1547"/>
      <c r="I6" s="1547"/>
      <c r="J6" s="1548"/>
      <c r="K6" s="140"/>
    </row>
    <row r="7" spans="1:12" s="21" customFormat="1" ht="32.25" customHeight="1" thickBot="1" x14ac:dyDescent="0.25">
      <c r="A7" s="1490"/>
      <c r="B7" s="1540"/>
      <c r="C7" s="1541"/>
      <c r="D7" s="1542"/>
      <c r="E7" s="1549" t="s">
        <v>83</v>
      </c>
      <c r="F7" s="1550"/>
      <c r="G7" s="1551" t="s">
        <v>195</v>
      </c>
      <c r="H7" s="1552"/>
      <c r="I7" s="1552"/>
      <c r="J7" s="1553"/>
      <c r="K7" s="140"/>
    </row>
    <row r="8" spans="1:12" ht="9" customHeight="1" x14ac:dyDescent="0.2">
      <c r="A8" s="1512" t="s">
        <v>406</v>
      </c>
      <c r="B8" s="1513"/>
      <c r="C8" s="1513"/>
      <c r="D8" s="1513"/>
      <c r="E8" s="1513"/>
      <c r="F8" s="1513"/>
      <c r="G8" s="1513"/>
      <c r="H8" s="1513"/>
      <c r="I8" s="1513"/>
      <c r="J8" s="1514"/>
    </row>
    <row r="9" spans="1:12" ht="9" customHeight="1" thickBot="1" x14ac:dyDescent="0.25">
      <c r="A9" s="1515"/>
      <c r="B9" s="1516"/>
      <c r="C9" s="1516"/>
      <c r="D9" s="1516"/>
      <c r="E9" s="1516"/>
      <c r="F9" s="1516"/>
      <c r="G9" s="1516"/>
      <c r="H9" s="1516"/>
      <c r="I9" s="1516"/>
      <c r="J9" s="1517"/>
    </row>
    <row r="10" spans="1:12" ht="26.25" thickBot="1" x14ac:dyDescent="0.25">
      <c r="A10" s="40" t="s">
        <v>15</v>
      </c>
      <c r="B10" s="40" t="s">
        <v>184</v>
      </c>
      <c r="C10" s="40" t="s">
        <v>48</v>
      </c>
      <c r="D10" s="40" t="s">
        <v>16</v>
      </c>
      <c r="E10" s="40" t="s">
        <v>17</v>
      </c>
      <c r="F10" s="41" t="s">
        <v>18</v>
      </c>
      <c r="G10" s="42" t="s">
        <v>19</v>
      </c>
      <c r="H10" s="42" t="s">
        <v>43</v>
      </c>
      <c r="I10" s="43" t="s">
        <v>20</v>
      </c>
      <c r="J10" s="44" t="s">
        <v>42</v>
      </c>
      <c r="K10" s="723">
        <f>1+B5</f>
        <v>1.2881986483454233</v>
      </c>
    </row>
    <row r="11" spans="1:12" ht="13.5" thickBot="1" x14ac:dyDescent="0.25"/>
    <row r="12" spans="1:12" ht="15.75" customHeight="1" thickBot="1" x14ac:dyDescent="0.25">
      <c r="A12" s="1263">
        <v>1</v>
      </c>
      <c r="B12" s="1264"/>
      <c r="C12" s="1264"/>
      <c r="D12" s="1499" t="s">
        <v>512</v>
      </c>
      <c r="E12" s="1499"/>
      <c r="F12" s="1499"/>
      <c r="G12" s="1499"/>
      <c r="H12" s="1499"/>
      <c r="I12" s="1500"/>
      <c r="J12" s="724">
        <f>I14/$I$604</f>
        <v>2.1121250532994039E-2</v>
      </c>
      <c r="L12" s="725"/>
    </row>
    <row r="13" spans="1:12" ht="18" customHeight="1" outlineLevel="1" x14ac:dyDescent="0.2">
      <c r="A13" s="1029" t="s">
        <v>0</v>
      </c>
      <c r="B13" s="1501" t="str">
        <f>COMPOSIÇÕES!A11</f>
        <v>COMPOSIÇÃO 1</v>
      </c>
      <c r="C13" s="1502"/>
      <c r="D13" s="1268" t="str">
        <f>COMPOSIÇÕES!C10</f>
        <v>ADMINISTRAÇÃO LOCAL DA OBRA</v>
      </c>
      <c r="E13" s="1275" t="s">
        <v>219</v>
      </c>
      <c r="F13" s="297">
        <v>1</v>
      </c>
      <c r="G13" s="127">
        <f>COMPOSIÇÕES!M15</f>
        <v>21518.400000000001</v>
      </c>
      <c r="H13" s="127">
        <f>ROUND((G13*$K$10),2)</f>
        <v>27719.97</v>
      </c>
      <c r="I13" s="726">
        <f>ROUND(((F13*H13)),2)</f>
        <v>27719.97</v>
      </c>
      <c r="L13" s="309">
        <f>I13/$I$604</f>
        <v>2.1121250532994039E-2</v>
      </c>
    </row>
    <row r="14" spans="1:12" ht="13.5" thickBot="1" x14ac:dyDescent="0.25">
      <c r="A14" s="1495" t="s">
        <v>849</v>
      </c>
      <c r="B14" s="1495"/>
      <c r="C14" s="1495"/>
      <c r="D14" s="1495"/>
      <c r="E14" s="1495"/>
      <c r="F14" s="1495"/>
      <c r="G14" s="1495"/>
      <c r="H14" s="1262"/>
      <c r="I14" s="1215">
        <f>ROUND(SUM(I13:I13),2)</f>
        <v>27719.97</v>
      </c>
      <c r="L14" s="725"/>
    </row>
    <row r="15" spans="1:12" ht="17.25" customHeight="1" thickBot="1" x14ac:dyDescent="0.25">
      <c r="A15" s="1263">
        <v>2</v>
      </c>
      <c r="B15" s="1264"/>
      <c r="C15" s="1264"/>
      <c r="D15" s="1499" t="s">
        <v>21</v>
      </c>
      <c r="E15" s="1499"/>
      <c r="F15" s="1499"/>
      <c r="G15" s="1499"/>
      <c r="H15" s="1499"/>
      <c r="I15" s="1500"/>
      <c r="J15" s="724">
        <f>I24/$I$604</f>
        <v>3.4323684596694957E-2</v>
      </c>
      <c r="L15" s="725"/>
    </row>
    <row r="16" spans="1:12" ht="18.75" customHeight="1" outlineLevel="1" x14ac:dyDescent="0.2">
      <c r="A16" s="1029" t="s">
        <v>1</v>
      </c>
      <c r="B16" s="1029" t="s">
        <v>182</v>
      </c>
      <c r="C16" s="1029">
        <v>11340</v>
      </c>
      <c r="D16" s="1268" t="s">
        <v>513</v>
      </c>
      <c r="E16" s="1275" t="s">
        <v>196</v>
      </c>
      <c r="F16" s="297">
        <f>ROUND(('2.SER.PRE'!C17),2)</f>
        <v>6</v>
      </c>
      <c r="G16" s="127">
        <v>176.27</v>
      </c>
      <c r="H16" s="127">
        <f>ROUND((G16*$K$10),2)</f>
        <v>227.07</v>
      </c>
      <c r="I16" s="127">
        <f>ROUND(((F16*H16)),2)</f>
        <v>1362.42</v>
      </c>
      <c r="J16" s="727"/>
      <c r="L16" s="725">
        <f>I16/$I$604</f>
        <v>1.0380968720803715E-3</v>
      </c>
    </row>
    <row r="17" spans="1:17" ht="19.5" customHeight="1" outlineLevel="1" x14ac:dyDescent="0.2">
      <c r="A17" s="1029" t="s">
        <v>2</v>
      </c>
      <c r="B17" s="1029" t="s">
        <v>182</v>
      </c>
      <c r="C17" s="1029" t="s">
        <v>2589</v>
      </c>
      <c r="D17" s="1268" t="s">
        <v>2590</v>
      </c>
      <c r="E17" s="1275" t="s">
        <v>327</v>
      </c>
      <c r="F17" s="131">
        <f>'2.SER.PRE'!C21</f>
        <v>1</v>
      </c>
      <c r="G17" s="127">
        <v>12622.32</v>
      </c>
      <c r="H17" s="127">
        <f>ROUND((G17*$K$10),2)</f>
        <v>16260.06</v>
      </c>
      <c r="I17" s="127">
        <f t="shared" ref="I17" si="0">ROUND(((F17*H17)),2)</f>
        <v>16260.06</v>
      </c>
      <c r="J17" s="727"/>
      <c r="L17" s="725">
        <f>I17/$I$604</f>
        <v>1.2389364091718534E-2</v>
      </c>
    </row>
    <row r="18" spans="1:17" ht="19.5" customHeight="1" outlineLevel="1" x14ac:dyDescent="0.2">
      <c r="A18" s="1029" t="s">
        <v>3</v>
      </c>
      <c r="B18" s="1029" t="s">
        <v>183</v>
      </c>
      <c r="C18" s="1029" t="s">
        <v>409</v>
      </c>
      <c r="D18" s="1268" t="s">
        <v>410</v>
      </c>
      <c r="E18" s="1275" t="s">
        <v>196</v>
      </c>
      <c r="F18" s="297">
        <f>'2.SER.PRE'!C29</f>
        <v>918.5</v>
      </c>
      <c r="G18" s="127">
        <v>2.4700000000000002</v>
      </c>
      <c r="H18" s="127">
        <f t="shared" ref="H18:H23" si="1">ROUND((G18*$K$10),2)</f>
        <v>3.18</v>
      </c>
      <c r="I18" s="127">
        <f t="shared" ref="I18:I23" si="2">ROUND(((F18*H18)),2)</f>
        <v>2920.83</v>
      </c>
      <c r="J18" s="727"/>
      <c r="L18" s="725">
        <f>I18/$I$604</f>
        <v>2.2255284617654697E-3</v>
      </c>
    </row>
    <row r="19" spans="1:17" ht="18" customHeight="1" outlineLevel="1" x14ac:dyDescent="0.2">
      <c r="A19" s="1029" t="s">
        <v>276</v>
      </c>
      <c r="B19" s="1029" t="s">
        <v>182</v>
      </c>
      <c r="C19" s="1029" t="s">
        <v>1331</v>
      </c>
      <c r="D19" s="1268" t="s">
        <v>1332</v>
      </c>
      <c r="E19" s="1275" t="s">
        <v>219</v>
      </c>
      <c r="F19" s="297">
        <f>'2.SER.PRE'!C33</f>
        <v>5</v>
      </c>
      <c r="G19" s="127">
        <v>170.7</v>
      </c>
      <c r="H19" s="127">
        <f>ROUND((G19*$K$10),2)</f>
        <v>219.9</v>
      </c>
      <c r="I19" s="127">
        <f t="shared" si="2"/>
        <v>1099.5</v>
      </c>
      <c r="J19" s="727"/>
      <c r="L19" s="725"/>
    </row>
    <row r="20" spans="1:17" ht="18.75" customHeight="1" outlineLevel="1" x14ac:dyDescent="0.2">
      <c r="A20" s="1029" t="s">
        <v>412</v>
      </c>
      <c r="B20" s="1029" t="s">
        <v>182</v>
      </c>
      <c r="C20" s="1029">
        <v>10009</v>
      </c>
      <c r="D20" s="1268" t="s">
        <v>514</v>
      </c>
      <c r="E20" s="1275" t="s">
        <v>196</v>
      </c>
      <c r="F20" s="297">
        <f>'2.SER.PRE'!C41</f>
        <v>608.92999999999995</v>
      </c>
      <c r="G20" s="127">
        <v>4.87</v>
      </c>
      <c r="H20" s="127">
        <f t="shared" si="1"/>
        <v>6.27</v>
      </c>
      <c r="I20" s="127">
        <f t="shared" si="2"/>
        <v>3817.99</v>
      </c>
      <c r="J20" s="727"/>
      <c r="L20" s="725">
        <f>I20/$I$604</f>
        <v>2.9091201513733924E-3</v>
      </c>
    </row>
    <row r="21" spans="1:17" ht="18.75" customHeight="1" outlineLevel="1" x14ac:dyDescent="0.2">
      <c r="A21" s="1029" t="s">
        <v>517</v>
      </c>
      <c r="B21" s="1029" t="s">
        <v>182</v>
      </c>
      <c r="C21" s="1029">
        <v>10005</v>
      </c>
      <c r="D21" s="1268" t="s">
        <v>515</v>
      </c>
      <c r="E21" s="1275" t="s">
        <v>196</v>
      </c>
      <c r="F21" s="297">
        <f>'2.SER.PRE'!C46</f>
        <v>12</v>
      </c>
      <c r="G21" s="127">
        <v>287.22000000000003</v>
      </c>
      <c r="H21" s="127">
        <f t="shared" si="1"/>
        <v>370</v>
      </c>
      <c r="I21" s="127">
        <f t="shared" si="2"/>
        <v>4440</v>
      </c>
      <c r="J21" s="727"/>
      <c r="L21" s="309">
        <f>I21/$I$604</f>
        <v>3.3830611060002417E-3</v>
      </c>
    </row>
    <row r="22" spans="1:17" ht="18.75" customHeight="1" outlineLevel="1" x14ac:dyDescent="0.2">
      <c r="A22" s="1029" t="s">
        <v>1330</v>
      </c>
      <c r="B22" s="1029" t="s">
        <v>182</v>
      </c>
      <c r="C22" s="1029" t="s">
        <v>411</v>
      </c>
      <c r="D22" s="1268" t="s">
        <v>516</v>
      </c>
      <c r="E22" s="1275" t="s">
        <v>200</v>
      </c>
      <c r="F22" s="297">
        <f>'2.SER.PRE'!C53</f>
        <v>91.85</v>
      </c>
      <c r="G22" s="127">
        <v>69.989999999999995</v>
      </c>
      <c r="H22" s="127">
        <f t="shared" si="1"/>
        <v>90.16</v>
      </c>
      <c r="I22" s="127">
        <f t="shared" si="2"/>
        <v>8281.2000000000007</v>
      </c>
      <c r="J22" s="727"/>
      <c r="L22" s="309"/>
    </row>
    <row r="23" spans="1:17" ht="18.75" customHeight="1" outlineLevel="1" x14ac:dyDescent="0.2">
      <c r="A23" s="1029" t="s">
        <v>2588</v>
      </c>
      <c r="B23" s="1029" t="s">
        <v>183</v>
      </c>
      <c r="C23" s="1029" t="s">
        <v>518</v>
      </c>
      <c r="D23" s="1268" t="s">
        <v>519</v>
      </c>
      <c r="E23" s="1275" t="s">
        <v>196</v>
      </c>
      <c r="F23" s="297">
        <f>'2.SER.PRE'!C61</f>
        <v>49.4</v>
      </c>
      <c r="G23" s="127">
        <v>107.88</v>
      </c>
      <c r="H23" s="127">
        <f t="shared" si="1"/>
        <v>138.97</v>
      </c>
      <c r="I23" s="127">
        <f t="shared" si="2"/>
        <v>6865.12</v>
      </c>
      <c r="J23" s="727"/>
      <c r="L23" s="309"/>
    </row>
    <row r="24" spans="1:17" s="728" customFormat="1" ht="13.5" thickBot="1" x14ac:dyDescent="0.25">
      <c r="A24" s="1495" t="s">
        <v>848</v>
      </c>
      <c r="B24" s="1495"/>
      <c r="C24" s="1495"/>
      <c r="D24" s="1495"/>
      <c r="E24" s="1495"/>
      <c r="F24" s="1495"/>
      <c r="G24" s="1495"/>
      <c r="H24" s="1262"/>
      <c r="I24" s="1215">
        <f>ROUND(SUM(I16:I23),2)</f>
        <v>45047.12</v>
      </c>
      <c r="J24" s="69"/>
      <c r="L24" s="725"/>
    </row>
    <row r="25" spans="1:17" s="728" customFormat="1" ht="18" customHeight="1" thickBot="1" x14ac:dyDescent="0.25">
      <c r="A25" s="1263">
        <v>3</v>
      </c>
      <c r="B25" s="1264"/>
      <c r="C25" s="1264"/>
      <c r="D25" s="1499" t="s">
        <v>197</v>
      </c>
      <c r="E25" s="1499"/>
      <c r="F25" s="1499"/>
      <c r="G25" s="1499"/>
      <c r="H25" s="1499"/>
      <c r="I25" s="1500"/>
      <c r="J25" s="724">
        <f>I27/$I$604</f>
        <v>8.3493567120736193E-3</v>
      </c>
      <c r="L25" s="725"/>
      <c r="Q25" s="729">
        <v>355250</v>
      </c>
    </row>
    <row r="26" spans="1:17" s="728" customFormat="1" ht="32.25" customHeight="1" outlineLevel="1" x14ac:dyDescent="0.2">
      <c r="A26" s="1029" t="s">
        <v>172</v>
      </c>
      <c r="B26" s="1029" t="s">
        <v>183</v>
      </c>
      <c r="C26" s="1029" t="s">
        <v>489</v>
      </c>
      <c r="D26" s="1239" t="s">
        <v>199</v>
      </c>
      <c r="E26" s="1275" t="s">
        <v>200</v>
      </c>
      <c r="F26" s="297">
        <f>'3.M.TER.'!C20</f>
        <v>116.03</v>
      </c>
      <c r="G26" s="127">
        <v>73.31</v>
      </c>
      <c r="H26" s="127">
        <f>ROUND((G26*$K$10),2)</f>
        <v>94.44</v>
      </c>
      <c r="I26" s="127">
        <f>ROUND(((F26*H26)),2)</f>
        <v>10957.87</v>
      </c>
      <c r="J26" s="69"/>
      <c r="L26" s="725">
        <f>I26/$I$604</f>
        <v>8.3493567120736193E-3</v>
      </c>
    </row>
    <row r="27" spans="1:17" ht="13.5" thickBot="1" x14ac:dyDescent="0.25">
      <c r="A27" s="1495" t="s">
        <v>847</v>
      </c>
      <c r="B27" s="1495"/>
      <c r="C27" s="1495"/>
      <c r="D27" s="1495"/>
      <c r="E27" s="1495"/>
      <c r="F27" s="1495"/>
      <c r="G27" s="1495"/>
      <c r="H27" s="651"/>
      <c r="I27" s="1215">
        <f>ROUND(SUM(I26:I26),2)</f>
        <v>10957.87</v>
      </c>
      <c r="L27" s="725"/>
    </row>
    <row r="28" spans="1:17" ht="16.5" customHeight="1" thickBot="1" x14ac:dyDescent="0.25">
      <c r="A28" s="1263">
        <v>4</v>
      </c>
      <c r="B28" s="1264"/>
      <c r="C28" s="1264"/>
      <c r="D28" s="1499" t="s">
        <v>2370</v>
      </c>
      <c r="E28" s="1499"/>
      <c r="F28" s="1499"/>
      <c r="G28" s="1499"/>
      <c r="H28" s="1499"/>
      <c r="I28" s="1500"/>
      <c r="J28" s="724">
        <f>I60/$I$604</f>
        <v>7.2944313968429958E-2</v>
      </c>
      <c r="L28" s="725"/>
    </row>
    <row r="29" spans="1:17" ht="16.5" customHeight="1" outlineLevel="1" thickBot="1" x14ac:dyDescent="0.25">
      <c r="A29" s="647" t="s">
        <v>171</v>
      </c>
      <c r="B29" s="648"/>
      <c r="C29" s="648"/>
      <c r="D29" s="649" t="s">
        <v>415</v>
      </c>
      <c r="E29" s="649"/>
      <c r="F29" s="649"/>
      <c r="G29" s="649"/>
      <c r="H29" s="649"/>
      <c r="I29" s="650"/>
      <c r="L29" s="725"/>
    </row>
    <row r="30" spans="1:17" s="728" customFormat="1" ht="16.5" customHeight="1" outlineLevel="1" x14ac:dyDescent="0.2">
      <c r="A30" s="1029" t="s">
        <v>173</v>
      </c>
      <c r="B30" s="1259" t="s">
        <v>182</v>
      </c>
      <c r="C30" s="1029" t="s">
        <v>1016</v>
      </c>
      <c r="D30" s="1239" t="s">
        <v>1017</v>
      </c>
      <c r="E30" s="1275" t="s">
        <v>200</v>
      </c>
      <c r="F30" s="297">
        <f>'4.FUND.'!C25</f>
        <v>83.01</v>
      </c>
      <c r="G30" s="127">
        <v>51.21</v>
      </c>
      <c r="H30" s="127">
        <f>ROUND((G30*$K$10),2)</f>
        <v>65.97</v>
      </c>
      <c r="I30" s="127">
        <f>ROUND(((F30*H30)),2)</f>
        <v>5476.17</v>
      </c>
      <c r="J30" s="69"/>
      <c r="L30" s="725">
        <f t="shared" ref="L30:L35" si="3">I30/$I$604</f>
        <v>4.1725715623525551E-3</v>
      </c>
    </row>
    <row r="31" spans="1:17" ht="28.5" customHeight="1" outlineLevel="1" x14ac:dyDescent="0.2">
      <c r="A31" s="1029" t="s">
        <v>252</v>
      </c>
      <c r="B31" s="1259" t="s">
        <v>183</v>
      </c>
      <c r="C31" s="38">
        <v>95240</v>
      </c>
      <c r="D31" s="3" t="s">
        <v>203</v>
      </c>
      <c r="E31" s="38" t="s">
        <v>201</v>
      </c>
      <c r="F31" s="39">
        <f>'4.FUND.'!C38</f>
        <v>54.27</v>
      </c>
      <c r="G31" s="66">
        <v>17.350000000000001</v>
      </c>
      <c r="H31" s="127">
        <f t="shared" ref="H31:H37" si="4">ROUND((G31*$K$10),2)</f>
        <v>22.35</v>
      </c>
      <c r="I31" s="127">
        <f t="shared" ref="I31:I37" si="5">ROUND(((F31*H31)),2)</f>
        <v>1212.93</v>
      </c>
      <c r="L31" s="725">
        <f t="shared" si="3"/>
        <v>9.2419286200470124E-4</v>
      </c>
    </row>
    <row r="32" spans="1:17" ht="30.75" customHeight="1" outlineLevel="1" x14ac:dyDescent="0.2">
      <c r="A32" s="1029" t="s">
        <v>253</v>
      </c>
      <c r="B32" s="1259" t="s">
        <v>183</v>
      </c>
      <c r="C32" s="1259">
        <v>96536</v>
      </c>
      <c r="D32" s="69" t="s">
        <v>204</v>
      </c>
      <c r="E32" s="38" t="s">
        <v>201</v>
      </c>
      <c r="F32" s="39">
        <f>'4.FUND.'!C51</f>
        <v>47.91</v>
      </c>
      <c r="G32" s="66">
        <v>64.37</v>
      </c>
      <c r="H32" s="127">
        <f t="shared" si="4"/>
        <v>82.92</v>
      </c>
      <c r="I32" s="127">
        <f t="shared" si="5"/>
        <v>3972.7</v>
      </c>
      <c r="L32" s="309">
        <f t="shared" si="3"/>
        <v>3.0270015441007116E-3</v>
      </c>
    </row>
    <row r="33" spans="1:12" ht="30.75" customHeight="1" outlineLevel="1" x14ac:dyDescent="0.2">
      <c r="A33" s="1029" t="s">
        <v>626</v>
      </c>
      <c r="B33" s="1259" t="s">
        <v>183</v>
      </c>
      <c r="C33" s="1259" t="s">
        <v>913</v>
      </c>
      <c r="D33" s="247" t="s">
        <v>914</v>
      </c>
      <c r="E33" s="38" t="s">
        <v>205</v>
      </c>
      <c r="F33" s="132">
        <f>'4.FUND.'!G68</f>
        <v>365.4</v>
      </c>
      <c r="G33" s="66">
        <v>14.64</v>
      </c>
      <c r="H33" s="127">
        <f t="shared" si="4"/>
        <v>18.86</v>
      </c>
      <c r="I33" s="127">
        <f t="shared" si="5"/>
        <v>6891.44</v>
      </c>
      <c r="L33" s="309">
        <f t="shared" si="3"/>
        <v>5.2509375289041225E-3</v>
      </c>
    </row>
    <row r="34" spans="1:12" ht="30.75" customHeight="1" outlineLevel="1" x14ac:dyDescent="0.2">
      <c r="A34" s="1029" t="s">
        <v>627</v>
      </c>
      <c r="B34" s="1259" t="s">
        <v>183</v>
      </c>
      <c r="C34" s="1259" t="s">
        <v>915</v>
      </c>
      <c r="D34" s="247" t="s">
        <v>916</v>
      </c>
      <c r="E34" s="38" t="s">
        <v>205</v>
      </c>
      <c r="F34" s="132">
        <f>'4.FUND.'!G78</f>
        <v>164.88</v>
      </c>
      <c r="G34" s="66">
        <v>13.05</v>
      </c>
      <c r="H34" s="127">
        <f t="shared" si="4"/>
        <v>16.809999999999999</v>
      </c>
      <c r="I34" s="127">
        <f t="shared" si="5"/>
        <v>2771.63</v>
      </c>
      <c r="L34" s="309">
        <f t="shared" si="3"/>
        <v>2.1118454173926693E-3</v>
      </c>
    </row>
    <row r="35" spans="1:12" ht="44.25" customHeight="1" outlineLevel="1" x14ac:dyDescent="0.2">
      <c r="A35" s="1029" t="s">
        <v>911</v>
      </c>
      <c r="B35" s="1259" t="s">
        <v>183</v>
      </c>
      <c r="C35" s="1259" t="s">
        <v>1092</v>
      </c>
      <c r="D35" s="247" t="s">
        <v>1093</v>
      </c>
      <c r="E35" s="38" t="s">
        <v>200</v>
      </c>
      <c r="F35" s="39">
        <f>'4.FUND.'!C91</f>
        <v>13.79</v>
      </c>
      <c r="G35" s="66">
        <v>519.30999999999995</v>
      </c>
      <c r="H35" s="127">
        <f t="shared" si="4"/>
        <v>668.97</v>
      </c>
      <c r="I35" s="127">
        <f t="shared" si="5"/>
        <v>9225.1</v>
      </c>
      <c r="L35" s="309">
        <f t="shared" si="3"/>
        <v>7.0290713984150523E-3</v>
      </c>
    </row>
    <row r="36" spans="1:12" ht="29.25" customHeight="1" outlineLevel="1" x14ac:dyDescent="0.2">
      <c r="A36" s="1029" t="s">
        <v>912</v>
      </c>
      <c r="B36" s="1259" t="s">
        <v>183</v>
      </c>
      <c r="C36" s="1259" t="s">
        <v>2390</v>
      </c>
      <c r="D36" s="1230" t="s">
        <v>2391</v>
      </c>
      <c r="E36" s="38" t="s">
        <v>200</v>
      </c>
      <c r="F36" s="39">
        <f>'4.FUND.'!C96</f>
        <v>13.79</v>
      </c>
      <c r="G36" s="66">
        <v>232.26</v>
      </c>
      <c r="H36" s="127">
        <f t="shared" si="4"/>
        <v>299.2</v>
      </c>
      <c r="I36" s="127">
        <f t="shared" si="5"/>
        <v>4125.97</v>
      </c>
      <c r="L36" s="309"/>
    </row>
    <row r="37" spans="1:12" ht="30.75" customHeight="1" outlineLevel="1" thickBot="1" x14ac:dyDescent="0.25">
      <c r="A37" s="1029" t="s">
        <v>1096</v>
      </c>
      <c r="B37" s="1259" t="s">
        <v>182</v>
      </c>
      <c r="C37" s="1259" t="s">
        <v>1090</v>
      </c>
      <c r="D37" s="356" t="s">
        <v>1091</v>
      </c>
      <c r="E37" s="38" t="s">
        <v>201</v>
      </c>
      <c r="F37" s="39">
        <f>'4.FUND.'!C116</f>
        <v>84.91</v>
      </c>
      <c r="G37" s="66">
        <v>27.74</v>
      </c>
      <c r="H37" s="127">
        <f t="shared" si="4"/>
        <v>35.729999999999997</v>
      </c>
      <c r="I37" s="127">
        <f t="shared" si="5"/>
        <v>3033.83</v>
      </c>
      <c r="L37" s="309"/>
    </row>
    <row r="38" spans="1:12" ht="17.25" customHeight="1" outlineLevel="1" thickBot="1" x14ac:dyDescent="0.25">
      <c r="A38" s="524" t="s">
        <v>254</v>
      </c>
      <c r="B38" s="525"/>
      <c r="C38" s="525"/>
      <c r="D38" s="526" t="s">
        <v>212</v>
      </c>
      <c r="E38" s="526"/>
      <c r="F38" s="526"/>
      <c r="G38" s="526"/>
      <c r="H38" s="526"/>
      <c r="I38" s="527"/>
      <c r="L38" s="1306"/>
    </row>
    <row r="39" spans="1:12" ht="32.25" customHeight="1" outlineLevel="1" x14ac:dyDescent="0.2">
      <c r="A39" s="1029" t="s">
        <v>255</v>
      </c>
      <c r="B39" s="1259" t="s">
        <v>182</v>
      </c>
      <c r="C39" s="1259" t="s">
        <v>1019</v>
      </c>
      <c r="D39" s="69" t="s">
        <v>1020</v>
      </c>
      <c r="E39" s="38" t="s">
        <v>201</v>
      </c>
      <c r="F39" s="39">
        <f>'4.FUND.'!C133</f>
        <v>34.68</v>
      </c>
      <c r="G39" s="66">
        <v>64.709999999999994</v>
      </c>
      <c r="H39" s="127">
        <f>ROUND((G39*$K$10),2)</f>
        <v>83.36</v>
      </c>
      <c r="I39" s="127">
        <f>ROUND(((F39*H39)),2)</f>
        <v>2890.92</v>
      </c>
      <c r="L39" s="725">
        <f>I39/$I$604</f>
        <v>2.2027385163419415E-3</v>
      </c>
    </row>
    <row r="40" spans="1:12" ht="45.75" customHeight="1" outlineLevel="1" x14ac:dyDescent="0.2">
      <c r="A40" s="1029" t="s">
        <v>256</v>
      </c>
      <c r="B40" s="1259" t="s">
        <v>183</v>
      </c>
      <c r="C40" s="1259" t="s">
        <v>1092</v>
      </c>
      <c r="D40" s="247" t="s">
        <v>1093</v>
      </c>
      <c r="E40" s="38" t="s">
        <v>200</v>
      </c>
      <c r="F40" s="39">
        <f>'4.FUND.'!C149</f>
        <v>1.66</v>
      </c>
      <c r="G40" s="66">
        <v>519.30999999999995</v>
      </c>
      <c r="H40" s="127">
        <f t="shared" ref="H40:H46" si="6">ROUND((G40*$K$10),2)</f>
        <v>668.97</v>
      </c>
      <c r="I40" s="127">
        <f t="shared" ref="I40:I46" si="7">ROUND(((F40*H40)),2)</f>
        <v>1110.49</v>
      </c>
      <c r="L40" s="725">
        <f>I40/$I$604</f>
        <v>8.4613863234283973E-4</v>
      </c>
    </row>
    <row r="41" spans="1:12" ht="33" customHeight="1" outlineLevel="1" x14ac:dyDescent="0.2">
      <c r="A41" s="1029" t="s">
        <v>257</v>
      </c>
      <c r="B41" s="1259" t="s">
        <v>183</v>
      </c>
      <c r="C41" s="1259" t="s">
        <v>2390</v>
      </c>
      <c r="D41" s="1230" t="s">
        <v>2391</v>
      </c>
      <c r="E41" s="38" t="s">
        <v>200</v>
      </c>
      <c r="F41" s="39">
        <f>'4.FUND.'!C154</f>
        <v>1.66</v>
      </c>
      <c r="G41" s="66">
        <v>232.26</v>
      </c>
      <c r="H41" s="127">
        <f t="shared" si="6"/>
        <v>299.2</v>
      </c>
      <c r="I41" s="127">
        <f t="shared" si="7"/>
        <v>496.67</v>
      </c>
      <c r="L41" s="725"/>
    </row>
    <row r="42" spans="1:12" ht="41.25" customHeight="1" outlineLevel="1" x14ac:dyDescent="0.2">
      <c r="A42" s="1029" t="s">
        <v>258</v>
      </c>
      <c r="B42" s="1259" t="s">
        <v>183</v>
      </c>
      <c r="C42" s="1259" t="s">
        <v>316</v>
      </c>
      <c r="D42" s="3" t="s">
        <v>317</v>
      </c>
      <c r="E42" s="38" t="s">
        <v>205</v>
      </c>
      <c r="F42" s="39">
        <f>'4.FUND.'!G172</f>
        <v>203.61</v>
      </c>
      <c r="G42" s="66">
        <v>11.95</v>
      </c>
      <c r="H42" s="127">
        <f t="shared" si="6"/>
        <v>15.39</v>
      </c>
      <c r="I42" s="127">
        <f t="shared" si="7"/>
        <v>3133.56</v>
      </c>
      <c r="L42" s="725">
        <f>I42/$I$604</f>
        <v>2.387618234080657E-3</v>
      </c>
    </row>
    <row r="43" spans="1:12" ht="42" customHeight="1" outlineLevel="1" x14ac:dyDescent="0.2">
      <c r="A43" s="1029" t="s">
        <v>354</v>
      </c>
      <c r="B43" s="1259" t="s">
        <v>183</v>
      </c>
      <c r="C43" s="1259" t="s">
        <v>937</v>
      </c>
      <c r="D43" s="3" t="s">
        <v>938</v>
      </c>
      <c r="E43" s="38" t="s">
        <v>205</v>
      </c>
      <c r="F43" s="39">
        <f>'4.FUND.'!G192</f>
        <v>288.07</v>
      </c>
      <c r="G43" s="66">
        <v>10.130000000000001</v>
      </c>
      <c r="H43" s="127">
        <f t="shared" si="6"/>
        <v>13.05</v>
      </c>
      <c r="I43" s="127">
        <f t="shared" si="7"/>
        <v>3759.31</v>
      </c>
      <c r="L43" s="725">
        <f>I43/$I$604</f>
        <v>2.8644088843238218E-3</v>
      </c>
    </row>
    <row r="44" spans="1:12" ht="40.5" customHeight="1" outlineLevel="1" x14ac:dyDescent="0.2">
      <c r="A44" s="1029" t="s">
        <v>933</v>
      </c>
      <c r="B44" s="1259" t="s">
        <v>183</v>
      </c>
      <c r="C44" s="1259" t="s">
        <v>935</v>
      </c>
      <c r="D44" s="3" t="s">
        <v>936</v>
      </c>
      <c r="E44" s="38" t="s">
        <v>205</v>
      </c>
      <c r="F44" s="39">
        <f>'4.FUND.'!G201</f>
        <v>36.479999999999997</v>
      </c>
      <c r="G44" s="66">
        <v>9.7200000000000006</v>
      </c>
      <c r="H44" s="127">
        <f t="shared" si="6"/>
        <v>12.52</v>
      </c>
      <c r="I44" s="127">
        <f t="shared" si="7"/>
        <v>456.73</v>
      </c>
      <c r="L44" s="725">
        <f>I44/$I$604</f>
        <v>3.4800574300529067E-4</v>
      </c>
    </row>
    <row r="45" spans="1:12" ht="41.25" customHeight="1" outlineLevel="1" x14ac:dyDescent="0.2">
      <c r="A45" s="1029" t="s">
        <v>934</v>
      </c>
      <c r="B45" s="1259" t="s">
        <v>183</v>
      </c>
      <c r="C45" s="1259" t="s">
        <v>314</v>
      </c>
      <c r="D45" s="3" t="s">
        <v>315</v>
      </c>
      <c r="E45" s="38" t="s">
        <v>205</v>
      </c>
      <c r="F45" s="39">
        <f>'4.FUND.'!G225</f>
        <v>47.85</v>
      </c>
      <c r="G45" s="66">
        <v>14.46</v>
      </c>
      <c r="H45" s="127">
        <f t="shared" si="6"/>
        <v>18.63</v>
      </c>
      <c r="I45" s="127">
        <f t="shared" si="7"/>
        <v>891.45</v>
      </c>
      <c r="L45" s="725">
        <f>I45/$I$604</f>
        <v>6.792409511134945E-4</v>
      </c>
    </row>
    <row r="46" spans="1:12" ht="30" customHeight="1" outlineLevel="1" thickBot="1" x14ac:dyDescent="0.25">
      <c r="A46" s="1029" t="s">
        <v>1095</v>
      </c>
      <c r="B46" s="1259" t="s">
        <v>182</v>
      </c>
      <c r="C46" s="1259" t="s">
        <v>1090</v>
      </c>
      <c r="D46" s="356" t="s">
        <v>1091</v>
      </c>
      <c r="E46" s="38" t="s">
        <v>201</v>
      </c>
      <c r="F46" s="39">
        <f>'4.FUND.'!C230</f>
        <v>34.68</v>
      </c>
      <c r="G46" s="66">
        <v>27.74</v>
      </c>
      <c r="H46" s="127">
        <f t="shared" si="6"/>
        <v>35.729999999999997</v>
      </c>
      <c r="I46" s="127">
        <f t="shared" si="7"/>
        <v>1239.1199999999999</v>
      </c>
      <c r="L46" s="309"/>
    </row>
    <row r="47" spans="1:12" ht="17.25" customHeight="1" outlineLevel="1" thickBot="1" x14ac:dyDescent="0.25">
      <c r="A47" s="524" t="s">
        <v>416</v>
      </c>
      <c r="B47" s="525"/>
      <c r="C47" s="525"/>
      <c r="D47" s="526" t="s">
        <v>353</v>
      </c>
      <c r="E47" s="526"/>
      <c r="F47" s="526"/>
      <c r="G47" s="526"/>
      <c r="H47" s="526"/>
      <c r="I47" s="527"/>
      <c r="L47" s="725"/>
    </row>
    <row r="48" spans="1:12" s="728" customFormat="1" ht="15.75" customHeight="1" outlineLevel="1" x14ac:dyDescent="0.2">
      <c r="A48" s="1029" t="s">
        <v>417</v>
      </c>
      <c r="B48" s="1259" t="s">
        <v>182</v>
      </c>
      <c r="C48" s="1029" t="s">
        <v>1016</v>
      </c>
      <c r="D48" s="1239" t="s">
        <v>1017</v>
      </c>
      <c r="E48" s="1275" t="s">
        <v>200</v>
      </c>
      <c r="F48" s="297">
        <f>'4.FUND.'!C266</f>
        <v>11.09</v>
      </c>
      <c r="G48" s="127">
        <v>51.21</v>
      </c>
      <c r="H48" s="127">
        <f>ROUND((G48*$K$10),2)</f>
        <v>65.97</v>
      </c>
      <c r="I48" s="127">
        <f>ROUND(((F48*H48)),2)</f>
        <v>731.61</v>
      </c>
      <c r="J48" s="69"/>
      <c r="L48" s="725">
        <f>I48/$I$604</f>
        <v>5.5745075129748584E-4</v>
      </c>
    </row>
    <row r="49" spans="1:12" ht="28.5" customHeight="1" outlineLevel="1" x14ac:dyDescent="0.2">
      <c r="A49" s="1029" t="s">
        <v>418</v>
      </c>
      <c r="B49" s="1259" t="s">
        <v>183</v>
      </c>
      <c r="C49" s="38">
        <v>96617</v>
      </c>
      <c r="D49" s="3" t="s">
        <v>246</v>
      </c>
      <c r="E49" s="38" t="s">
        <v>201</v>
      </c>
      <c r="F49" s="39">
        <f>'4.FUND.'!C299</f>
        <v>61.51</v>
      </c>
      <c r="G49" s="66">
        <v>17.96</v>
      </c>
      <c r="H49" s="127">
        <f t="shared" ref="H49:H59" si="8">ROUND((G49*$K$10),2)</f>
        <v>23.14</v>
      </c>
      <c r="I49" s="127">
        <f t="shared" ref="I49:I59" si="9">ROUND(((F49*H49)),2)</f>
        <v>1423.34</v>
      </c>
      <c r="L49" s="725">
        <f>I49/$I$604</f>
        <v>1.0845149086969334E-3</v>
      </c>
    </row>
    <row r="50" spans="1:12" ht="37.5" customHeight="1" outlineLevel="1" x14ac:dyDescent="0.2">
      <c r="A50" s="1029" t="s">
        <v>419</v>
      </c>
      <c r="B50" s="1259" t="s">
        <v>183</v>
      </c>
      <c r="C50" s="1259" t="s">
        <v>1018</v>
      </c>
      <c r="D50" s="69" t="s">
        <v>204</v>
      </c>
      <c r="E50" s="38" t="s">
        <v>201</v>
      </c>
      <c r="F50" s="39">
        <f>'4.FUND.'!C332</f>
        <v>147.5</v>
      </c>
      <c r="G50" s="66">
        <v>64.37</v>
      </c>
      <c r="H50" s="127">
        <f t="shared" si="8"/>
        <v>82.92</v>
      </c>
      <c r="I50" s="127">
        <f t="shared" si="9"/>
        <v>12230.7</v>
      </c>
      <c r="L50" s="725">
        <f>I50/$I$604</f>
        <v>9.3191904209813416E-3</v>
      </c>
    </row>
    <row r="51" spans="1:12" ht="28.5" customHeight="1" outlineLevel="1" x14ac:dyDescent="0.2">
      <c r="A51" s="1029" t="s">
        <v>628</v>
      </c>
      <c r="B51" s="1259" t="s">
        <v>183</v>
      </c>
      <c r="C51" s="1259" t="s">
        <v>913</v>
      </c>
      <c r="D51" s="356" t="s">
        <v>914</v>
      </c>
      <c r="E51" s="38" t="s">
        <v>205</v>
      </c>
      <c r="F51" s="39">
        <f>'4.FUND.'!G404</f>
        <v>223.6</v>
      </c>
      <c r="G51" s="66">
        <v>14.64</v>
      </c>
      <c r="H51" s="127">
        <f t="shared" si="8"/>
        <v>18.86</v>
      </c>
      <c r="I51" s="127">
        <f t="shared" si="9"/>
        <v>4217.1000000000004</v>
      </c>
      <c r="L51" s="309"/>
    </row>
    <row r="52" spans="1:12" ht="28.5" customHeight="1" outlineLevel="1" x14ac:dyDescent="0.2">
      <c r="A52" s="1029" t="s">
        <v>629</v>
      </c>
      <c r="B52" s="1259" t="s">
        <v>183</v>
      </c>
      <c r="C52" s="1259" t="s">
        <v>915</v>
      </c>
      <c r="D52" s="356" t="s">
        <v>916</v>
      </c>
      <c r="E52" s="38" t="s">
        <v>205</v>
      </c>
      <c r="F52" s="39">
        <f>'4.FUND.'!G455</f>
        <v>381.99</v>
      </c>
      <c r="G52" s="66">
        <v>13.05</v>
      </c>
      <c r="H52" s="127">
        <f t="shared" si="8"/>
        <v>16.809999999999999</v>
      </c>
      <c r="I52" s="127">
        <f t="shared" si="9"/>
        <v>6421.25</v>
      </c>
      <c r="L52" s="309"/>
    </row>
    <row r="53" spans="1:12" ht="28.5" customHeight="1" outlineLevel="1" x14ac:dyDescent="0.2">
      <c r="A53" s="1029" t="s">
        <v>974</v>
      </c>
      <c r="B53" s="1259" t="s">
        <v>183</v>
      </c>
      <c r="C53" s="1259" t="s">
        <v>981</v>
      </c>
      <c r="D53" s="356" t="s">
        <v>982</v>
      </c>
      <c r="E53" s="38" t="s">
        <v>205</v>
      </c>
      <c r="F53" s="39">
        <f>'4.FUND.'!G469</f>
        <v>93.55</v>
      </c>
      <c r="G53" s="66">
        <v>11.01</v>
      </c>
      <c r="H53" s="127">
        <f t="shared" si="8"/>
        <v>14.18</v>
      </c>
      <c r="I53" s="127">
        <f t="shared" si="9"/>
        <v>1326.54</v>
      </c>
      <c r="L53" s="309"/>
    </row>
    <row r="54" spans="1:12" ht="28.5" customHeight="1" outlineLevel="1" x14ac:dyDescent="0.2">
      <c r="A54" s="1029" t="s">
        <v>975</v>
      </c>
      <c r="B54" s="1259" t="s">
        <v>183</v>
      </c>
      <c r="C54" s="1259" t="s">
        <v>983</v>
      </c>
      <c r="D54" s="356" t="s">
        <v>984</v>
      </c>
      <c r="E54" s="38" t="s">
        <v>205</v>
      </c>
      <c r="F54" s="39">
        <f>'4.FUND.'!G477</f>
        <v>9.2799999999999994</v>
      </c>
      <c r="G54" s="66">
        <v>10.41</v>
      </c>
      <c r="H54" s="127">
        <f t="shared" si="8"/>
        <v>13.41</v>
      </c>
      <c r="I54" s="127">
        <f t="shared" si="9"/>
        <v>124.44</v>
      </c>
      <c r="L54" s="309"/>
    </row>
    <row r="55" spans="1:12" ht="28.5" customHeight="1" outlineLevel="1" x14ac:dyDescent="0.2">
      <c r="A55" s="1029" t="s">
        <v>976</v>
      </c>
      <c r="B55" s="1259" t="s">
        <v>183</v>
      </c>
      <c r="C55" s="1259" t="s">
        <v>979</v>
      </c>
      <c r="D55" s="356" t="s">
        <v>980</v>
      </c>
      <c r="E55" s="38" t="s">
        <v>205</v>
      </c>
      <c r="F55" s="39">
        <f>'4.FUND.'!G490</f>
        <v>7.74</v>
      </c>
      <c r="G55" s="66">
        <v>16.87</v>
      </c>
      <c r="H55" s="127">
        <f t="shared" si="8"/>
        <v>21.73</v>
      </c>
      <c r="I55" s="127">
        <f t="shared" si="9"/>
        <v>168.19</v>
      </c>
      <c r="L55" s="309"/>
    </row>
    <row r="56" spans="1:12" ht="42.75" customHeight="1" outlineLevel="1" x14ac:dyDescent="0.2">
      <c r="A56" s="1029" t="s">
        <v>977</v>
      </c>
      <c r="B56" s="1259" t="s">
        <v>183</v>
      </c>
      <c r="C56" s="1259" t="s">
        <v>1092</v>
      </c>
      <c r="D56" s="247" t="s">
        <v>1093</v>
      </c>
      <c r="E56" s="38" t="s">
        <v>200</v>
      </c>
      <c r="F56" s="39">
        <f>'4.FUND.'!C523</f>
        <v>11.09</v>
      </c>
      <c r="G56" s="66">
        <v>519.30999999999995</v>
      </c>
      <c r="H56" s="127">
        <f t="shared" si="8"/>
        <v>668.97</v>
      </c>
      <c r="I56" s="127">
        <f t="shared" si="9"/>
        <v>7418.88</v>
      </c>
      <c r="L56" s="309"/>
    </row>
    <row r="57" spans="1:12" ht="28.5" customHeight="1" outlineLevel="1" x14ac:dyDescent="0.2">
      <c r="A57" s="1029" t="s">
        <v>978</v>
      </c>
      <c r="B57" s="1259" t="s">
        <v>183</v>
      </c>
      <c r="C57" s="1259" t="s">
        <v>2390</v>
      </c>
      <c r="D57" s="1230" t="s">
        <v>2391</v>
      </c>
      <c r="E57" s="38" t="s">
        <v>200</v>
      </c>
      <c r="F57" s="39">
        <f>'4.FUND.'!C528</f>
        <v>11.09</v>
      </c>
      <c r="G57" s="66">
        <v>232.26</v>
      </c>
      <c r="H57" s="127">
        <f t="shared" si="8"/>
        <v>299.2</v>
      </c>
      <c r="I57" s="127">
        <f t="shared" si="9"/>
        <v>3318.13</v>
      </c>
      <c r="L57" s="309"/>
    </row>
    <row r="58" spans="1:12" ht="28.5" customHeight="1" outlineLevel="1" x14ac:dyDescent="0.2">
      <c r="A58" s="1029" t="s">
        <v>985</v>
      </c>
      <c r="B58" s="1259" t="s">
        <v>182</v>
      </c>
      <c r="C58" s="1259" t="s">
        <v>1090</v>
      </c>
      <c r="D58" s="356" t="s">
        <v>1091</v>
      </c>
      <c r="E58" s="38" t="s">
        <v>201</v>
      </c>
      <c r="F58" s="39">
        <f>'4.FUND.'!C533</f>
        <v>147.5</v>
      </c>
      <c r="G58" s="66">
        <v>27.74</v>
      </c>
      <c r="H58" s="127">
        <f t="shared" si="8"/>
        <v>35.729999999999997</v>
      </c>
      <c r="I58" s="127">
        <f t="shared" si="9"/>
        <v>5270.18</v>
      </c>
      <c r="L58" s="309"/>
    </row>
    <row r="59" spans="1:12" ht="28.5" customHeight="1" outlineLevel="1" x14ac:dyDescent="0.2">
      <c r="A59" s="1029" t="s">
        <v>1094</v>
      </c>
      <c r="B59" s="1259" t="s">
        <v>183</v>
      </c>
      <c r="C59" s="1259">
        <v>93382</v>
      </c>
      <c r="D59" s="3" t="s">
        <v>198</v>
      </c>
      <c r="E59" s="38" t="s">
        <v>200</v>
      </c>
      <c r="F59" s="39">
        <f>'4.FUND.'!H581</f>
        <v>69.650000000000006</v>
      </c>
      <c r="G59" s="66">
        <v>26.7</v>
      </c>
      <c r="H59" s="127">
        <f t="shared" si="8"/>
        <v>34.39</v>
      </c>
      <c r="I59" s="127">
        <f t="shared" si="9"/>
        <v>2395.2600000000002</v>
      </c>
      <c r="L59" s="725">
        <f>I59/$I$604</f>
        <v>1.8250700326031847E-3</v>
      </c>
    </row>
    <row r="60" spans="1:12" ht="12.75" customHeight="1" thickBot="1" x14ac:dyDescent="0.25">
      <c r="A60" s="1503" t="s">
        <v>846</v>
      </c>
      <c r="B60" s="1503"/>
      <c r="C60" s="1503"/>
      <c r="D60" s="1503"/>
      <c r="E60" s="1503"/>
      <c r="F60" s="1503"/>
      <c r="G60" s="1503"/>
      <c r="H60" s="61"/>
      <c r="I60" s="1216">
        <f>ROUND(SUM(I29:I59),2)</f>
        <v>95733.64</v>
      </c>
      <c r="L60" s="725"/>
    </row>
    <row r="61" spans="1:12" ht="16.5" customHeight="1" thickBot="1" x14ac:dyDescent="0.25">
      <c r="A61" s="1263">
        <v>5</v>
      </c>
      <c r="B61" s="1264"/>
      <c r="C61" s="1264"/>
      <c r="D61" s="1499" t="s">
        <v>202</v>
      </c>
      <c r="E61" s="1499"/>
      <c r="F61" s="1499"/>
      <c r="G61" s="1499"/>
      <c r="H61" s="1499"/>
      <c r="I61" s="1500"/>
      <c r="J61" s="724">
        <f>I92/$I$604</f>
        <v>6.4576236127668399E-2</v>
      </c>
      <c r="L61" s="725"/>
    </row>
    <row r="62" spans="1:12" ht="16.5" customHeight="1" outlineLevel="1" thickBot="1" x14ac:dyDescent="0.25">
      <c r="A62" s="647" t="s">
        <v>5</v>
      </c>
      <c r="B62" s="648"/>
      <c r="C62" s="648"/>
      <c r="D62" s="649" t="s">
        <v>420</v>
      </c>
      <c r="E62" s="649"/>
      <c r="F62" s="649"/>
      <c r="G62" s="649"/>
      <c r="H62" s="649"/>
      <c r="I62" s="650"/>
      <c r="L62" s="725"/>
    </row>
    <row r="63" spans="1:12" ht="27" customHeight="1" outlineLevel="1" x14ac:dyDescent="0.2">
      <c r="A63" s="1275" t="s">
        <v>6</v>
      </c>
      <c r="B63" s="1259" t="s">
        <v>182</v>
      </c>
      <c r="C63" s="1029">
        <v>50035</v>
      </c>
      <c r="D63" s="1268" t="s">
        <v>1020</v>
      </c>
      <c r="E63" s="38" t="s">
        <v>201</v>
      </c>
      <c r="F63" s="297">
        <f>'5.SUP.'!C42</f>
        <v>109.18</v>
      </c>
      <c r="G63" s="127">
        <v>64.709999999999994</v>
      </c>
      <c r="H63" s="127">
        <f>ROUND((G63*$K$10),2)</f>
        <v>83.36</v>
      </c>
      <c r="I63" s="127">
        <f>ROUND(((F63*H63)),2)</f>
        <v>9101.24</v>
      </c>
      <c r="L63" s="309">
        <f>I63/$I$604</f>
        <v>6.934696184768838E-3</v>
      </c>
    </row>
    <row r="64" spans="1:12" ht="45" customHeight="1" outlineLevel="1" x14ac:dyDescent="0.2">
      <c r="A64" s="1275" t="s">
        <v>422</v>
      </c>
      <c r="B64" s="1259" t="s">
        <v>183</v>
      </c>
      <c r="C64" s="1259" t="s">
        <v>314</v>
      </c>
      <c r="D64" s="3" t="s">
        <v>315</v>
      </c>
      <c r="E64" s="1275" t="s">
        <v>205</v>
      </c>
      <c r="F64" s="297">
        <f>'5.SUP.'!G69</f>
        <v>110.44</v>
      </c>
      <c r="G64" s="66">
        <v>14.46</v>
      </c>
      <c r="H64" s="127">
        <f t="shared" ref="H64:H69" si="10">ROUND((G64*$K$10),2)</f>
        <v>18.63</v>
      </c>
      <c r="I64" s="127">
        <f t="shared" ref="I64:I69" si="11">ROUND(((F64*H64)),2)</f>
        <v>2057.5</v>
      </c>
      <c r="L64" s="725">
        <f>I64/$I$604</f>
        <v>1.5677135643233102E-3</v>
      </c>
    </row>
    <row r="65" spans="1:12" ht="42.75" customHeight="1" outlineLevel="1" x14ac:dyDescent="0.2">
      <c r="A65" s="1275" t="s">
        <v>423</v>
      </c>
      <c r="B65" s="1259" t="s">
        <v>183</v>
      </c>
      <c r="C65" s="1259" t="s">
        <v>316</v>
      </c>
      <c r="D65" s="3" t="s">
        <v>317</v>
      </c>
      <c r="E65" s="1275" t="s">
        <v>205</v>
      </c>
      <c r="F65" s="297">
        <f>'5.SUP.'!G100</f>
        <v>347.41</v>
      </c>
      <c r="G65" s="66">
        <v>11.95</v>
      </c>
      <c r="H65" s="127">
        <f t="shared" si="10"/>
        <v>15.39</v>
      </c>
      <c r="I65" s="127">
        <f t="shared" si="11"/>
        <v>5346.64</v>
      </c>
      <c r="L65" s="725">
        <f>I65/$I$604</f>
        <v>4.0738760882398951E-3</v>
      </c>
    </row>
    <row r="66" spans="1:12" ht="42.75" customHeight="1" outlineLevel="1" x14ac:dyDescent="0.2">
      <c r="A66" s="1275" t="s">
        <v>424</v>
      </c>
      <c r="B66" s="1259" t="s">
        <v>183</v>
      </c>
      <c r="C66" s="1029" t="s">
        <v>937</v>
      </c>
      <c r="D66" s="1239" t="s">
        <v>938</v>
      </c>
      <c r="E66" s="1275" t="s">
        <v>205</v>
      </c>
      <c r="F66" s="297">
        <f>'5.SUP.'!G125</f>
        <v>373.98</v>
      </c>
      <c r="G66" s="127">
        <v>10.130000000000001</v>
      </c>
      <c r="H66" s="127">
        <f t="shared" si="10"/>
        <v>13.05</v>
      </c>
      <c r="I66" s="127">
        <f t="shared" si="11"/>
        <v>4880.4399999999996</v>
      </c>
      <c r="L66" s="725"/>
    </row>
    <row r="67" spans="1:12" ht="42.75" customHeight="1" outlineLevel="1" x14ac:dyDescent="0.2">
      <c r="A67" s="1275" t="s">
        <v>425</v>
      </c>
      <c r="B67" s="1259" t="s">
        <v>183</v>
      </c>
      <c r="C67" s="1029" t="s">
        <v>935</v>
      </c>
      <c r="D67" s="1239" t="s">
        <v>936</v>
      </c>
      <c r="E67" s="1275" t="s">
        <v>205</v>
      </c>
      <c r="F67" s="297">
        <f>'5.SUP.'!G136</f>
        <v>93.73</v>
      </c>
      <c r="G67" s="127">
        <v>9.7200000000000006</v>
      </c>
      <c r="H67" s="127">
        <f t="shared" si="10"/>
        <v>12.52</v>
      </c>
      <c r="I67" s="127">
        <f t="shared" si="11"/>
        <v>1173.5</v>
      </c>
      <c r="L67" s="725"/>
    </row>
    <row r="68" spans="1:12" ht="45" customHeight="1" outlineLevel="1" x14ac:dyDescent="0.2">
      <c r="A68" s="1275" t="s">
        <v>1114</v>
      </c>
      <c r="B68" s="1259" t="s">
        <v>183</v>
      </c>
      <c r="C68" s="1029" t="s">
        <v>1092</v>
      </c>
      <c r="D68" s="1239" t="s">
        <v>1093</v>
      </c>
      <c r="E68" s="38" t="s">
        <v>200</v>
      </c>
      <c r="F68" s="297">
        <f>'5.SUP.'!C150</f>
        <v>5.16</v>
      </c>
      <c r="G68" s="127">
        <v>519.30999999999995</v>
      </c>
      <c r="H68" s="127">
        <f t="shared" si="10"/>
        <v>668.97</v>
      </c>
      <c r="I68" s="127">
        <f t="shared" si="11"/>
        <v>3451.89</v>
      </c>
      <c r="L68" s="725">
        <f>I68/$I$604</f>
        <v>2.6301700002682826E-3</v>
      </c>
    </row>
    <row r="69" spans="1:12" ht="32.25" customHeight="1" outlineLevel="1" thickBot="1" x14ac:dyDescent="0.25">
      <c r="A69" s="1275" t="s">
        <v>1115</v>
      </c>
      <c r="B69" s="1259" t="s">
        <v>183</v>
      </c>
      <c r="C69" s="1029" t="s">
        <v>2390</v>
      </c>
      <c r="D69" s="1239" t="s">
        <v>2391</v>
      </c>
      <c r="E69" s="38" t="s">
        <v>200</v>
      </c>
      <c r="F69" s="297">
        <f>'5.SUP.'!C155</f>
        <v>5.16</v>
      </c>
      <c r="G69" s="127">
        <v>232.26</v>
      </c>
      <c r="H69" s="127">
        <f t="shared" si="10"/>
        <v>299.2</v>
      </c>
      <c r="I69" s="127">
        <f t="shared" si="11"/>
        <v>1543.87</v>
      </c>
      <c r="L69" s="725">
        <f>I69/$I$604</f>
        <v>1.1763528265136471E-3</v>
      </c>
    </row>
    <row r="70" spans="1:12" ht="16.5" customHeight="1" outlineLevel="1" thickBot="1" x14ac:dyDescent="0.25">
      <c r="A70" s="524" t="s">
        <v>426</v>
      </c>
      <c r="B70" s="525"/>
      <c r="C70" s="525"/>
      <c r="D70" s="526" t="s">
        <v>421</v>
      </c>
      <c r="E70" s="526"/>
      <c r="F70" s="526"/>
      <c r="G70" s="526"/>
      <c r="H70" s="526"/>
      <c r="I70" s="527"/>
      <c r="L70" s="725">
        <f>I70/$I$604</f>
        <v>0</v>
      </c>
    </row>
    <row r="71" spans="1:12" ht="30" customHeight="1" outlineLevel="1" x14ac:dyDescent="0.2">
      <c r="A71" s="1275" t="s">
        <v>427</v>
      </c>
      <c r="B71" s="1259" t="s">
        <v>182</v>
      </c>
      <c r="C71" s="1029">
        <v>50035</v>
      </c>
      <c r="D71" s="1268" t="s">
        <v>1020</v>
      </c>
      <c r="E71" s="38" t="s">
        <v>201</v>
      </c>
      <c r="F71" s="297">
        <f>'5.SUP.'!C190</f>
        <v>147.5</v>
      </c>
      <c r="G71" s="127">
        <v>64.709999999999994</v>
      </c>
      <c r="H71" s="127">
        <f>ROUND((G71*$K$10),2)</f>
        <v>83.36</v>
      </c>
      <c r="I71" s="127">
        <f>ROUND(((F71*H71)),2)</f>
        <v>12295.6</v>
      </c>
      <c r="L71" s="309">
        <f>I71/$I$604</f>
        <v>9.3686410213821118E-3</v>
      </c>
    </row>
    <row r="72" spans="1:12" ht="45.75" customHeight="1" outlineLevel="1" x14ac:dyDescent="0.2">
      <c r="A72" s="1275" t="s">
        <v>428</v>
      </c>
      <c r="B72" s="1259" t="s">
        <v>183</v>
      </c>
      <c r="C72" s="1259" t="s">
        <v>314</v>
      </c>
      <c r="D72" s="3" t="s">
        <v>315</v>
      </c>
      <c r="E72" s="1275" t="s">
        <v>205</v>
      </c>
      <c r="F72" s="297">
        <f>'5.SUP.'!G221</f>
        <v>195.48</v>
      </c>
      <c r="G72" s="66">
        <v>14.46</v>
      </c>
      <c r="H72" s="127">
        <f t="shared" ref="H72:H78" si="12">ROUND((G72*$K$10),2)</f>
        <v>18.63</v>
      </c>
      <c r="I72" s="127">
        <f t="shared" ref="I72:I78" si="13">ROUND(((F72*H72)),2)</f>
        <v>3641.79</v>
      </c>
      <c r="L72" s="725">
        <f>I72/$I$604</f>
        <v>2.7748644381127524E-3</v>
      </c>
    </row>
    <row r="73" spans="1:12" ht="48" customHeight="1" outlineLevel="1" x14ac:dyDescent="0.2">
      <c r="A73" s="1275" t="s">
        <v>429</v>
      </c>
      <c r="B73" s="1259" t="s">
        <v>183</v>
      </c>
      <c r="C73" s="1259" t="s">
        <v>1169</v>
      </c>
      <c r="D73" s="3" t="s">
        <v>1170</v>
      </c>
      <c r="E73" s="1275" t="s">
        <v>205</v>
      </c>
      <c r="F73" s="297">
        <f>'5.SUP.'!G319</f>
        <v>284.27</v>
      </c>
      <c r="G73" s="66">
        <v>13.25</v>
      </c>
      <c r="H73" s="127">
        <f t="shared" si="12"/>
        <v>17.07</v>
      </c>
      <c r="I73" s="127">
        <f t="shared" si="13"/>
        <v>4852.49</v>
      </c>
      <c r="L73" s="725"/>
    </row>
    <row r="74" spans="1:12" ht="48" customHeight="1" outlineLevel="1" x14ac:dyDescent="0.2">
      <c r="A74" s="1275" t="s">
        <v>430</v>
      </c>
      <c r="B74" s="1259" t="s">
        <v>183</v>
      </c>
      <c r="C74" s="1259" t="s">
        <v>316</v>
      </c>
      <c r="D74" s="3" t="s">
        <v>317</v>
      </c>
      <c r="E74" s="1275" t="s">
        <v>205</v>
      </c>
      <c r="F74" s="297">
        <f>'5.SUP.'!G344</f>
        <v>157.21</v>
      </c>
      <c r="G74" s="66">
        <v>11.95</v>
      </c>
      <c r="H74" s="127">
        <f t="shared" si="12"/>
        <v>15.39</v>
      </c>
      <c r="I74" s="127">
        <f t="shared" si="13"/>
        <v>2419.46</v>
      </c>
      <c r="L74" s="725">
        <f>I74/$I$604</f>
        <v>1.843509239532285E-3</v>
      </c>
    </row>
    <row r="75" spans="1:12" ht="44.25" customHeight="1" outlineLevel="1" x14ac:dyDescent="0.2">
      <c r="A75" s="1275" t="s">
        <v>431</v>
      </c>
      <c r="B75" s="1259" t="s">
        <v>183</v>
      </c>
      <c r="C75" s="1029" t="s">
        <v>937</v>
      </c>
      <c r="D75" s="1239" t="s">
        <v>938</v>
      </c>
      <c r="E75" s="1275" t="s">
        <v>205</v>
      </c>
      <c r="F75" s="297">
        <f>'5.SUP.'!G357</f>
        <v>91.49</v>
      </c>
      <c r="G75" s="127">
        <v>10.130000000000001</v>
      </c>
      <c r="H75" s="127">
        <f t="shared" si="12"/>
        <v>13.05</v>
      </c>
      <c r="I75" s="127">
        <f t="shared" si="13"/>
        <v>1193.94</v>
      </c>
      <c r="L75" s="725"/>
    </row>
    <row r="76" spans="1:12" ht="44.25" customHeight="1" outlineLevel="1" x14ac:dyDescent="0.2">
      <c r="A76" s="1275" t="s">
        <v>1171</v>
      </c>
      <c r="B76" s="1259" t="s">
        <v>183</v>
      </c>
      <c r="C76" s="1029" t="s">
        <v>935</v>
      </c>
      <c r="D76" s="1239" t="s">
        <v>936</v>
      </c>
      <c r="E76" s="1275" t="s">
        <v>205</v>
      </c>
      <c r="F76" s="297">
        <f>'5.SUP.'!G368</f>
        <v>77.349999999999994</v>
      </c>
      <c r="G76" s="127">
        <v>9.7200000000000006</v>
      </c>
      <c r="H76" s="127">
        <f t="shared" si="12"/>
        <v>12.52</v>
      </c>
      <c r="I76" s="127">
        <f t="shared" si="13"/>
        <v>968.42</v>
      </c>
      <c r="L76" s="725"/>
    </row>
    <row r="77" spans="1:12" ht="45.75" customHeight="1" outlineLevel="1" x14ac:dyDescent="0.2">
      <c r="A77" s="1275" t="s">
        <v>1172</v>
      </c>
      <c r="B77" s="1259" t="s">
        <v>183</v>
      </c>
      <c r="C77" s="1029" t="s">
        <v>1092</v>
      </c>
      <c r="D77" s="1239" t="s">
        <v>1093</v>
      </c>
      <c r="E77" s="38" t="s">
        <v>200</v>
      </c>
      <c r="F77" s="297">
        <f>'5.SUP.'!C401</f>
        <v>11.09</v>
      </c>
      <c r="G77" s="127">
        <v>519.30999999999995</v>
      </c>
      <c r="H77" s="127">
        <f t="shared" si="12"/>
        <v>668.97</v>
      </c>
      <c r="I77" s="127">
        <f t="shared" si="13"/>
        <v>7418.88</v>
      </c>
      <c r="L77" s="725">
        <f t="shared" ref="L77:L91" si="14">I77/$I$604</f>
        <v>5.6528208058745661E-3</v>
      </c>
    </row>
    <row r="78" spans="1:12" ht="30.75" customHeight="1" outlineLevel="1" thickBot="1" x14ac:dyDescent="0.25">
      <c r="A78" s="1275" t="s">
        <v>1173</v>
      </c>
      <c r="B78" s="1259" t="s">
        <v>183</v>
      </c>
      <c r="C78" s="1029" t="s">
        <v>2390</v>
      </c>
      <c r="D78" s="1239" t="s">
        <v>2391</v>
      </c>
      <c r="E78" s="38" t="s">
        <v>200</v>
      </c>
      <c r="F78" s="297">
        <f>'5.SUP.'!C406</f>
        <v>11.09</v>
      </c>
      <c r="G78" s="127">
        <v>232.26</v>
      </c>
      <c r="H78" s="127">
        <f t="shared" si="12"/>
        <v>299.2</v>
      </c>
      <c r="I78" s="127">
        <f t="shared" si="13"/>
        <v>3318.13</v>
      </c>
      <c r="L78" s="725">
        <f t="shared" si="14"/>
        <v>2.5282514746965278E-3</v>
      </c>
    </row>
    <row r="79" spans="1:12" ht="16.5" customHeight="1" outlineLevel="1" thickBot="1" x14ac:dyDescent="0.25">
      <c r="A79" s="524" t="s">
        <v>432</v>
      </c>
      <c r="B79" s="525"/>
      <c r="C79" s="525"/>
      <c r="D79" s="526" t="s">
        <v>308</v>
      </c>
      <c r="E79" s="526"/>
      <c r="F79" s="526"/>
      <c r="G79" s="526"/>
      <c r="H79" s="526"/>
      <c r="I79" s="527"/>
      <c r="L79" s="725">
        <f t="shared" si="14"/>
        <v>0</v>
      </c>
    </row>
    <row r="80" spans="1:12" ht="32.25" customHeight="1" outlineLevel="1" x14ac:dyDescent="0.2">
      <c r="A80" s="1275" t="s">
        <v>433</v>
      </c>
      <c r="B80" s="1260" t="s">
        <v>183</v>
      </c>
      <c r="C80" s="1259" t="s">
        <v>2082</v>
      </c>
      <c r="D80" s="1271" t="s">
        <v>2083</v>
      </c>
      <c r="E80" s="38" t="s">
        <v>218</v>
      </c>
      <c r="F80" s="297">
        <f>'5.SUP.'!C414</f>
        <v>1.4</v>
      </c>
      <c r="G80" s="66">
        <v>79.150000000000006</v>
      </c>
      <c r="H80" s="127">
        <f>ROUND((G80*$K$10),2)</f>
        <v>101.96</v>
      </c>
      <c r="I80" s="127">
        <f>ROUND(((F80*H80)),2)</f>
        <v>142.74</v>
      </c>
      <c r="L80" s="725">
        <f t="shared" si="14"/>
        <v>1.0876084285371049E-4</v>
      </c>
    </row>
    <row r="81" spans="1:12" ht="32.25" customHeight="1" outlineLevel="1" x14ac:dyDescent="0.2">
      <c r="A81" s="1275" t="s">
        <v>434</v>
      </c>
      <c r="B81" s="1260" t="s">
        <v>183</v>
      </c>
      <c r="C81" s="1259" t="s">
        <v>1202</v>
      </c>
      <c r="D81" s="1271" t="s">
        <v>1203</v>
      </c>
      <c r="E81" s="38" t="s">
        <v>218</v>
      </c>
      <c r="F81" s="297">
        <f>'5.SUP.'!C426</f>
        <v>25.4</v>
      </c>
      <c r="G81" s="66">
        <v>75.81</v>
      </c>
      <c r="H81" s="127">
        <f t="shared" ref="H81:H84" si="15">ROUND((G81*$K$10),2)</f>
        <v>97.66</v>
      </c>
      <c r="I81" s="127">
        <f t="shared" ref="I81:I84" si="16">ROUND(((F81*H81)),2)</f>
        <v>2480.56</v>
      </c>
      <c r="L81" s="725">
        <f t="shared" si="14"/>
        <v>1.8900644272747658E-3</v>
      </c>
    </row>
    <row r="82" spans="1:12" ht="32.25" customHeight="1" outlineLevel="1" x14ac:dyDescent="0.2">
      <c r="A82" s="1275" t="s">
        <v>435</v>
      </c>
      <c r="B82" s="1260" t="s">
        <v>183</v>
      </c>
      <c r="C82" s="1259" t="s">
        <v>1204</v>
      </c>
      <c r="D82" s="1271" t="s">
        <v>176</v>
      </c>
      <c r="E82" s="38" t="s">
        <v>218</v>
      </c>
      <c r="F82" s="297">
        <f>'5.SUP.'!C436</f>
        <v>42.2</v>
      </c>
      <c r="G82" s="66">
        <v>85.27</v>
      </c>
      <c r="H82" s="127">
        <f t="shared" si="15"/>
        <v>109.84</v>
      </c>
      <c r="I82" s="127">
        <f t="shared" si="16"/>
        <v>4635.25</v>
      </c>
      <c r="L82" s="725">
        <f t="shared" si="14"/>
        <v>3.5318319800873021E-3</v>
      </c>
    </row>
    <row r="83" spans="1:12" ht="32.25" customHeight="1" outlineLevel="1" x14ac:dyDescent="0.2">
      <c r="A83" s="1275" t="s">
        <v>1198</v>
      </c>
      <c r="B83" s="1260" t="s">
        <v>183</v>
      </c>
      <c r="C83" s="1029" t="s">
        <v>1199</v>
      </c>
      <c r="D83" s="1268" t="s">
        <v>309</v>
      </c>
      <c r="E83" s="38" t="s">
        <v>218</v>
      </c>
      <c r="F83" s="297">
        <f>'5.SUP.'!C446</f>
        <v>20.100000000000001</v>
      </c>
      <c r="G83" s="127">
        <v>75.709999999999994</v>
      </c>
      <c r="H83" s="127">
        <f t="shared" si="15"/>
        <v>97.53</v>
      </c>
      <c r="I83" s="127">
        <f t="shared" si="16"/>
        <v>1960.35</v>
      </c>
      <c r="L83" s="725">
        <f t="shared" si="14"/>
        <v>1.4936900538620663E-3</v>
      </c>
    </row>
    <row r="84" spans="1:12" ht="32.25" customHeight="1" outlineLevel="1" thickBot="1" x14ac:dyDescent="0.25">
      <c r="A84" s="1275" t="s">
        <v>2081</v>
      </c>
      <c r="B84" s="1260" t="s">
        <v>183</v>
      </c>
      <c r="C84" s="1029" t="s">
        <v>1200</v>
      </c>
      <c r="D84" s="1268" t="s">
        <v>1201</v>
      </c>
      <c r="E84" s="38" t="s">
        <v>218</v>
      </c>
      <c r="F84" s="297">
        <f>'5.SUP.'!C456</f>
        <v>13.8</v>
      </c>
      <c r="G84" s="127">
        <v>91.8</v>
      </c>
      <c r="H84" s="127">
        <f t="shared" si="15"/>
        <v>118.26</v>
      </c>
      <c r="I84" s="127">
        <f t="shared" si="16"/>
        <v>1631.99</v>
      </c>
      <c r="L84" s="725">
        <f t="shared" si="14"/>
        <v>1.2434959221579583E-3</v>
      </c>
    </row>
    <row r="85" spans="1:12" ht="16.5" customHeight="1" outlineLevel="1" thickBot="1" x14ac:dyDescent="0.25">
      <c r="A85" s="524" t="s">
        <v>1221</v>
      </c>
      <c r="B85" s="525"/>
      <c r="C85" s="525"/>
      <c r="D85" s="526" t="s">
        <v>535</v>
      </c>
      <c r="E85" s="526"/>
      <c r="F85" s="526"/>
      <c r="G85" s="526"/>
      <c r="H85" s="526"/>
      <c r="I85" s="527"/>
      <c r="L85" s="725">
        <f t="shared" si="14"/>
        <v>0</v>
      </c>
    </row>
    <row r="86" spans="1:12" ht="32.25" customHeight="1" outlineLevel="1" x14ac:dyDescent="0.2">
      <c r="A86" s="1275" t="s">
        <v>1222</v>
      </c>
      <c r="B86" s="1259" t="s">
        <v>182</v>
      </c>
      <c r="C86" s="1029">
        <v>50035</v>
      </c>
      <c r="D86" s="1268" t="s">
        <v>1020</v>
      </c>
      <c r="E86" s="38" t="s">
        <v>201</v>
      </c>
      <c r="F86" s="297">
        <f>'5.SUP.'!C473</f>
        <v>35.28</v>
      </c>
      <c r="G86" s="66">
        <v>64.709999999999994</v>
      </c>
      <c r="H86" s="127">
        <f>ROUND((G86*$K$10),2)</f>
        <v>83.36</v>
      </c>
      <c r="I86" s="127">
        <f>ROUND(((F86*H86)),2)</f>
        <v>2940.94</v>
      </c>
      <c r="L86" s="725">
        <f t="shared" si="14"/>
        <v>2.2408512903334126E-3</v>
      </c>
    </row>
    <row r="87" spans="1:12" ht="45.75" customHeight="1" outlineLevel="1" x14ac:dyDescent="0.2">
      <c r="A87" s="1275" t="s">
        <v>1223</v>
      </c>
      <c r="B87" s="1259" t="s">
        <v>183</v>
      </c>
      <c r="C87" s="1259" t="s">
        <v>314</v>
      </c>
      <c r="D87" s="3" t="s">
        <v>315</v>
      </c>
      <c r="E87" s="1275" t="s">
        <v>205</v>
      </c>
      <c r="F87" s="297">
        <f>'5.SUP.'!G489</f>
        <v>99.32</v>
      </c>
      <c r="G87" s="66">
        <v>14.46</v>
      </c>
      <c r="H87" s="127">
        <f t="shared" ref="H87:H91" si="17">ROUND((G87*$K$10),2)</f>
        <v>18.63</v>
      </c>
      <c r="I87" s="127">
        <f t="shared" ref="I87:I91" si="18">ROUND(((F87*H87)),2)</f>
        <v>1850.33</v>
      </c>
      <c r="L87" s="725">
        <f t="shared" si="14"/>
        <v>1.4098602378976187E-3</v>
      </c>
    </row>
    <row r="88" spans="1:12" ht="45.75" customHeight="1" outlineLevel="1" x14ac:dyDescent="0.2">
      <c r="A88" s="1275" t="s">
        <v>1224</v>
      </c>
      <c r="B88" s="1259" t="s">
        <v>183</v>
      </c>
      <c r="C88" s="1259" t="s">
        <v>1169</v>
      </c>
      <c r="D88" s="3" t="s">
        <v>1170</v>
      </c>
      <c r="E88" s="1275" t="s">
        <v>205</v>
      </c>
      <c r="F88" s="297">
        <f>'5.SUP.'!G531</f>
        <v>125.11</v>
      </c>
      <c r="G88" s="127">
        <v>13.25</v>
      </c>
      <c r="H88" s="127">
        <f t="shared" si="17"/>
        <v>17.07</v>
      </c>
      <c r="I88" s="127">
        <f t="shared" si="18"/>
        <v>2135.63</v>
      </c>
      <c r="L88" s="725">
        <f t="shared" si="14"/>
        <v>1.6272447724791209E-3</v>
      </c>
    </row>
    <row r="89" spans="1:12" ht="45.75" customHeight="1" outlineLevel="1" x14ac:dyDescent="0.2">
      <c r="A89" s="1275" t="s">
        <v>1225</v>
      </c>
      <c r="B89" s="1259" t="s">
        <v>183</v>
      </c>
      <c r="C89" s="1259" t="s">
        <v>316</v>
      </c>
      <c r="D89" s="3" t="s">
        <v>317</v>
      </c>
      <c r="E89" s="1275" t="s">
        <v>205</v>
      </c>
      <c r="F89" s="297">
        <f>'5.SUP.'!G546</f>
        <v>48.97</v>
      </c>
      <c r="G89" s="127">
        <v>11.95</v>
      </c>
      <c r="H89" s="127">
        <f t="shared" si="17"/>
        <v>15.39</v>
      </c>
      <c r="I89" s="127">
        <f t="shared" si="18"/>
        <v>753.65</v>
      </c>
      <c r="L89" s="725">
        <f t="shared" si="14"/>
        <v>5.742441447155591E-4</v>
      </c>
    </row>
    <row r="90" spans="1:12" ht="44.25" customHeight="1" outlineLevel="1" x14ac:dyDescent="0.2">
      <c r="A90" s="1275" t="s">
        <v>1226</v>
      </c>
      <c r="B90" s="1259" t="s">
        <v>183</v>
      </c>
      <c r="C90" s="1029" t="s">
        <v>1092</v>
      </c>
      <c r="D90" s="1239" t="s">
        <v>1093</v>
      </c>
      <c r="E90" s="38" t="s">
        <v>200</v>
      </c>
      <c r="F90" s="297">
        <f>'5.SUP.'!C561</f>
        <v>2.64</v>
      </c>
      <c r="G90" s="127">
        <v>519.30999999999995</v>
      </c>
      <c r="H90" s="127">
        <f t="shared" si="17"/>
        <v>668.97</v>
      </c>
      <c r="I90" s="127">
        <f t="shared" si="18"/>
        <v>1766.08</v>
      </c>
      <c r="L90" s="725">
        <f t="shared" si="14"/>
        <v>1.3456658914605647E-3</v>
      </c>
    </row>
    <row r="91" spans="1:12" ht="32.25" customHeight="1" outlineLevel="1" x14ac:dyDescent="0.2">
      <c r="A91" s="1275" t="s">
        <v>1227</v>
      </c>
      <c r="B91" s="1259" t="s">
        <v>183</v>
      </c>
      <c r="C91" s="1029" t="s">
        <v>2390</v>
      </c>
      <c r="D91" s="1239" t="s">
        <v>2391</v>
      </c>
      <c r="E91" s="38" t="s">
        <v>200</v>
      </c>
      <c r="F91" s="297">
        <f>'5.SUP.'!C567</f>
        <v>2.64</v>
      </c>
      <c r="G91" s="127">
        <v>232.26</v>
      </c>
      <c r="H91" s="127">
        <f t="shared" si="17"/>
        <v>299.2</v>
      </c>
      <c r="I91" s="127">
        <f t="shared" si="18"/>
        <v>789.89</v>
      </c>
      <c r="L91" s="725">
        <f t="shared" si="14"/>
        <v>6.0185723806723674E-4</v>
      </c>
    </row>
    <row r="92" spans="1:12" ht="12.75" customHeight="1" thickBot="1" x14ac:dyDescent="0.25">
      <c r="A92" s="1503" t="s">
        <v>845</v>
      </c>
      <c r="B92" s="1495"/>
      <c r="C92" s="1495"/>
      <c r="D92" s="1495"/>
      <c r="E92" s="1495"/>
      <c r="F92" s="1495"/>
      <c r="G92" s="1495"/>
      <c r="H92" s="651"/>
      <c r="I92" s="1215">
        <f>ROUND(SUM(I62:I91),2)</f>
        <v>84751.2</v>
      </c>
      <c r="L92" s="725"/>
    </row>
    <row r="93" spans="1:12" ht="15.75" customHeight="1" thickBot="1" x14ac:dyDescent="0.25">
      <c r="A93" s="1263">
        <v>6</v>
      </c>
      <c r="B93" s="1264"/>
      <c r="C93" s="1264"/>
      <c r="D93" s="1499" t="s">
        <v>220</v>
      </c>
      <c r="E93" s="1499"/>
      <c r="F93" s="1499"/>
      <c r="G93" s="1499"/>
      <c r="H93" s="1499"/>
      <c r="I93" s="1500"/>
      <c r="J93" s="724">
        <f>I101/$I$604</f>
        <v>0.11670635045600881</v>
      </c>
      <c r="L93" s="725"/>
    </row>
    <row r="94" spans="1:12" ht="57.75" customHeight="1" outlineLevel="1" x14ac:dyDescent="0.2">
      <c r="A94" s="1259" t="s">
        <v>7</v>
      </c>
      <c r="B94" s="1029" t="s">
        <v>183</v>
      </c>
      <c r="C94" s="1029" t="s">
        <v>1252</v>
      </c>
      <c r="D94" s="666" t="s">
        <v>1253</v>
      </c>
      <c r="E94" s="1275" t="s">
        <v>219</v>
      </c>
      <c r="F94" s="782">
        <f>'6.COB.'!C18</f>
        <v>2</v>
      </c>
      <c r="G94" s="180">
        <v>2079.2600000000002</v>
      </c>
      <c r="H94" s="180">
        <f>ROUND((G94*$K$10),2)</f>
        <v>2678.5</v>
      </c>
      <c r="I94" s="180">
        <f>ROUND(((F94*H94)),2)</f>
        <v>5357</v>
      </c>
      <c r="L94" s="309">
        <f t="shared" ref="L94:L99" si="19">I94/$I$604</f>
        <v>4.0817698974872285E-3</v>
      </c>
    </row>
    <row r="95" spans="1:12" ht="57.75" customHeight="1" outlineLevel="1" x14ac:dyDescent="0.2">
      <c r="A95" s="1259" t="s">
        <v>8</v>
      </c>
      <c r="B95" s="1029" t="s">
        <v>183</v>
      </c>
      <c r="C95" s="1029" t="s">
        <v>1328</v>
      </c>
      <c r="D95" s="666" t="s">
        <v>1329</v>
      </c>
      <c r="E95" s="1275" t="s">
        <v>219</v>
      </c>
      <c r="F95" s="782">
        <f>'6.COB.'!C26</f>
        <v>6</v>
      </c>
      <c r="G95" s="180">
        <v>846.21</v>
      </c>
      <c r="H95" s="180">
        <f t="shared" ref="H95:H100" si="20">ROUND((G95*$K$10),2)</f>
        <v>1090.0899999999999</v>
      </c>
      <c r="I95" s="180">
        <f t="shared" ref="I95:I100" si="21">ROUND(((F95*H95)),2)</f>
        <v>6540.54</v>
      </c>
      <c r="L95" s="309">
        <f t="shared" si="19"/>
        <v>4.9835690284321674E-3</v>
      </c>
    </row>
    <row r="96" spans="1:12" ht="46.5" customHeight="1" outlineLevel="1" x14ac:dyDescent="0.2">
      <c r="A96" s="1259" t="s">
        <v>9</v>
      </c>
      <c r="B96" s="1485" t="str">
        <f>COMPOSIÇÕES!A19</f>
        <v>COMPOSIÇÃO 2</v>
      </c>
      <c r="C96" s="1486"/>
      <c r="D96" s="666" t="str">
        <f>COMPOSIÇÕES!C18</f>
        <v>FABRICAÇÃO E INSTALAÇÃO DE TESOURA INTEIRA EM MADEIRA NÃO APARELHADA, VÃO DE 16,35 M, PARA TELHA ONDULADA DE FIBROCIMENTO, INCLUSO IÇAMENTO.</v>
      </c>
      <c r="E96" s="1275" t="s">
        <v>219</v>
      </c>
      <c r="F96" s="782">
        <f>'6.COB.'!C33</f>
        <v>8</v>
      </c>
      <c r="G96" s="180">
        <f>COMPOSIÇÕES!M32</f>
        <v>2942.73</v>
      </c>
      <c r="H96" s="180">
        <f t="shared" si="20"/>
        <v>3790.82</v>
      </c>
      <c r="I96" s="180">
        <f t="shared" si="21"/>
        <v>30326.560000000001</v>
      </c>
      <c r="L96" s="309">
        <f t="shared" si="19"/>
        <v>2.3107343606933041E-2</v>
      </c>
    </row>
    <row r="97" spans="1:12" ht="42.75" customHeight="1" outlineLevel="1" x14ac:dyDescent="0.2">
      <c r="A97" s="1259" t="s">
        <v>67</v>
      </c>
      <c r="B97" s="1259" t="s">
        <v>183</v>
      </c>
      <c r="C97" s="1259" t="s">
        <v>1254</v>
      </c>
      <c r="D97" s="2" t="s">
        <v>1255</v>
      </c>
      <c r="E97" s="38" t="s">
        <v>201</v>
      </c>
      <c r="F97" s="730">
        <f>'6.COB.'!C43</f>
        <v>482.21</v>
      </c>
      <c r="G97" s="731">
        <v>14.91</v>
      </c>
      <c r="H97" s="180">
        <f t="shared" si="20"/>
        <v>19.21</v>
      </c>
      <c r="I97" s="180">
        <f t="shared" si="21"/>
        <v>9263.25</v>
      </c>
      <c r="L97" s="309">
        <f t="shared" si="19"/>
        <v>7.0581398176028697E-3</v>
      </c>
    </row>
    <row r="98" spans="1:12" ht="57" customHeight="1" outlineLevel="1" x14ac:dyDescent="0.2">
      <c r="A98" s="1259" t="s">
        <v>438</v>
      </c>
      <c r="B98" s="1259" t="s">
        <v>183</v>
      </c>
      <c r="C98" s="1259">
        <v>94210</v>
      </c>
      <c r="D98" s="2" t="s">
        <v>869</v>
      </c>
      <c r="E98" s="38" t="s">
        <v>201</v>
      </c>
      <c r="F98" s="730">
        <f>'6.COB.'!C48</f>
        <v>482.21</v>
      </c>
      <c r="G98" s="731">
        <v>72</v>
      </c>
      <c r="H98" s="180">
        <f t="shared" si="20"/>
        <v>92.75</v>
      </c>
      <c r="I98" s="180">
        <f t="shared" si="21"/>
        <v>44724.98</v>
      </c>
      <c r="L98" s="309">
        <f t="shared" si="19"/>
        <v>3.4078229798342054E-2</v>
      </c>
    </row>
    <row r="99" spans="1:12" ht="35.25" customHeight="1" outlineLevel="1" x14ac:dyDescent="0.2">
      <c r="A99" s="1259" t="s">
        <v>439</v>
      </c>
      <c r="B99" s="1259" t="s">
        <v>183</v>
      </c>
      <c r="C99" s="1259" t="s">
        <v>867</v>
      </c>
      <c r="D99" s="2" t="s">
        <v>868</v>
      </c>
      <c r="E99" s="38" t="s">
        <v>218</v>
      </c>
      <c r="F99" s="730">
        <f>'6.COB.'!C55</f>
        <v>30.05</v>
      </c>
      <c r="G99" s="731">
        <v>134.11000000000001</v>
      </c>
      <c r="H99" s="180">
        <f t="shared" si="20"/>
        <v>172.76</v>
      </c>
      <c r="I99" s="180">
        <f t="shared" si="21"/>
        <v>5191.4399999999996</v>
      </c>
      <c r="L99" s="725">
        <f t="shared" si="19"/>
        <v>3.9556213396697961E-3</v>
      </c>
    </row>
    <row r="100" spans="1:12" ht="30.75" customHeight="1" outlineLevel="1" x14ac:dyDescent="0.2">
      <c r="A100" s="1259" t="s">
        <v>440</v>
      </c>
      <c r="B100" s="1029" t="s">
        <v>183</v>
      </c>
      <c r="C100" s="1029">
        <v>96486</v>
      </c>
      <c r="D100" s="666" t="s">
        <v>2573</v>
      </c>
      <c r="E100" s="38" t="s">
        <v>328</v>
      </c>
      <c r="F100" s="730">
        <f>'6.COB.'!C86</f>
        <v>439.61</v>
      </c>
      <c r="G100" s="731">
        <v>91.41</v>
      </c>
      <c r="H100" s="180">
        <f t="shared" si="20"/>
        <v>117.75</v>
      </c>
      <c r="I100" s="180">
        <f t="shared" si="21"/>
        <v>51764.08</v>
      </c>
      <c r="L100" s="725"/>
    </row>
    <row r="101" spans="1:12" ht="12.75" customHeight="1" thickBot="1" x14ac:dyDescent="0.25">
      <c r="A101" s="1507" t="s">
        <v>844</v>
      </c>
      <c r="B101" s="1508"/>
      <c r="C101" s="1508"/>
      <c r="D101" s="1508"/>
      <c r="E101" s="1508"/>
      <c r="F101" s="1508"/>
      <c r="G101" s="1509"/>
      <c r="H101" s="61"/>
      <c r="I101" s="1217">
        <f>ROUND(SUM(I94:I100),2)</f>
        <v>153167.85</v>
      </c>
      <c r="L101" s="725"/>
    </row>
    <row r="102" spans="1:12" ht="16.5" customHeight="1" thickBot="1" x14ac:dyDescent="0.25">
      <c r="A102" s="1263">
        <v>7</v>
      </c>
      <c r="B102" s="1264"/>
      <c r="C102" s="1264"/>
      <c r="D102" s="1499" t="s">
        <v>436</v>
      </c>
      <c r="E102" s="1499"/>
      <c r="F102" s="1499"/>
      <c r="G102" s="1499"/>
      <c r="H102" s="1499"/>
      <c r="I102" s="1500"/>
      <c r="J102" s="732">
        <f>I109/$I$604</f>
        <v>4.1744093874398688E-2</v>
      </c>
      <c r="L102" s="725"/>
    </row>
    <row r="103" spans="1:12" ht="18.75" customHeight="1" outlineLevel="1" thickBot="1" x14ac:dyDescent="0.25">
      <c r="A103" s="524" t="s">
        <v>10</v>
      </c>
      <c r="B103" s="525"/>
      <c r="C103" s="525"/>
      <c r="D103" s="526" t="s">
        <v>531</v>
      </c>
      <c r="E103" s="526"/>
      <c r="F103" s="526"/>
      <c r="G103" s="526"/>
      <c r="H103" s="526"/>
      <c r="I103" s="527"/>
      <c r="J103" s="733"/>
      <c r="L103" s="725"/>
    </row>
    <row r="104" spans="1:12" ht="44.25" customHeight="1" outlineLevel="1" x14ac:dyDescent="0.2">
      <c r="A104" s="1259" t="s">
        <v>207</v>
      </c>
      <c r="B104" s="1259" t="s">
        <v>183</v>
      </c>
      <c r="C104" s="38" t="s">
        <v>744</v>
      </c>
      <c r="D104" s="1239" t="s">
        <v>745</v>
      </c>
      <c r="E104" s="38" t="s">
        <v>328</v>
      </c>
      <c r="F104" s="195">
        <f>'7.ALVE.'!G114</f>
        <v>648.79</v>
      </c>
      <c r="G104" s="180">
        <v>51.33</v>
      </c>
      <c r="H104" s="496">
        <f>ROUND((G104*$K$10),2)</f>
        <v>66.12</v>
      </c>
      <c r="I104" s="180">
        <f>ROUND(((F104*H104)),2)</f>
        <v>42897.99</v>
      </c>
      <c r="J104" s="727"/>
      <c r="L104" s="309">
        <f>I104/$I$604</f>
        <v>3.2686153489771913E-2</v>
      </c>
    </row>
    <row r="105" spans="1:12" ht="31.5" customHeight="1" outlineLevel="1" x14ac:dyDescent="0.2">
      <c r="A105" s="1259" t="s">
        <v>631</v>
      </c>
      <c r="B105" s="1259" t="s">
        <v>183</v>
      </c>
      <c r="C105" s="38" t="s">
        <v>632</v>
      </c>
      <c r="D105" s="1239" t="s">
        <v>633</v>
      </c>
      <c r="E105" s="38" t="s">
        <v>218</v>
      </c>
      <c r="F105" s="497">
        <f>'7.ALVE.'!C159</f>
        <v>245.5</v>
      </c>
      <c r="G105" s="180">
        <v>3.37</v>
      </c>
      <c r="H105" s="496">
        <f t="shared" ref="H105:H106" si="22">ROUND((G105*$K$10),2)</f>
        <v>4.34</v>
      </c>
      <c r="I105" s="180">
        <f t="shared" ref="I105:I106" si="23">ROUND(((F105*H105)),2)</f>
        <v>1065.47</v>
      </c>
      <c r="J105" s="727"/>
      <c r="L105" s="309">
        <f>I105/$I$604</f>
        <v>8.1183561184911663E-4</v>
      </c>
    </row>
    <row r="106" spans="1:12" ht="29.25" customHeight="1" outlineLevel="1" thickBot="1" x14ac:dyDescent="0.25">
      <c r="A106" s="1259" t="s">
        <v>634</v>
      </c>
      <c r="B106" s="1518" t="str">
        <f>COMPOSIÇÕES!A36</f>
        <v>COMPOSIÇÃO 3</v>
      </c>
      <c r="C106" s="1519"/>
      <c r="D106" s="1239" t="str">
        <f>COMPOSIÇÕES!C35</f>
        <v>CHAPIM EM CONCRETO APARENTE COM  PINGADEIRA E ACABAMENTO DESEMPENADO 21 X 8 CM. FONECIMENTO E INSTALAÇÃO.</v>
      </c>
      <c r="E106" s="38" t="s">
        <v>218</v>
      </c>
      <c r="F106" s="497">
        <f>'7.ALVE.'!C174</f>
        <v>104.8</v>
      </c>
      <c r="G106" s="180">
        <f>COMPOSIÇÕES!M44</f>
        <v>48.97</v>
      </c>
      <c r="H106" s="496">
        <f t="shared" si="22"/>
        <v>63.08</v>
      </c>
      <c r="I106" s="180">
        <f t="shared" si="23"/>
        <v>6610.78</v>
      </c>
      <c r="J106" s="727"/>
      <c r="L106" s="309">
        <f>I106/$I$604</f>
        <v>5.0370884455685312E-3</v>
      </c>
    </row>
    <row r="107" spans="1:12" ht="16.5" customHeight="1" outlineLevel="1" thickBot="1" x14ac:dyDescent="0.25">
      <c r="A107" s="524" t="s">
        <v>11</v>
      </c>
      <c r="B107" s="525"/>
      <c r="C107" s="525"/>
      <c r="D107" s="526" t="s">
        <v>532</v>
      </c>
      <c r="E107" s="526"/>
      <c r="F107" s="526"/>
      <c r="G107" s="526"/>
      <c r="H107" s="526"/>
      <c r="I107" s="527"/>
      <c r="J107" s="727"/>
      <c r="L107" s="309"/>
    </row>
    <row r="108" spans="1:12" ht="45" customHeight="1" outlineLevel="1" x14ac:dyDescent="0.2">
      <c r="A108" s="1259" t="s">
        <v>208</v>
      </c>
      <c r="B108" s="1029" t="s">
        <v>183</v>
      </c>
      <c r="C108" s="1275" t="s">
        <v>2410</v>
      </c>
      <c r="D108" s="1239" t="s">
        <v>2411</v>
      </c>
      <c r="E108" s="38" t="s">
        <v>328</v>
      </c>
      <c r="F108" s="195">
        <f>'7.ALVE.'!C182</f>
        <v>35.64</v>
      </c>
      <c r="G108" s="180">
        <v>91.73</v>
      </c>
      <c r="H108" s="179">
        <f>ROUND((G108*$K$10),2)</f>
        <v>118.17</v>
      </c>
      <c r="I108" s="180">
        <f>ROUND(((F108*H108)),2)</f>
        <v>4211.58</v>
      </c>
      <c r="J108" s="727"/>
      <c r="L108" s="309">
        <f>I108/$I$604</f>
        <v>3.2090163272091212E-3</v>
      </c>
    </row>
    <row r="109" spans="1:12" ht="15.75" thickBot="1" x14ac:dyDescent="0.25">
      <c r="A109" s="1495" t="s">
        <v>850</v>
      </c>
      <c r="B109" s="1495"/>
      <c r="C109" s="1495"/>
      <c r="D109" s="1495"/>
      <c r="E109" s="1495"/>
      <c r="F109" s="1495"/>
      <c r="G109" s="1495"/>
      <c r="H109" s="1262"/>
      <c r="I109" s="1215">
        <f>ROUND(SUM(I104:I108),2)</f>
        <v>54785.82</v>
      </c>
      <c r="J109" s="727"/>
      <c r="L109" s="309"/>
    </row>
    <row r="110" spans="1:12" ht="15.75" customHeight="1" thickBot="1" x14ac:dyDescent="0.25">
      <c r="A110" s="1263">
        <v>8</v>
      </c>
      <c r="B110" s="1264"/>
      <c r="C110" s="1264"/>
      <c r="D110" s="1499" t="s">
        <v>23</v>
      </c>
      <c r="E110" s="1499"/>
      <c r="F110" s="1499"/>
      <c r="G110" s="1499"/>
      <c r="H110" s="1499"/>
      <c r="I110" s="1500"/>
      <c r="J110" s="724">
        <f>I115/$I$604</f>
        <v>4.676231642064637E-2</v>
      </c>
      <c r="L110" s="725"/>
    </row>
    <row r="111" spans="1:12" ht="45.75" customHeight="1" outlineLevel="1" x14ac:dyDescent="0.2">
      <c r="A111" s="1029" t="s">
        <v>174</v>
      </c>
      <c r="B111" s="1266" t="s">
        <v>183</v>
      </c>
      <c r="C111" s="1029" t="s">
        <v>2606</v>
      </c>
      <c r="D111" s="1268" t="s">
        <v>2607</v>
      </c>
      <c r="E111" s="1275" t="s">
        <v>201</v>
      </c>
      <c r="F111" s="131">
        <f>'8.REV.'!G16</f>
        <v>1297.58</v>
      </c>
      <c r="G111" s="127">
        <v>3.9</v>
      </c>
      <c r="H111" s="127">
        <f>ROUND((G111*$K$10),2)</f>
        <v>5.0199999999999996</v>
      </c>
      <c r="I111" s="127">
        <f>ROUND(((F111*H111)),2)</f>
        <v>6513.85</v>
      </c>
      <c r="J111" s="727"/>
      <c r="L111" s="725">
        <f>I111/$I$604</f>
        <v>4.9632325642611887E-3</v>
      </c>
    </row>
    <row r="112" spans="1:12" ht="57" customHeight="1" outlineLevel="1" x14ac:dyDescent="0.2">
      <c r="A112" s="1029" t="s">
        <v>175</v>
      </c>
      <c r="B112" s="1260" t="s">
        <v>183</v>
      </c>
      <c r="C112" s="1029" t="s">
        <v>2412</v>
      </c>
      <c r="D112" s="1268" t="s">
        <v>2413</v>
      </c>
      <c r="E112" s="1275" t="s">
        <v>201</v>
      </c>
      <c r="F112" s="131">
        <f>'8.REV.'!G21</f>
        <v>1051.6099999999999</v>
      </c>
      <c r="G112" s="127">
        <v>24.63</v>
      </c>
      <c r="H112" s="127">
        <f t="shared" ref="H112:H114" si="24">ROUND((G112*$K$10),2)</f>
        <v>31.73</v>
      </c>
      <c r="I112" s="127">
        <f t="shared" ref="I112:I114" si="25">ROUND(((F112*H112)),2)</f>
        <v>33367.589999999997</v>
      </c>
      <c r="J112" s="727"/>
      <c r="L112" s="309">
        <f>I112/$I$604</f>
        <v>2.542445854278437E-2</v>
      </c>
    </row>
    <row r="113" spans="1:12" ht="70.5" customHeight="1" outlineLevel="1" x14ac:dyDescent="0.2">
      <c r="A113" s="1029" t="s">
        <v>259</v>
      </c>
      <c r="B113" s="1260" t="s">
        <v>183</v>
      </c>
      <c r="C113" s="1259" t="s">
        <v>2414</v>
      </c>
      <c r="D113" s="1271" t="s">
        <v>2415</v>
      </c>
      <c r="E113" s="38" t="s">
        <v>201</v>
      </c>
      <c r="F113" s="132">
        <f>'8.REV.'!C25</f>
        <v>245.97</v>
      </c>
      <c r="G113" s="66">
        <v>20.52</v>
      </c>
      <c r="H113" s="127">
        <f t="shared" si="24"/>
        <v>26.43</v>
      </c>
      <c r="I113" s="127">
        <f t="shared" si="25"/>
        <v>6500.99</v>
      </c>
      <c r="J113" s="727"/>
      <c r="L113" s="725">
        <f>I113/$I$604</f>
        <v>4.95343387826498E-3</v>
      </c>
    </row>
    <row r="114" spans="1:12" ht="57" customHeight="1" outlineLevel="1" x14ac:dyDescent="0.2">
      <c r="A114" s="1029" t="s">
        <v>441</v>
      </c>
      <c r="B114" s="1260" t="s">
        <v>183</v>
      </c>
      <c r="C114" s="38">
        <v>93393</v>
      </c>
      <c r="D114" s="3" t="s">
        <v>247</v>
      </c>
      <c r="E114" s="38" t="s">
        <v>201</v>
      </c>
      <c r="F114" s="132">
        <f>'8.REV.'!C112</f>
        <v>245.97</v>
      </c>
      <c r="G114" s="66">
        <v>47.31</v>
      </c>
      <c r="H114" s="127">
        <f t="shared" si="24"/>
        <v>60.94</v>
      </c>
      <c r="I114" s="127">
        <f t="shared" si="25"/>
        <v>14989.41</v>
      </c>
      <c r="J114" s="727"/>
      <c r="L114" s="725">
        <f>I114/$I$604</f>
        <v>1.1421191435335831E-2</v>
      </c>
    </row>
    <row r="115" spans="1:12" ht="13.5" thickBot="1" x14ac:dyDescent="0.25">
      <c r="A115" s="1495" t="s">
        <v>851</v>
      </c>
      <c r="B115" s="1495"/>
      <c r="C115" s="1495"/>
      <c r="D115" s="1495"/>
      <c r="E115" s="1495"/>
      <c r="F115" s="1495"/>
      <c r="G115" s="1495"/>
      <c r="H115" s="1262"/>
      <c r="I115" s="1215">
        <f>ROUND(SUM(I111:I114),2)</f>
        <v>61371.839999999997</v>
      </c>
      <c r="L115" s="725"/>
    </row>
    <row r="116" spans="1:12" ht="16.5" customHeight="1" thickBot="1" x14ac:dyDescent="0.25">
      <c r="A116" s="1263">
        <v>9</v>
      </c>
      <c r="B116" s="1494"/>
      <c r="C116" s="1494"/>
      <c r="D116" s="1499" t="s">
        <v>22</v>
      </c>
      <c r="E116" s="1499"/>
      <c r="F116" s="1499"/>
      <c r="G116" s="1499"/>
      <c r="H116" s="1499"/>
      <c r="I116" s="1500"/>
      <c r="J116" s="724">
        <f>I133/$I$604</f>
        <v>8.5382100027104862E-2</v>
      </c>
      <c r="L116" s="725"/>
    </row>
    <row r="117" spans="1:12" ht="15" customHeight="1" outlineLevel="1" thickBot="1" x14ac:dyDescent="0.25">
      <c r="A117" s="647" t="s">
        <v>181</v>
      </c>
      <c r="B117" s="648"/>
      <c r="C117" s="648"/>
      <c r="D117" s="649" t="s">
        <v>437</v>
      </c>
      <c r="E117" s="649"/>
      <c r="F117" s="649"/>
      <c r="G117" s="649"/>
      <c r="H117" s="649"/>
      <c r="I117" s="650"/>
      <c r="L117" s="725"/>
    </row>
    <row r="118" spans="1:12" ht="58.5" customHeight="1" outlineLevel="1" x14ac:dyDescent="0.2">
      <c r="A118" s="1029" t="s">
        <v>442</v>
      </c>
      <c r="B118" s="1492" t="str">
        <f>COMPOSIÇÕES!A48</f>
        <v>COMPOSIÇÃO 4</v>
      </c>
      <c r="C118" s="1493"/>
      <c r="D118" s="1271" t="str">
        <f>COMPOSIÇÕES!C47</f>
        <v>P1 - PORTA DE ABRIR COM MOLA HIDRÁULICA (1,60Mx2,60M), EM VIDRO TEMPERADO, ESPESSURA 10 MM, PUXADOR EM ALUMÍNIO E BARRA ANTIPÂNICO DUPLA PARA PORTA DE VIDRO - FORNECIMENTO E INSTALAÇÃO</v>
      </c>
      <c r="E118" s="38" t="s">
        <v>162</v>
      </c>
      <c r="F118" s="39">
        <f>'9.ESQ.'!C17</f>
        <v>1</v>
      </c>
      <c r="G118" s="66">
        <f>COMPOSIÇÕES!M57</f>
        <v>5123.34</v>
      </c>
      <c r="H118" s="127">
        <f>ROUND((G118*$K$10),2)</f>
        <v>6599.88</v>
      </c>
      <c r="I118" s="127">
        <f>ROUND(((F118*H118)),2)</f>
        <v>6599.88</v>
      </c>
      <c r="L118" s="309">
        <f t="shared" ref="L118:L125" si="26">I118/$I$604</f>
        <v>5.028783182943441E-3</v>
      </c>
    </row>
    <row r="119" spans="1:12" ht="58.5" customHeight="1" outlineLevel="1" x14ac:dyDescent="0.2">
      <c r="A119" s="1029" t="s">
        <v>443</v>
      </c>
      <c r="B119" s="1492" t="str">
        <f>COMPOSIÇÕES!A61</f>
        <v>COMPOSIÇÃO 5</v>
      </c>
      <c r="C119" s="1493"/>
      <c r="D119" s="1271" t="str">
        <f>COMPOSIÇÕES!C60</f>
        <v>P2 - PORTA DE ABRIR COM MOLA HIDRÁULICA (3,00 Mx2,60M), EM VIDRO TEMPERADO, ESPESSURA 10 MM, PUXADOR EM ALUMÍNIO E BARRA ANTIPÂNICO DUPLA PARA PORTA DE VIDRO - FORNECIMENTO E INSTALAÇÃO</v>
      </c>
      <c r="E119" s="38" t="s">
        <v>162</v>
      </c>
      <c r="F119" s="39">
        <f>'9.ESQ.'!C22</f>
        <v>1</v>
      </c>
      <c r="G119" s="66">
        <f>COMPOSIÇÕES!M70</f>
        <v>7127.16</v>
      </c>
      <c r="H119" s="127">
        <f t="shared" ref="H119:H125" si="27">ROUND((G119*$K$10),2)</f>
        <v>9181.2000000000007</v>
      </c>
      <c r="I119" s="127">
        <f t="shared" ref="I119:I125" si="28">ROUND(((F119*H119)),2)</f>
        <v>9181.2000000000007</v>
      </c>
      <c r="L119" s="725">
        <f t="shared" si="26"/>
        <v>6.9956217627048251E-3</v>
      </c>
    </row>
    <row r="120" spans="1:12" ht="66.75" customHeight="1" outlineLevel="1" x14ac:dyDescent="0.2">
      <c r="A120" s="1029" t="s">
        <v>444</v>
      </c>
      <c r="B120" s="1492" t="str">
        <f>COMPOSIÇÕES!A74</f>
        <v>COMPOSIÇÃO 6</v>
      </c>
      <c r="C120" s="1493"/>
      <c r="D120" s="1271" t="str">
        <f>COMPOSIÇÕES!C73</f>
        <v>P3 - PORTA DE MADEIRA, MACIÇA (PESADA OU SUPERPESADA), 90X210CM, ESPESSURA DE 3,5CM, INCLUSO: DOBRADIÇAS, MAÇANETA TIPO ALAVANCA, DUAS BARRAS DE APOIO EM INOX DE 40 CM E FIXAÇÃO DE CHAPA DE INOX NA PARTE INFERIOR DA PORTA EM AMBOS OS LADOS NA ALTURA DE 40 CM - FORNECIMENTO E INSTALAÇÃO.</v>
      </c>
      <c r="E120" s="38" t="s">
        <v>162</v>
      </c>
      <c r="F120" s="39">
        <f>'9.ESQ.'!C39</f>
        <v>10</v>
      </c>
      <c r="G120" s="66">
        <f>COMPOSIÇÕES!M81</f>
        <v>1476.37</v>
      </c>
      <c r="H120" s="127">
        <f t="shared" si="27"/>
        <v>1901.86</v>
      </c>
      <c r="I120" s="127">
        <f t="shared" si="28"/>
        <v>19018.599999999999</v>
      </c>
      <c r="L120" s="725">
        <f t="shared" si="26"/>
        <v>1.4491235574454099E-2</v>
      </c>
    </row>
    <row r="121" spans="1:12" ht="41.25" customHeight="1" outlineLevel="1" x14ac:dyDescent="0.2">
      <c r="A121" s="1029" t="s">
        <v>445</v>
      </c>
      <c r="B121" s="1492" t="str">
        <f>COMPOSIÇÕES!A85</f>
        <v>COMPOSIÇÃO 7</v>
      </c>
      <c r="C121" s="1493"/>
      <c r="D121" s="1271" t="str">
        <f>COMPOSIÇÕES!C84</f>
        <v>P4 - PORTA DE CORRER EM ALUMINIO TIPO VENEZIANA, ACABAMENTO ANODIZADO NATURAL 1,00Mx2,00M, COM VISOR EM VIDRO TEMPERADO 6MM FIXADO NAS MEDIDA DE 60X25 CM- FORNECIMENTO E INSTALAÇÃO</v>
      </c>
      <c r="E121" s="38" t="s">
        <v>162</v>
      </c>
      <c r="F121" s="39">
        <f>'9.ESQ.'!C44</f>
        <v>1</v>
      </c>
      <c r="G121" s="66">
        <f>COMPOSIÇÕES!M97</f>
        <v>1083.8</v>
      </c>
      <c r="H121" s="127">
        <f t="shared" si="27"/>
        <v>1396.15</v>
      </c>
      <c r="I121" s="127">
        <f t="shared" si="28"/>
        <v>1396.15</v>
      </c>
      <c r="L121" s="725">
        <f t="shared" si="26"/>
        <v>1.0637974691761797E-3</v>
      </c>
    </row>
    <row r="122" spans="1:12" ht="16.5" customHeight="1" outlineLevel="1" x14ac:dyDescent="0.2">
      <c r="A122" s="1029" t="s">
        <v>446</v>
      </c>
      <c r="B122" s="1260" t="s">
        <v>182</v>
      </c>
      <c r="C122" s="1259" t="s">
        <v>579</v>
      </c>
      <c r="D122" s="1271" t="s">
        <v>580</v>
      </c>
      <c r="E122" s="1259" t="s">
        <v>328</v>
      </c>
      <c r="F122" s="132">
        <f>'9.ESQ.'!C58</f>
        <v>13.44</v>
      </c>
      <c r="G122" s="66">
        <v>451.81</v>
      </c>
      <c r="H122" s="127">
        <f t="shared" si="27"/>
        <v>582.02</v>
      </c>
      <c r="I122" s="127">
        <f t="shared" si="28"/>
        <v>7822.35</v>
      </c>
      <c r="L122" s="725">
        <f t="shared" si="26"/>
        <v>5.9602450546218455E-3</v>
      </c>
    </row>
    <row r="123" spans="1:12" ht="43.5" customHeight="1" outlineLevel="1" x14ac:dyDescent="0.2">
      <c r="A123" s="1029" t="s">
        <v>578</v>
      </c>
      <c r="B123" s="1260" t="s">
        <v>183</v>
      </c>
      <c r="C123" s="1259" t="s">
        <v>581</v>
      </c>
      <c r="D123" s="1271" t="s">
        <v>582</v>
      </c>
      <c r="E123" s="1259" t="s">
        <v>219</v>
      </c>
      <c r="F123" s="132">
        <f>'9.ESQ.'!C63</f>
        <v>8</v>
      </c>
      <c r="G123" s="66">
        <v>76.88</v>
      </c>
      <c r="H123" s="127">
        <f t="shared" si="27"/>
        <v>99.04</v>
      </c>
      <c r="I123" s="127">
        <f t="shared" si="28"/>
        <v>792.32</v>
      </c>
      <c r="L123" s="725">
        <f t="shared" si="26"/>
        <v>6.0370877826714225E-4</v>
      </c>
    </row>
    <row r="124" spans="1:12" ht="91.5" customHeight="1" outlineLevel="1" x14ac:dyDescent="0.2">
      <c r="A124" s="1029" t="s">
        <v>586</v>
      </c>
      <c r="B124" s="1492" t="str">
        <f>COMPOSIÇÕES!A101</f>
        <v>COMPOSIÇÃO 8</v>
      </c>
      <c r="C124" s="1493"/>
      <c r="D124" s="1271" t="str">
        <f>COMPOSIÇÕES!C100</f>
        <v>P6 - PORTA DE MADEIRA, MACIÇA (PESADA OU SUPERPESADA), 180X210CM, ESPESSURA DE 3,5CM, INCLUSO: DOBRADIÇAS, MAÇANETA TIPO ALAVANCA, VISOR EM VIDRO INCOLOR DE 4 MM - 60X25 CM, BARRAS DE APOIO EM INOX NO COMPRIMENTO DE 40 COM EM AMBOS OS LADOS DAS FOLHAS,  E FIXAÇÃO DE CHAPA EM INOX NA PARTE INFERIOR DA PORTA EM AMBOS OS LADOS NA ALTURA DE 40 CM - FORNECIMENTO E INSTALAÇÃO.</v>
      </c>
      <c r="E124" s="1259" t="s">
        <v>162</v>
      </c>
      <c r="F124" s="132">
        <f>'9.ESQ.'!C72</f>
        <v>2</v>
      </c>
      <c r="G124" s="66">
        <f>COMPOSIÇÕES!M110</f>
        <v>3044.08</v>
      </c>
      <c r="H124" s="127">
        <f t="shared" si="27"/>
        <v>3921.38</v>
      </c>
      <c r="I124" s="127">
        <f t="shared" si="28"/>
        <v>7842.76</v>
      </c>
      <c r="L124" s="725">
        <f t="shared" si="26"/>
        <v>5.9757964683996526E-3</v>
      </c>
    </row>
    <row r="125" spans="1:12" ht="55.5" customHeight="1" outlineLevel="1" thickBot="1" x14ac:dyDescent="0.25">
      <c r="A125" s="1029" t="s">
        <v>587</v>
      </c>
      <c r="B125" s="1492" t="str">
        <f>COMPOSIÇÕES!A114</f>
        <v>COMPOSIÇÃO 9</v>
      </c>
      <c r="C125" s="1493"/>
      <c r="D125" s="1271" t="str">
        <f>COMPOSIÇÕES!C113</f>
        <v>P7 - PORTA DE ABRIR COM MOLA HIDRÁULICA (1,60 M x 2,10M), EM VIDRO TEMPERADO, ESPESSURA 10 MM, PUXADOR EM ALUMÍNIO E BARRA ANTIPÂNICO DUPLA PARA PORTA DE VIDRO - FORNECIMENTO E INSTALAÇÃO</v>
      </c>
      <c r="E125" s="1259" t="s">
        <v>162</v>
      </c>
      <c r="F125" s="132">
        <f>'9.ESQ.'!C81</f>
        <v>2</v>
      </c>
      <c r="G125" s="66">
        <f>COMPOSIÇÕES!M123</f>
        <v>4663.8900000000003</v>
      </c>
      <c r="H125" s="127">
        <f t="shared" si="27"/>
        <v>6008.02</v>
      </c>
      <c r="I125" s="127">
        <f t="shared" si="28"/>
        <v>12016.04</v>
      </c>
      <c r="L125" s="725">
        <f t="shared" si="26"/>
        <v>9.155630083816025E-3</v>
      </c>
    </row>
    <row r="126" spans="1:12" ht="15.75" customHeight="1" outlineLevel="1" thickBot="1" x14ac:dyDescent="0.25">
      <c r="A126" s="524" t="s">
        <v>248</v>
      </c>
      <c r="B126" s="525"/>
      <c r="C126" s="525"/>
      <c r="D126" s="526" t="s">
        <v>164</v>
      </c>
      <c r="E126" s="526"/>
      <c r="F126" s="526"/>
      <c r="G126" s="526"/>
      <c r="H126" s="526"/>
      <c r="I126" s="527"/>
      <c r="L126" s="725"/>
    </row>
    <row r="127" spans="1:12" ht="18.75" customHeight="1" outlineLevel="1" x14ac:dyDescent="0.2">
      <c r="A127" s="1259" t="s">
        <v>447</v>
      </c>
      <c r="B127" s="1259" t="s">
        <v>182</v>
      </c>
      <c r="C127" s="1259" t="s">
        <v>2369</v>
      </c>
      <c r="D127" s="1271" t="s">
        <v>596</v>
      </c>
      <c r="E127" s="38" t="s">
        <v>201</v>
      </c>
      <c r="F127" s="132">
        <f>'9.ESQ.'!C121</f>
        <v>46.4</v>
      </c>
      <c r="G127" s="66">
        <v>572.46</v>
      </c>
      <c r="H127" s="127">
        <f>ROUND((G127*$K$10),2)</f>
        <v>737.44</v>
      </c>
      <c r="I127" s="127">
        <f>ROUND(((F127*H127)),2)</f>
        <v>34217.22</v>
      </c>
      <c r="L127" s="309">
        <f>I127/$I$604</f>
        <v>2.6071834715642703E-2</v>
      </c>
    </row>
    <row r="128" spans="1:12" ht="18.75" customHeight="1" outlineLevel="1" x14ac:dyDescent="0.2">
      <c r="A128" s="1259" t="s">
        <v>448</v>
      </c>
      <c r="B128" s="1259" t="s">
        <v>182</v>
      </c>
      <c r="C128" s="1259" t="s">
        <v>567</v>
      </c>
      <c r="D128" s="1271" t="s">
        <v>568</v>
      </c>
      <c r="E128" s="38" t="s">
        <v>201</v>
      </c>
      <c r="F128" s="132">
        <f>'9.ESQ.'!C131</f>
        <v>3.6</v>
      </c>
      <c r="G128" s="66">
        <v>388.29</v>
      </c>
      <c r="H128" s="127">
        <f t="shared" ref="H128:H129" si="29">ROUND((G128*$K$10),2)</f>
        <v>500.19</v>
      </c>
      <c r="I128" s="127">
        <f t="shared" ref="I128:I129" si="30">ROUND(((F128*H128)),2)</f>
        <v>1800.68</v>
      </c>
      <c r="L128" s="309">
        <f>I128/$I$604</f>
        <v>1.3720293856649809E-3</v>
      </c>
    </row>
    <row r="129" spans="1:12" ht="33" customHeight="1" outlineLevel="1" thickBot="1" x14ac:dyDescent="0.25">
      <c r="A129" s="1259" t="s">
        <v>605</v>
      </c>
      <c r="B129" s="1259" t="s">
        <v>183</v>
      </c>
      <c r="C129" s="1259" t="s">
        <v>2416</v>
      </c>
      <c r="D129" s="1271" t="s">
        <v>2417</v>
      </c>
      <c r="E129" s="38" t="s">
        <v>201</v>
      </c>
      <c r="F129" s="132">
        <f>'9.ESQ.'!C139</f>
        <v>0.2</v>
      </c>
      <c r="G129" s="66">
        <v>424</v>
      </c>
      <c r="H129" s="127">
        <f t="shared" si="29"/>
        <v>546.20000000000005</v>
      </c>
      <c r="I129" s="127">
        <f t="shared" si="30"/>
        <v>109.24</v>
      </c>
      <c r="L129" s="309">
        <f>I129/$I$604</f>
        <v>8.3235494418798734E-5</v>
      </c>
    </row>
    <row r="130" spans="1:12" ht="15.75" customHeight="1" outlineLevel="1" thickBot="1" x14ac:dyDescent="0.25">
      <c r="A130" s="524" t="s">
        <v>320</v>
      </c>
      <c r="B130" s="525"/>
      <c r="C130" s="525"/>
      <c r="D130" s="526" t="s">
        <v>612</v>
      </c>
      <c r="E130" s="526"/>
      <c r="F130" s="526"/>
      <c r="G130" s="526"/>
      <c r="H130" s="526"/>
      <c r="I130" s="527"/>
      <c r="L130" s="725"/>
    </row>
    <row r="131" spans="1:12" ht="30.75" customHeight="1" outlineLevel="1" x14ac:dyDescent="0.2">
      <c r="A131" s="1259" t="s">
        <v>449</v>
      </c>
      <c r="B131" s="1260" t="s">
        <v>183</v>
      </c>
      <c r="C131" s="1259">
        <v>101965</v>
      </c>
      <c r="D131" s="1271" t="s">
        <v>159</v>
      </c>
      <c r="E131" s="38" t="s">
        <v>218</v>
      </c>
      <c r="F131" s="39">
        <f>'9.ESQ.'!C154</f>
        <v>54.62</v>
      </c>
      <c r="G131" s="66">
        <v>123.09</v>
      </c>
      <c r="H131" s="127">
        <f>ROUND((G131*$K$10),2)</f>
        <v>158.56</v>
      </c>
      <c r="I131" s="127">
        <f>ROUND(((F131*H131)),2)</f>
        <v>8660.5499999999993</v>
      </c>
      <c r="L131" s="725">
        <f>I131/$I$604</f>
        <v>6.5989121309843225E-3</v>
      </c>
    </row>
    <row r="132" spans="1:12" ht="15" customHeight="1" outlineLevel="1" x14ac:dyDescent="0.2">
      <c r="A132" s="1259" t="s">
        <v>450</v>
      </c>
      <c r="B132" s="1260" t="s">
        <v>183</v>
      </c>
      <c r="C132" s="1259">
        <v>98689</v>
      </c>
      <c r="D132" s="1271" t="s">
        <v>160</v>
      </c>
      <c r="E132" s="38" t="s">
        <v>218</v>
      </c>
      <c r="F132" s="39">
        <f>'9.ESQ.'!C167</f>
        <v>26.42</v>
      </c>
      <c r="G132" s="66">
        <v>76.400000000000006</v>
      </c>
      <c r="H132" s="127">
        <f>ROUND((G132*$K$10),2)</f>
        <v>98.42</v>
      </c>
      <c r="I132" s="127">
        <f>ROUND(((F132*H132)),2)</f>
        <v>2600.2600000000002</v>
      </c>
      <c r="L132" s="725">
        <f>I132/$I$604</f>
        <v>1.9812699260108534E-3</v>
      </c>
    </row>
    <row r="133" spans="1:12" ht="12.75" customHeight="1" thickBot="1" x14ac:dyDescent="0.25">
      <c r="A133" s="1495" t="s">
        <v>852</v>
      </c>
      <c r="B133" s="1495"/>
      <c r="C133" s="1495"/>
      <c r="D133" s="1495"/>
      <c r="E133" s="1495"/>
      <c r="F133" s="1495"/>
      <c r="G133" s="1495"/>
      <c r="H133" s="651"/>
      <c r="I133" s="1214">
        <f>ROUND(SUM(I118:I132),2)</f>
        <v>112057.25</v>
      </c>
      <c r="L133" s="725"/>
    </row>
    <row r="134" spans="1:12" ht="17.25" customHeight="1" thickBot="1" x14ac:dyDescent="0.25">
      <c r="A134" s="1263">
        <v>10</v>
      </c>
      <c r="B134" s="1494"/>
      <c r="C134" s="1494"/>
      <c r="D134" s="1499" t="s">
        <v>487</v>
      </c>
      <c r="E134" s="1499"/>
      <c r="F134" s="1499"/>
      <c r="G134" s="1499"/>
      <c r="H134" s="1499"/>
      <c r="I134" s="1500"/>
      <c r="J134" s="724">
        <f>I162/$I$604</f>
        <v>9.1386675373426499E-2</v>
      </c>
      <c r="L134" s="725"/>
    </row>
    <row r="135" spans="1:12" ht="17.25" customHeight="1" outlineLevel="1" thickBot="1" x14ac:dyDescent="0.25">
      <c r="A135" s="647" t="s">
        <v>13</v>
      </c>
      <c r="B135" s="648"/>
      <c r="C135" s="648"/>
      <c r="D135" s="649" t="s">
        <v>245</v>
      </c>
      <c r="E135" s="649"/>
      <c r="F135" s="649"/>
      <c r="G135" s="649"/>
      <c r="H135" s="649"/>
      <c r="I135" s="650"/>
      <c r="J135" s="727"/>
      <c r="L135" s="725"/>
    </row>
    <row r="136" spans="1:12" ht="28.5" customHeight="1" outlineLevel="1" x14ac:dyDescent="0.2">
      <c r="A136" s="1029" t="s">
        <v>187</v>
      </c>
      <c r="B136" s="1266" t="s">
        <v>183</v>
      </c>
      <c r="C136" s="38" t="s">
        <v>489</v>
      </c>
      <c r="D136" s="3" t="s">
        <v>199</v>
      </c>
      <c r="E136" s="1275" t="s">
        <v>200</v>
      </c>
      <c r="F136" s="132">
        <f>'10.PAV.'!C42</f>
        <v>39.590000000000003</v>
      </c>
      <c r="G136" s="66">
        <v>73.31</v>
      </c>
      <c r="H136" s="127">
        <f>ROUND((G136*$K$10),2)</f>
        <v>94.44</v>
      </c>
      <c r="I136" s="127">
        <f>ROUND(((F136*H136)),2)</f>
        <v>3738.88</v>
      </c>
      <c r="J136" s="727"/>
      <c r="L136" s="725"/>
    </row>
    <row r="137" spans="1:12" ht="28.5" customHeight="1" outlineLevel="1" x14ac:dyDescent="0.2">
      <c r="A137" s="1029" t="s">
        <v>188</v>
      </c>
      <c r="B137" s="1266" t="s">
        <v>183</v>
      </c>
      <c r="C137" s="38" t="s">
        <v>483</v>
      </c>
      <c r="D137" s="3" t="s">
        <v>203</v>
      </c>
      <c r="E137" s="38" t="s">
        <v>201</v>
      </c>
      <c r="F137" s="132">
        <f>'10.PAV.'!C73</f>
        <v>439.61</v>
      </c>
      <c r="G137" s="66">
        <v>17.350000000000001</v>
      </c>
      <c r="H137" s="127">
        <f t="shared" ref="H137:H140" si="31">ROUND((G137*$K$10),2)</f>
        <v>22.35</v>
      </c>
      <c r="I137" s="127">
        <f t="shared" ref="I137:I140" si="32">ROUND(((F137*H137)),2)</f>
        <v>9825.2800000000007</v>
      </c>
      <c r="J137" s="727"/>
      <c r="L137" s="725"/>
    </row>
    <row r="138" spans="1:12" ht="54.75" customHeight="1" outlineLevel="1" x14ac:dyDescent="0.2">
      <c r="A138" s="1029" t="s">
        <v>250</v>
      </c>
      <c r="B138" s="1266" t="s">
        <v>183</v>
      </c>
      <c r="C138" s="38" t="s">
        <v>636</v>
      </c>
      <c r="D138" s="3" t="s">
        <v>637</v>
      </c>
      <c r="E138" s="38" t="s">
        <v>201</v>
      </c>
      <c r="F138" s="132">
        <f>'10.PAV.'!C78</f>
        <v>439.61</v>
      </c>
      <c r="G138" s="66">
        <v>37.39</v>
      </c>
      <c r="H138" s="127">
        <f t="shared" si="31"/>
        <v>48.17</v>
      </c>
      <c r="I138" s="127">
        <f t="shared" si="32"/>
        <v>21176.01</v>
      </c>
      <c r="L138" s="309">
        <f>I138/$I$604</f>
        <v>1.6135075633169408E-2</v>
      </c>
    </row>
    <row r="139" spans="1:12" ht="44.25" customHeight="1" outlineLevel="1" x14ac:dyDescent="0.2">
      <c r="A139" s="1029" t="s">
        <v>341</v>
      </c>
      <c r="B139" s="1266" t="s">
        <v>183</v>
      </c>
      <c r="C139" s="38">
        <v>87247</v>
      </c>
      <c r="D139" s="3" t="s">
        <v>1861</v>
      </c>
      <c r="E139" s="38" t="s">
        <v>201</v>
      </c>
      <c r="F139" s="132">
        <f>'10.PAV.'!C113</f>
        <v>439.61</v>
      </c>
      <c r="G139" s="66">
        <v>59.2</v>
      </c>
      <c r="H139" s="127">
        <f t="shared" si="31"/>
        <v>76.260000000000005</v>
      </c>
      <c r="I139" s="127">
        <f t="shared" si="32"/>
        <v>33524.660000000003</v>
      </c>
      <c r="L139" s="725">
        <f>I139/$I$604</f>
        <v>2.554413813916263E-2</v>
      </c>
    </row>
    <row r="140" spans="1:12" ht="33" customHeight="1" outlineLevel="1" thickBot="1" x14ac:dyDescent="0.25">
      <c r="A140" s="1029" t="s">
        <v>342</v>
      </c>
      <c r="B140" s="1266" t="s">
        <v>183</v>
      </c>
      <c r="C140" s="1259" t="s">
        <v>1862</v>
      </c>
      <c r="D140" s="3" t="s">
        <v>1863</v>
      </c>
      <c r="E140" s="38" t="s">
        <v>218</v>
      </c>
      <c r="F140" s="132">
        <f>'10.PAV.'!G190</f>
        <v>250.2</v>
      </c>
      <c r="G140" s="66">
        <v>6.83</v>
      </c>
      <c r="H140" s="127">
        <f t="shared" si="31"/>
        <v>8.8000000000000007</v>
      </c>
      <c r="I140" s="127">
        <f t="shared" si="32"/>
        <v>2201.7600000000002</v>
      </c>
      <c r="L140" s="725">
        <f>I140/$I$604</f>
        <v>1.6776325722403364E-3</v>
      </c>
    </row>
    <row r="141" spans="1:12" ht="19.5" customHeight="1" outlineLevel="1" thickBot="1" x14ac:dyDescent="0.25">
      <c r="A141" s="524" t="s">
        <v>14</v>
      </c>
      <c r="B141" s="525"/>
      <c r="C141" s="525"/>
      <c r="D141" s="526" t="s">
        <v>641</v>
      </c>
      <c r="E141" s="526"/>
      <c r="F141" s="526"/>
      <c r="G141" s="526"/>
      <c r="H141" s="526"/>
      <c r="I141" s="527"/>
      <c r="L141" s="725">
        <f>I141/$I$604</f>
        <v>0</v>
      </c>
    </row>
    <row r="142" spans="1:12" ht="27" customHeight="1" outlineLevel="1" x14ac:dyDescent="0.2">
      <c r="A142" s="1029" t="s">
        <v>189</v>
      </c>
      <c r="B142" s="1260" t="s">
        <v>183</v>
      </c>
      <c r="C142" s="1029" t="s">
        <v>483</v>
      </c>
      <c r="D142" s="1268" t="s">
        <v>203</v>
      </c>
      <c r="E142" s="1275" t="s">
        <v>201</v>
      </c>
      <c r="F142" s="734">
        <f>'10.PAV.'!C205</f>
        <v>108.21</v>
      </c>
      <c r="G142" s="735">
        <v>17.350000000000001</v>
      </c>
      <c r="H142" s="127">
        <f>ROUND((G142*$K$10),2)</f>
        <v>22.35</v>
      </c>
      <c r="I142" s="127">
        <f>ROUND(((F142*H142)),2)</f>
        <v>2418.4899999999998</v>
      </c>
      <c r="L142" s="725">
        <f>I142/$I$604</f>
        <v>1.8427701473537218E-3</v>
      </c>
    </row>
    <row r="143" spans="1:12" ht="58.5" customHeight="1" outlineLevel="1" x14ac:dyDescent="0.2">
      <c r="A143" s="1029" t="s">
        <v>640</v>
      </c>
      <c r="B143" s="1260" t="s">
        <v>183</v>
      </c>
      <c r="C143" s="1029" t="s">
        <v>1473</v>
      </c>
      <c r="D143" s="1278" t="s">
        <v>1474</v>
      </c>
      <c r="E143" s="1275" t="s">
        <v>218</v>
      </c>
      <c r="F143" s="734">
        <f>'10.PAV.'!C224</f>
        <v>38.380000000000003</v>
      </c>
      <c r="G143" s="735">
        <v>51.27</v>
      </c>
      <c r="H143" s="127">
        <f t="shared" ref="H143:H149" si="33">ROUND((G143*$K$10),2)</f>
        <v>66.05</v>
      </c>
      <c r="I143" s="127">
        <f t="shared" ref="I143:I149" si="34">ROUND(((F143*H143)),2)</f>
        <v>2535</v>
      </c>
      <c r="L143" s="725"/>
    </row>
    <row r="144" spans="1:12" ht="16.5" customHeight="1" outlineLevel="1" x14ac:dyDescent="0.2">
      <c r="A144" s="1029" t="s">
        <v>644</v>
      </c>
      <c r="B144" s="1260" t="s">
        <v>182</v>
      </c>
      <c r="C144" s="1029" t="s">
        <v>1410</v>
      </c>
      <c r="D144" s="1268" t="s">
        <v>1434</v>
      </c>
      <c r="E144" s="1275" t="s">
        <v>201</v>
      </c>
      <c r="F144" s="734">
        <f>'10.PAV.'!C231</f>
        <v>21</v>
      </c>
      <c r="G144" s="735">
        <v>35.53</v>
      </c>
      <c r="H144" s="127">
        <f t="shared" si="33"/>
        <v>45.77</v>
      </c>
      <c r="I144" s="127">
        <f t="shared" si="34"/>
        <v>961.17</v>
      </c>
      <c r="L144" s="725"/>
    </row>
    <row r="145" spans="1:12" ht="42" customHeight="1" outlineLevel="1" x14ac:dyDescent="0.2">
      <c r="A145" s="1029" t="s">
        <v>1472</v>
      </c>
      <c r="B145" s="1260" t="s">
        <v>183</v>
      </c>
      <c r="C145" s="1029" t="s">
        <v>642</v>
      </c>
      <c r="D145" s="1268" t="s">
        <v>643</v>
      </c>
      <c r="E145" s="1275" t="s">
        <v>201</v>
      </c>
      <c r="F145" s="734">
        <f>'10.PAV.'!C239</f>
        <v>39.72</v>
      </c>
      <c r="G145" s="735">
        <v>138.94999999999999</v>
      </c>
      <c r="H145" s="127">
        <f t="shared" si="33"/>
        <v>179</v>
      </c>
      <c r="I145" s="127">
        <f t="shared" si="34"/>
        <v>7109.88</v>
      </c>
      <c r="L145" s="725">
        <f t="shared" ref="L145:L151" si="35">I145/$I$604</f>
        <v>5.4173780397137388E-3</v>
      </c>
    </row>
    <row r="146" spans="1:12" ht="46.5" customHeight="1" outlineLevel="1" x14ac:dyDescent="0.2">
      <c r="A146" s="1029" t="s">
        <v>1475</v>
      </c>
      <c r="B146" s="1260" t="s">
        <v>183</v>
      </c>
      <c r="C146" s="1029">
        <v>94991</v>
      </c>
      <c r="D146" s="1268" t="s">
        <v>249</v>
      </c>
      <c r="E146" s="1275" t="s">
        <v>200</v>
      </c>
      <c r="F146" s="734">
        <f>'10.PAV.'!C255</f>
        <v>9.34</v>
      </c>
      <c r="G146" s="735">
        <v>691.71</v>
      </c>
      <c r="H146" s="127">
        <f t="shared" si="33"/>
        <v>891.06</v>
      </c>
      <c r="I146" s="127">
        <f t="shared" si="34"/>
        <v>8322.5</v>
      </c>
      <c r="L146" s="725">
        <f t="shared" si="35"/>
        <v>6.3413346970015794E-3</v>
      </c>
    </row>
    <row r="147" spans="1:12" ht="18.75" customHeight="1" outlineLevel="1" x14ac:dyDescent="0.2">
      <c r="A147" s="1029" t="s">
        <v>1889</v>
      </c>
      <c r="B147" s="1260" t="s">
        <v>182</v>
      </c>
      <c r="C147" s="1029" t="s">
        <v>1890</v>
      </c>
      <c r="D147" s="1268" t="s">
        <v>1891</v>
      </c>
      <c r="E147" s="1275" t="s">
        <v>328</v>
      </c>
      <c r="F147" s="734">
        <f>'10.PAV.'!C262</f>
        <v>24</v>
      </c>
      <c r="G147" s="735">
        <v>107.02</v>
      </c>
      <c r="H147" s="127">
        <f t="shared" si="33"/>
        <v>137.86000000000001</v>
      </c>
      <c r="I147" s="127">
        <f t="shared" si="34"/>
        <v>3308.64</v>
      </c>
      <c r="L147" s="725">
        <f t="shared" si="35"/>
        <v>2.5210205625578017E-3</v>
      </c>
    </row>
    <row r="148" spans="1:12" ht="29.25" customHeight="1" outlineLevel="1" x14ac:dyDescent="0.2">
      <c r="A148" s="1029" t="s">
        <v>2161</v>
      </c>
      <c r="B148" s="1260" t="s">
        <v>183</v>
      </c>
      <c r="C148" s="1029" t="s">
        <v>1333</v>
      </c>
      <c r="D148" s="1268" t="s">
        <v>1334</v>
      </c>
      <c r="E148" s="1275" t="s">
        <v>739</v>
      </c>
      <c r="F148" s="734">
        <f>'10.PAV.'!C272</f>
        <v>2</v>
      </c>
      <c r="G148" s="735">
        <v>545.9</v>
      </c>
      <c r="H148" s="127">
        <f t="shared" si="33"/>
        <v>703.23</v>
      </c>
      <c r="I148" s="127">
        <f t="shared" si="34"/>
        <v>1406.46</v>
      </c>
      <c r="L148" s="725">
        <f t="shared" si="35"/>
        <v>1.071653180888536E-3</v>
      </c>
    </row>
    <row r="149" spans="1:12" ht="30.75" customHeight="1" outlineLevel="1" thickBot="1" x14ac:dyDescent="0.25">
      <c r="A149" s="1029" t="s">
        <v>2162</v>
      </c>
      <c r="B149" s="1260" t="s">
        <v>182</v>
      </c>
      <c r="C149" s="1029" t="s">
        <v>2163</v>
      </c>
      <c r="D149" s="1268" t="s">
        <v>2164</v>
      </c>
      <c r="E149" s="1275" t="s">
        <v>218</v>
      </c>
      <c r="F149" s="734">
        <f>'10.PAV.'!C280</f>
        <v>40</v>
      </c>
      <c r="G149" s="735">
        <v>44.3</v>
      </c>
      <c r="H149" s="127">
        <f t="shared" si="33"/>
        <v>57.07</v>
      </c>
      <c r="I149" s="127">
        <f t="shared" si="34"/>
        <v>2282.8000000000002</v>
      </c>
      <c r="L149" s="725">
        <f t="shared" si="35"/>
        <v>1.7393810569318361E-3</v>
      </c>
    </row>
    <row r="150" spans="1:12" ht="16.5" customHeight="1" outlineLevel="1" thickBot="1" x14ac:dyDescent="0.25">
      <c r="A150" s="524" t="s">
        <v>492</v>
      </c>
      <c r="B150" s="525"/>
      <c r="C150" s="525"/>
      <c r="D150" s="526" t="s">
        <v>488</v>
      </c>
      <c r="E150" s="526"/>
      <c r="F150" s="526"/>
      <c r="G150" s="526"/>
      <c r="H150" s="526"/>
      <c r="I150" s="527"/>
      <c r="L150" s="725">
        <f t="shared" si="35"/>
        <v>0</v>
      </c>
    </row>
    <row r="151" spans="1:12" ht="27.75" customHeight="1" outlineLevel="1" x14ac:dyDescent="0.2">
      <c r="A151" s="1029" t="s">
        <v>493</v>
      </c>
      <c r="B151" s="1260" t="s">
        <v>183</v>
      </c>
      <c r="C151" s="1029" t="s">
        <v>489</v>
      </c>
      <c r="D151" s="1268" t="s">
        <v>199</v>
      </c>
      <c r="E151" s="1275" t="s">
        <v>200</v>
      </c>
      <c r="F151" s="734">
        <f>'10.PAV.'!C290</f>
        <v>0.98</v>
      </c>
      <c r="G151" s="735">
        <v>73.31</v>
      </c>
      <c r="H151" s="127">
        <f>ROUND((G151*$K$10),2)</f>
        <v>94.44</v>
      </c>
      <c r="I151" s="127">
        <f>ROUND(((F151*H151)),2)</f>
        <v>92.55</v>
      </c>
      <c r="L151" s="725">
        <f t="shared" si="35"/>
        <v>7.0518537243315852E-5</v>
      </c>
    </row>
    <row r="152" spans="1:12" ht="27.75" customHeight="1" outlineLevel="1" x14ac:dyDescent="0.2">
      <c r="A152" s="1029" t="s">
        <v>494</v>
      </c>
      <c r="B152" s="1266" t="s">
        <v>183</v>
      </c>
      <c r="C152" s="38" t="s">
        <v>648</v>
      </c>
      <c r="D152" s="3" t="s">
        <v>649</v>
      </c>
      <c r="E152" s="38" t="s">
        <v>200</v>
      </c>
      <c r="F152" s="132">
        <f>'10.PAV.'!C299</f>
        <v>0.39</v>
      </c>
      <c r="G152" s="66">
        <v>599.14</v>
      </c>
      <c r="H152" s="127">
        <f t="shared" ref="H152:H153" si="36">ROUND((G152*$K$10),2)</f>
        <v>771.81</v>
      </c>
      <c r="I152" s="127">
        <f t="shared" ref="I152:I153" si="37">ROUND(((F152*H152)),2)</f>
        <v>301.01</v>
      </c>
      <c r="L152" s="725"/>
    </row>
    <row r="153" spans="1:12" ht="46.5" customHeight="1" outlineLevel="1" thickBot="1" x14ac:dyDescent="0.25">
      <c r="A153" s="1029" t="s">
        <v>495</v>
      </c>
      <c r="B153" s="1260" t="s">
        <v>183</v>
      </c>
      <c r="C153" s="1029" t="s">
        <v>490</v>
      </c>
      <c r="D153" s="1268" t="s">
        <v>491</v>
      </c>
      <c r="E153" s="38" t="s">
        <v>201</v>
      </c>
      <c r="F153" s="734">
        <f>'10.PAV.'!C308</f>
        <v>25.38</v>
      </c>
      <c r="G153" s="735">
        <v>89.82</v>
      </c>
      <c r="H153" s="127">
        <f t="shared" si="36"/>
        <v>115.71</v>
      </c>
      <c r="I153" s="127">
        <f t="shared" si="37"/>
        <v>2936.72</v>
      </c>
      <c r="L153" s="725"/>
    </row>
    <row r="154" spans="1:12" s="728" customFormat="1" ht="15.75" customHeight="1" outlineLevel="1" thickBot="1" x14ac:dyDescent="0.25">
      <c r="A154" s="524" t="s">
        <v>503</v>
      </c>
      <c r="B154" s="525"/>
      <c r="C154" s="525"/>
      <c r="D154" s="526" t="s">
        <v>502</v>
      </c>
      <c r="E154" s="526"/>
      <c r="F154" s="526"/>
      <c r="G154" s="526"/>
      <c r="H154" s="526"/>
      <c r="I154" s="527"/>
      <c r="L154" s="736">
        <f>I154/$I$604</f>
        <v>0</v>
      </c>
    </row>
    <row r="155" spans="1:12" s="728" customFormat="1" ht="32.25" customHeight="1" outlineLevel="1" x14ac:dyDescent="0.2">
      <c r="A155" s="1029" t="s">
        <v>650</v>
      </c>
      <c r="B155" s="1259" t="s">
        <v>183</v>
      </c>
      <c r="C155" s="1259" t="s">
        <v>654</v>
      </c>
      <c r="D155" s="1268" t="s">
        <v>655</v>
      </c>
      <c r="E155" s="38" t="s">
        <v>201</v>
      </c>
      <c r="F155" s="734">
        <f>'10.PAV.'!C316</f>
        <v>67.63</v>
      </c>
      <c r="G155" s="737">
        <v>74.75</v>
      </c>
      <c r="H155" s="127">
        <f t="shared" ref="H155:H158" si="38">ROUND((G155*$K$10),2)</f>
        <v>96.29</v>
      </c>
      <c r="I155" s="127">
        <f t="shared" ref="I155:I158" si="39">ROUND(((F155*H155)),2)</f>
        <v>6512.09</v>
      </c>
      <c r="L155" s="736"/>
    </row>
    <row r="156" spans="1:12" s="728" customFormat="1" ht="32.25" customHeight="1" outlineLevel="1" x14ac:dyDescent="0.2">
      <c r="A156" s="1029" t="s">
        <v>651</v>
      </c>
      <c r="B156" s="1259" t="s">
        <v>183</v>
      </c>
      <c r="C156" s="1259" t="s">
        <v>656</v>
      </c>
      <c r="D156" s="1268" t="s">
        <v>657</v>
      </c>
      <c r="E156" s="1259" t="s">
        <v>218</v>
      </c>
      <c r="F156" s="734">
        <f>'10.PAV.'!C324</f>
        <v>10</v>
      </c>
      <c r="G156" s="737">
        <v>4.75</v>
      </c>
      <c r="H156" s="127">
        <f t="shared" si="38"/>
        <v>6.12</v>
      </c>
      <c r="I156" s="127">
        <f t="shared" si="39"/>
        <v>61.2</v>
      </c>
      <c r="L156" s="736"/>
    </row>
    <row r="157" spans="1:12" s="728" customFormat="1" ht="32.25" customHeight="1" outlineLevel="1" x14ac:dyDescent="0.2">
      <c r="A157" s="1029" t="s">
        <v>652</v>
      </c>
      <c r="B157" s="1259" t="s">
        <v>183</v>
      </c>
      <c r="C157" s="1259" t="s">
        <v>658</v>
      </c>
      <c r="D157" s="1268" t="s">
        <v>659</v>
      </c>
      <c r="E157" s="38" t="s">
        <v>201</v>
      </c>
      <c r="F157" s="734">
        <f>'10.PAV.'!C333</f>
        <v>10.54</v>
      </c>
      <c r="G157" s="737">
        <v>36.94</v>
      </c>
      <c r="H157" s="127">
        <f t="shared" si="38"/>
        <v>47.59</v>
      </c>
      <c r="I157" s="127">
        <f t="shared" si="39"/>
        <v>501.6</v>
      </c>
      <c r="L157" s="736"/>
    </row>
    <row r="158" spans="1:12" s="728" customFormat="1" ht="18" customHeight="1" outlineLevel="1" thickBot="1" x14ac:dyDescent="0.25">
      <c r="A158" s="1029" t="s">
        <v>653</v>
      </c>
      <c r="B158" s="1259" t="s">
        <v>182</v>
      </c>
      <c r="C158" s="1259" t="s">
        <v>660</v>
      </c>
      <c r="D158" s="1268" t="s">
        <v>661</v>
      </c>
      <c r="E158" s="1259" t="s">
        <v>219</v>
      </c>
      <c r="F158" s="734">
        <f>'10.PAV.'!C341</f>
        <v>2</v>
      </c>
      <c r="G158" s="737">
        <v>42.69</v>
      </c>
      <c r="H158" s="127">
        <f t="shared" si="38"/>
        <v>54.99</v>
      </c>
      <c r="I158" s="127">
        <f t="shared" si="39"/>
        <v>109.98</v>
      </c>
      <c r="L158" s="736"/>
    </row>
    <row r="159" spans="1:12" s="728" customFormat="1" ht="17.25" customHeight="1" outlineLevel="1" thickBot="1" x14ac:dyDescent="0.25">
      <c r="A159" s="524" t="s">
        <v>638</v>
      </c>
      <c r="B159" s="525"/>
      <c r="C159" s="525"/>
      <c r="D159" s="526" t="s">
        <v>639</v>
      </c>
      <c r="E159" s="526"/>
      <c r="F159" s="526"/>
      <c r="G159" s="526"/>
      <c r="H159" s="526"/>
      <c r="I159" s="527"/>
      <c r="L159" s="736">
        <f>I159/$I$604</f>
        <v>0</v>
      </c>
    </row>
    <row r="160" spans="1:12" s="728" customFormat="1" ht="17.25" customHeight="1" outlineLevel="1" x14ac:dyDescent="0.2">
      <c r="A160" s="1029" t="s">
        <v>662</v>
      </c>
      <c r="B160" s="1260" t="s">
        <v>182</v>
      </c>
      <c r="C160" s="1029" t="s">
        <v>1613</v>
      </c>
      <c r="D160" s="1268" t="s">
        <v>1614</v>
      </c>
      <c r="E160" s="38" t="s">
        <v>201</v>
      </c>
      <c r="F160" s="734">
        <f>'10.PAV.'!C351</f>
        <v>22.25</v>
      </c>
      <c r="G160" s="738">
        <v>258.17</v>
      </c>
      <c r="H160" s="127">
        <f>ROUND((G160*$K$10),2)</f>
        <v>332.57</v>
      </c>
      <c r="I160" s="127">
        <f>ROUND(((F160*H160)),2)</f>
        <v>7399.68</v>
      </c>
      <c r="L160" s="736"/>
    </row>
    <row r="161" spans="1:12" s="728" customFormat="1" ht="28.5" customHeight="1" outlineLevel="1" x14ac:dyDescent="0.2">
      <c r="A161" s="1029" t="s">
        <v>663</v>
      </c>
      <c r="B161" s="1260" t="s">
        <v>182</v>
      </c>
      <c r="C161" s="1029" t="s">
        <v>664</v>
      </c>
      <c r="D161" s="1268" t="s">
        <v>665</v>
      </c>
      <c r="E161" s="38" t="s">
        <v>201</v>
      </c>
      <c r="F161" s="734">
        <f>'10.PAV.'!C362</f>
        <v>20.89</v>
      </c>
      <c r="G161" s="738">
        <v>119.34</v>
      </c>
      <c r="H161" s="127">
        <f>ROUND((G161*$K$10),2)</f>
        <v>153.72999999999999</v>
      </c>
      <c r="I161" s="127">
        <f>ROUND(((F161*H161)),2)</f>
        <v>3211.42</v>
      </c>
      <c r="L161" s="736"/>
    </row>
    <row r="162" spans="1:12" ht="13.5" thickBot="1" x14ac:dyDescent="0.25">
      <c r="A162" s="1495" t="s">
        <v>853</v>
      </c>
      <c r="B162" s="1495"/>
      <c r="C162" s="1495"/>
      <c r="D162" s="1495"/>
      <c r="E162" s="1495"/>
      <c r="F162" s="1495"/>
      <c r="G162" s="1495"/>
      <c r="H162" s="651"/>
      <c r="I162" s="1214">
        <f>ROUND(SUM(I136:I161),2)</f>
        <v>119937.78</v>
      </c>
      <c r="L162" s="725"/>
    </row>
    <row r="163" spans="1:12" s="762" customFormat="1" ht="13.5" thickBot="1" x14ac:dyDescent="0.25">
      <c r="A163" s="759">
        <v>11</v>
      </c>
      <c r="B163" s="760"/>
      <c r="C163" s="760"/>
      <c r="D163" s="1520" t="s">
        <v>24</v>
      </c>
      <c r="E163" s="1520"/>
      <c r="F163" s="1520"/>
      <c r="G163" s="1520"/>
      <c r="H163" s="1520"/>
      <c r="I163" s="1521"/>
      <c r="J163" s="761">
        <f>I171/$I$604</f>
        <v>3.0805712499832463E-2</v>
      </c>
      <c r="L163" s="763"/>
    </row>
    <row r="164" spans="1:12" ht="17.25" customHeight="1" outlineLevel="1" thickBot="1" x14ac:dyDescent="0.25">
      <c r="A164" s="647" t="s">
        <v>178</v>
      </c>
      <c r="B164" s="648"/>
      <c r="C164" s="648"/>
      <c r="D164" s="649" t="s">
        <v>501</v>
      </c>
      <c r="E164" s="649"/>
      <c r="F164" s="649"/>
      <c r="G164" s="649"/>
      <c r="H164" s="649"/>
      <c r="I164" s="650"/>
      <c r="J164" s="739"/>
      <c r="L164" s="725"/>
    </row>
    <row r="165" spans="1:12" ht="32.25" customHeight="1" outlineLevel="1" x14ac:dyDescent="0.2">
      <c r="A165" s="1029" t="s">
        <v>209</v>
      </c>
      <c r="B165" s="1260" t="s">
        <v>183</v>
      </c>
      <c r="C165" s="1029">
        <v>88497</v>
      </c>
      <c r="D165" s="1268" t="s">
        <v>154</v>
      </c>
      <c r="E165" s="38" t="s">
        <v>201</v>
      </c>
      <c r="F165" s="131">
        <f>'11.PINT'!C18</f>
        <v>1051.6099999999999</v>
      </c>
      <c r="G165" s="127">
        <v>12.74</v>
      </c>
      <c r="H165" s="127">
        <f>ROUND((G165*$K$10),2)</f>
        <v>16.41</v>
      </c>
      <c r="I165" s="127">
        <f>ROUND(((F165*H165)),2)</f>
        <v>17256.919999999998</v>
      </c>
      <c r="L165" s="725">
        <f>I165/$I$604</f>
        <v>1.3148922266071551E-2</v>
      </c>
    </row>
    <row r="166" spans="1:12" ht="32.25" customHeight="1" outlineLevel="1" x14ac:dyDescent="0.2">
      <c r="A166" s="1029" t="s">
        <v>210</v>
      </c>
      <c r="B166" s="1260" t="s">
        <v>183</v>
      </c>
      <c r="C166" s="1259">
        <v>88489</v>
      </c>
      <c r="D166" s="1271" t="s">
        <v>155</v>
      </c>
      <c r="E166" s="38" t="s">
        <v>201</v>
      </c>
      <c r="F166" s="131">
        <f>'11.PINT'!C18</f>
        <v>1051.6099999999999</v>
      </c>
      <c r="G166" s="66">
        <v>13.57</v>
      </c>
      <c r="H166" s="127">
        <f t="shared" ref="H166:H167" si="40">ROUND((G166*$K$10),2)</f>
        <v>17.48</v>
      </c>
      <c r="I166" s="127">
        <f t="shared" ref="I166:I167" si="41">ROUND(((F166*H166)),2)</f>
        <v>18382.14</v>
      </c>
      <c r="L166" s="725">
        <f>I166/$I$604</f>
        <v>1.4006284432218758E-2</v>
      </c>
    </row>
    <row r="167" spans="1:12" ht="32.25" customHeight="1" outlineLevel="1" thickBot="1" x14ac:dyDescent="0.25">
      <c r="A167" s="314" t="s">
        <v>221</v>
      </c>
      <c r="B167" s="1265" t="s">
        <v>183</v>
      </c>
      <c r="C167" s="1272">
        <v>88485</v>
      </c>
      <c r="D167" s="1267" t="s">
        <v>251</v>
      </c>
      <c r="E167" s="1274" t="s">
        <v>201</v>
      </c>
      <c r="F167" s="315">
        <f>'11.PINT'!C18</f>
        <v>1051.6099999999999</v>
      </c>
      <c r="G167" s="316">
        <v>2.2799999999999998</v>
      </c>
      <c r="H167" s="127">
        <f t="shared" si="40"/>
        <v>2.94</v>
      </c>
      <c r="I167" s="127">
        <f t="shared" si="41"/>
        <v>3091.73</v>
      </c>
      <c r="L167" s="725">
        <f>I167/$I$604</f>
        <v>2.3557458363184973E-3</v>
      </c>
    </row>
    <row r="168" spans="1:12" ht="13.5" outlineLevel="1" thickBot="1" x14ac:dyDescent="0.25">
      <c r="A168" s="524" t="s">
        <v>676</v>
      </c>
      <c r="B168" s="525"/>
      <c r="C168" s="525"/>
      <c r="D168" s="526" t="s">
        <v>679</v>
      </c>
      <c r="E168" s="526"/>
      <c r="F168" s="526"/>
      <c r="G168" s="526"/>
      <c r="H168" s="526"/>
      <c r="I168" s="527"/>
      <c r="J168" s="739"/>
      <c r="L168" s="725"/>
    </row>
    <row r="169" spans="1:12" ht="32.25" customHeight="1" outlineLevel="1" x14ac:dyDescent="0.2">
      <c r="A169" s="1029" t="s">
        <v>677</v>
      </c>
      <c r="B169" s="1260" t="s">
        <v>183</v>
      </c>
      <c r="C169" s="1029" t="s">
        <v>658</v>
      </c>
      <c r="D169" s="1268" t="s">
        <v>659</v>
      </c>
      <c r="E169" s="38" t="s">
        <v>201</v>
      </c>
      <c r="F169" s="131">
        <f>'11.PINT'!C28</f>
        <v>2.2400000000000002</v>
      </c>
      <c r="G169" s="127">
        <v>36.94</v>
      </c>
      <c r="H169" s="127">
        <f>ROUND((G169*$K$10),2)</f>
        <v>47.59</v>
      </c>
      <c r="I169" s="127">
        <f>ROUND(((F169*H169)),2)</f>
        <v>106.6</v>
      </c>
      <c r="L169" s="725">
        <f>I169/$I$604</f>
        <v>8.1223944571987784E-5</v>
      </c>
    </row>
    <row r="170" spans="1:12" ht="32.25" customHeight="1" outlineLevel="1" x14ac:dyDescent="0.2">
      <c r="A170" s="1029" t="s">
        <v>678</v>
      </c>
      <c r="B170" s="1260" t="s">
        <v>183</v>
      </c>
      <c r="C170" s="1259" t="s">
        <v>684</v>
      </c>
      <c r="D170" s="1271" t="s">
        <v>685</v>
      </c>
      <c r="E170" s="38" t="s">
        <v>201</v>
      </c>
      <c r="F170" s="131">
        <f>'11.PINT'!C37</f>
        <v>75.02</v>
      </c>
      <c r="G170" s="66">
        <v>16.48</v>
      </c>
      <c r="H170" s="127">
        <f>ROUND((G170*$K$10),2)</f>
        <v>21.23</v>
      </c>
      <c r="I170" s="127">
        <f>ROUND(((F170*H170)),2)</f>
        <v>1592.67</v>
      </c>
      <c r="L170" s="725">
        <f>I170/$I$604</f>
        <v>1.213536020651668E-3</v>
      </c>
    </row>
    <row r="171" spans="1:12" ht="12.75" customHeight="1" thickBot="1" x14ac:dyDescent="0.25">
      <c r="A171" s="1496" t="s">
        <v>854</v>
      </c>
      <c r="B171" s="1497"/>
      <c r="C171" s="1497"/>
      <c r="D171" s="1497"/>
      <c r="E171" s="1497"/>
      <c r="F171" s="1497"/>
      <c r="G171" s="1498"/>
      <c r="H171" s="651"/>
      <c r="I171" s="1214">
        <f>ROUND(SUM(I165:I170),2)</f>
        <v>40430.06</v>
      </c>
      <c r="L171" s="725"/>
    </row>
    <row r="172" spans="1:12" ht="21" customHeight="1" thickBot="1" x14ac:dyDescent="0.25">
      <c r="A172" s="1263">
        <v>12</v>
      </c>
      <c r="B172" s="1264"/>
      <c r="C172" s="1264"/>
      <c r="D172" s="1499" t="s">
        <v>186</v>
      </c>
      <c r="E172" s="1499"/>
      <c r="F172" s="1499"/>
      <c r="G172" s="1499"/>
      <c r="H172" s="1499"/>
      <c r="I172" s="1500"/>
      <c r="J172" s="724">
        <f>I301/$I$604</f>
        <v>0.1243332255147695</v>
      </c>
      <c r="L172" s="725"/>
    </row>
    <row r="173" spans="1:12" ht="19.5" customHeight="1" outlineLevel="1" thickBot="1" x14ac:dyDescent="0.25">
      <c r="A173" s="647" t="s">
        <v>180</v>
      </c>
      <c r="B173" s="648"/>
      <c r="C173" s="648"/>
      <c r="D173" s="649" t="s">
        <v>190</v>
      </c>
      <c r="E173" s="649"/>
      <c r="F173" s="649"/>
      <c r="G173" s="649"/>
      <c r="H173" s="649"/>
      <c r="I173" s="650"/>
      <c r="J173" s="739"/>
      <c r="L173" s="725"/>
    </row>
    <row r="174" spans="1:12" ht="19.5" customHeight="1" outlineLevel="1" x14ac:dyDescent="0.2">
      <c r="A174" s="1259" t="s">
        <v>222</v>
      </c>
      <c r="B174" s="1260" t="s">
        <v>182</v>
      </c>
      <c r="C174" s="38" t="s">
        <v>2345</v>
      </c>
      <c r="D174" s="1271" t="s">
        <v>2351</v>
      </c>
      <c r="E174" s="38" t="s">
        <v>219</v>
      </c>
      <c r="F174" s="1129">
        <f>'12.ELE.'!D17</f>
        <v>71</v>
      </c>
      <c r="G174" s="66">
        <v>124.76</v>
      </c>
      <c r="H174" s="194">
        <f>ROUND((G174*$K$10),2)</f>
        <v>160.72</v>
      </c>
      <c r="I174" s="194">
        <f>ROUND(((F174*H174)),2)</f>
        <v>11411.12</v>
      </c>
      <c r="L174" s="725">
        <f t="shared" ref="L174:L205" si="42">I174/$I$604</f>
        <v>8.694710866644478E-3</v>
      </c>
    </row>
    <row r="175" spans="1:12" ht="29.25" customHeight="1" outlineLevel="1" x14ac:dyDescent="0.2">
      <c r="A175" s="1259" t="s">
        <v>225</v>
      </c>
      <c r="B175" s="1260" t="s">
        <v>183</v>
      </c>
      <c r="C175" s="38" t="s">
        <v>2346</v>
      </c>
      <c r="D175" s="1271" t="s">
        <v>2347</v>
      </c>
      <c r="E175" s="38" t="s">
        <v>219</v>
      </c>
      <c r="F175" s="1129">
        <f>'12.ELE.'!D21</f>
        <v>6</v>
      </c>
      <c r="G175" s="66">
        <v>38.29</v>
      </c>
      <c r="H175" s="194">
        <f t="shared" ref="H175:H176" si="43">ROUND((G175*$K$10),2)</f>
        <v>49.33</v>
      </c>
      <c r="I175" s="194">
        <f t="shared" ref="I175:I176" si="44">ROUND(((F175*H175)),2)</f>
        <v>295.98</v>
      </c>
      <c r="L175" s="725">
        <f t="shared" si="42"/>
        <v>2.255221680526918E-4</v>
      </c>
    </row>
    <row r="176" spans="1:12" ht="29.25" customHeight="1" outlineLevel="1" thickBot="1" x14ac:dyDescent="0.25">
      <c r="A176" s="1259" t="s">
        <v>260</v>
      </c>
      <c r="B176" s="1518" t="str">
        <f>COMPOSIÇÕES!A127</f>
        <v>COMPOSIÇÃO 10</v>
      </c>
      <c r="C176" s="1519"/>
      <c r="D176" s="1137" t="str">
        <f>COMPOSIÇÕES!C126</f>
        <v>LUMINÁRIA PENDENTE, PARA UMA LÂMPADA LED 50W. FORNECIMENTO E INSTALAÇÃO</v>
      </c>
      <c r="E176" s="38" t="s">
        <v>219</v>
      </c>
      <c r="F176" s="1138">
        <f>'12.ELE.'!D25</f>
        <v>12</v>
      </c>
      <c r="G176" s="66">
        <f>COMPOSIÇÕES!M132</f>
        <v>82.71</v>
      </c>
      <c r="H176" s="194">
        <f t="shared" si="43"/>
        <v>106.55</v>
      </c>
      <c r="I176" s="194">
        <f t="shared" si="44"/>
        <v>1278.5999999999999</v>
      </c>
      <c r="L176" s="725">
        <f t="shared" si="42"/>
        <v>9.7423016444412366E-4</v>
      </c>
    </row>
    <row r="177" spans="1:12" ht="19.5" customHeight="1" outlineLevel="1" thickBot="1" x14ac:dyDescent="0.25">
      <c r="A177" s="524" t="s">
        <v>223</v>
      </c>
      <c r="B177" s="525"/>
      <c r="C177" s="525"/>
      <c r="D177" s="526" t="s">
        <v>2367</v>
      </c>
      <c r="E177" s="526"/>
      <c r="F177" s="526"/>
      <c r="G177" s="526"/>
      <c r="H177" s="526"/>
      <c r="I177" s="527"/>
      <c r="L177" s="725">
        <f t="shared" si="42"/>
        <v>0</v>
      </c>
    </row>
    <row r="178" spans="1:12" ht="36" customHeight="1" outlineLevel="1" x14ac:dyDescent="0.2">
      <c r="A178" s="1259" t="s">
        <v>224</v>
      </c>
      <c r="B178" s="1260" t="s">
        <v>183</v>
      </c>
      <c r="C178" s="38" t="s">
        <v>2352</v>
      </c>
      <c r="D178" s="1271" t="s">
        <v>2353</v>
      </c>
      <c r="E178" s="38" t="s">
        <v>219</v>
      </c>
      <c r="F178" s="1129">
        <f>'12.ELE.'!D31</f>
        <v>16</v>
      </c>
      <c r="G178" s="66">
        <v>22.55</v>
      </c>
      <c r="H178" s="194">
        <f>ROUND((G178*$K$10),2)</f>
        <v>29.05</v>
      </c>
      <c r="I178" s="194">
        <f>ROUND(((F178*H178)),2)</f>
        <v>464.8</v>
      </c>
      <c r="K178" s="69">
        <f>37.79*24.49</f>
        <v>925.47709999999995</v>
      </c>
      <c r="L178" s="725">
        <f t="shared" si="42"/>
        <v>3.5415468515065596E-4</v>
      </c>
    </row>
    <row r="179" spans="1:12" ht="31.15" customHeight="1" outlineLevel="1" x14ac:dyDescent="0.2">
      <c r="A179" s="1259" t="s">
        <v>226</v>
      </c>
      <c r="B179" s="1260" t="s">
        <v>183</v>
      </c>
      <c r="C179" s="38" t="s">
        <v>2424</v>
      </c>
      <c r="D179" s="1271" t="s">
        <v>2425</v>
      </c>
      <c r="E179" s="38" t="s">
        <v>219</v>
      </c>
      <c r="F179" s="1129">
        <f>'12.ELE.'!D35</f>
        <v>11</v>
      </c>
      <c r="G179" s="66">
        <v>35.74</v>
      </c>
      <c r="H179" s="194">
        <f t="shared" ref="H179" si="45">ROUND((G179*$K$10),2)</f>
        <v>46.04</v>
      </c>
      <c r="I179" s="194">
        <f t="shared" ref="I179" si="46">ROUND(((F179*H179)),2)</f>
        <v>506.44</v>
      </c>
      <c r="L179" s="725">
        <f t="shared" si="42"/>
        <v>3.8588231227990147E-4</v>
      </c>
    </row>
    <row r="180" spans="1:12" ht="31.9" customHeight="1" outlineLevel="1" x14ac:dyDescent="0.2">
      <c r="A180" s="1259" t="s">
        <v>227</v>
      </c>
      <c r="B180" s="1260" t="s">
        <v>183</v>
      </c>
      <c r="C180" s="38" t="s">
        <v>2426</v>
      </c>
      <c r="D180" s="1271" t="s">
        <v>2427</v>
      </c>
      <c r="E180" s="38" t="s">
        <v>219</v>
      </c>
      <c r="F180" s="1129">
        <f>'12.ELE.'!D39</f>
        <v>3</v>
      </c>
      <c r="G180" s="66">
        <v>48.93</v>
      </c>
      <c r="H180" s="194">
        <f t="shared" ref="H180" si="47">ROUND((G180*$K$10),2)</f>
        <v>63.03</v>
      </c>
      <c r="I180" s="194">
        <f t="shared" ref="I180" si="48">ROUND(((F180*H180)),2)</f>
        <v>189.09</v>
      </c>
      <c r="L180" s="725">
        <f t="shared" si="42"/>
        <v>1.4407725777783464E-4</v>
      </c>
    </row>
    <row r="181" spans="1:12" ht="46.9" customHeight="1" outlineLevel="1" x14ac:dyDescent="0.2">
      <c r="A181" s="1259" t="s">
        <v>228</v>
      </c>
      <c r="B181" s="1260" t="s">
        <v>183</v>
      </c>
      <c r="C181" s="38" t="s">
        <v>2354</v>
      </c>
      <c r="D181" s="1271" t="s">
        <v>2355</v>
      </c>
      <c r="E181" s="38" t="s">
        <v>219</v>
      </c>
      <c r="F181" s="1129">
        <f>'12.ELE.'!D43</f>
        <v>4</v>
      </c>
      <c r="G181" s="66">
        <v>39.840000000000003</v>
      </c>
      <c r="H181" s="194">
        <f t="shared" ref="H181:H187" si="49">ROUND((G181*$K$10),2)</f>
        <v>51.32</v>
      </c>
      <c r="I181" s="194">
        <f t="shared" ref="I181:I187" si="50">ROUND(((F181*H181)),2)</f>
        <v>205.28</v>
      </c>
      <c r="L181" s="725">
        <f t="shared" si="42"/>
        <v>1.564132396035427E-4</v>
      </c>
    </row>
    <row r="182" spans="1:12" ht="29.25" customHeight="1" outlineLevel="1" x14ac:dyDescent="0.2">
      <c r="A182" s="1259" t="s">
        <v>229</v>
      </c>
      <c r="B182" s="1260" t="s">
        <v>183</v>
      </c>
      <c r="C182" s="38" t="s">
        <v>2356</v>
      </c>
      <c r="D182" s="1271" t="s">
        <v>177</v>
      </c>
      <c r="E182" s="38" t="s">
        <v>219</v>
      </c>
      <c r="F182" s="1129">
        <f>'12.ELE.'!D47</f>
        <v>13</v>
      </c>
      <c r="G182" s="66">
        <v>23.87</v>
      </c>
      <c r="H182" s="194">
        <f t="shared" si="49"/>
        <v>30.75</v>
      </c>
      <c r="I182" s="194">
        <f t="shared" si="50"/>
        <v>399.75</v>
      </c>
      <c r="L182" s="725">
        <f t="shared" si="42"/>
        <v>3.045897921449542E-4</v>
      </c>
    </row>
    <row r="183" spans="1:12" ht="29.25" customHeight="1" outlineLevel="1" x14ac:dyDescent="0.2">
      <c r="A183" s="1259" t="s">
        <v>277</v>
      </c>
      <c r="B183" s="1260" t="s">
        <v>183</v>
      </c>
      <c r="C183" s="38" t="s">
        <v>2357</v>
      </c>
      <c r="D183" s="1271" t="s">
        <v>2358</v>
      </c>
      <c r="E183" s="38" t="s">
        <v>219</v>
      </c>
      <c r="F183" s="1129">
        <f>'12.ELE.'!D51</f>
        <v>6</v>
      </c>
      <c r="G183" s="66">
        <v>38.35</v>
      </c>
      <c r="H183" s="194">
        <f t="shared" si="49"/>
        <v>49.4</v>
      </c>
      <c r="I183" s="194">
        <f t="shared" si="50"/>
        <v>296.39999999999998</v>
      </c>
      <c r="L183" s="725">
        <f t="shared" si="42"/>
        <v>2.2584218734650262E-4</v>
      </c>
    </row>
    <row r="184" spans="1:12" ht="29.25" customHeight="1" outlineLevel="1" x14ac:dyDescent="0.2">
      <c r="A184" s="1259" t="s">
        <v>278</v>
      </c>
      <c r="B184" s="1260" t="s">
        <v>183</v>
      </c>
      <c r="C184" s="38" t="s">
        <v>2359</v>
      </c>
      <c r="D184" s="1271" t="s">
        <v>2360</v>
      </c>
      <c r="E184" s="38" t="s">
        <v>219</v>
      </c>
      <c r="F184" s="1129">
        <f>'12.ELE.'!D55</f>
        <v>15</v>
      </c>
      <c r="G184" s="66">
        <v>26.68</v>
      </c>
      <c r="H184" s="194">
        <f t="shared" si="49"/>
        <v>34.369999999999997</v>
      </c>
      <c r="I184" s="194">
        <f t="shared" si="50"/>
        <v>515.54999999999995</v>
      </c>
      <c r="L184" s="725">
        <f t="shared" si="42"/>
        <v>3.9282368315279832E-4</v>
      </c>
    </row>
    <row r="185" spans="1:12" ht="18.75" customHeight="1" outlineLevel="1" x14ac:dyDescent="0.2">
      <c r="A185" s="1259" t="s">
        <v>279</v>
      </c>
      <c r="B185" s="1260" t="s">
        <v>182</v>
      </c>
      <c r="C185" s="38" t="s">
        <v>2361</v>
      </c>
      <c r="D185" s="1271" t="s">
        <v>2366</v>
      </c>
      <c r="E185" s="38" t="s">
        <v>219</v>
      </c>
      <c r="F185" s="1129">
        <f>'12.ELE.'!D59</f>
        <v>4</v>
      </c>
      <c r="G185" s="66">
        <v>25.17</v>
      </c>
      <c r="H185" s="194">
        <f t="shared" si="49"/>
        <v>32.42</v>
      </c>
      <c r="I185" s="194">
        <f t="shared" si="50"/>
        <v>129.68</v>
      </c>
      <c r="L185" s="725">
        <f t="shared" si="42"/>
        <v>9.8809766717592649E-5</v>
      </c>
    </row>
    <row r="186" spans="1:12" ht="30" customHeight="1" outlineLevel="1" x14ac:dyDescent="0.2">
      <c r="A186" s="1259" t="s">
        <v>2422</v>
      </c>
      <c r="B186" s="1260" t="s">
        <v>183</v>
      </c>
      <c r="C186" s="38" t="s">
        <v>2362</v>
      </c>
      <c r="D186" s="1271" t="s">
        <v>2363</v>
      </c>
      <c r="E186" s="38" t="s">
        <v>219</v>
      </c>
      <c r="F186" s="1129">
        <f>'12.ELE.'!D63</f>
        <v>6</v>
      </c>
      <c r="G186" s="66">
        <v>33.94</v>
      </c>
      <c r="H186" s="194">
        <f t="shared" si="49"/>
        <v>43.72</v>
      </c>
      <c r="I186" s="194">
        <f t="shared" si="50"/>
        <v>262.32</v>
      </c>
      <c r="L186" s="725">
        <f t="shared" si="42"/>
        <v>1.9987490750585213E-4</v>
      </c>
    </row>
    <row r="187" spans="1:12" ht="30" customHeight="1" outlineLevel="1" thickBot="1" x14ac:dyDescent="0.25">
      <c r="A187" s="1259" t="s">
        <v>2423</v>
      </c>
      <c r="B187" s="1260" t="s">
        <v>183</v>
      </c>
      <c r="C187" s="1275" t="s">
        <v>2364</v>
      </c>
      <c r="D187" s="1268" t="s">
        <v>2365</v>
      </c>
      <c r="E187" s="289" t="s">
        <v>219</v>
      </c>
      <c r="F187" s="1129">
        <f>'12.ELE.'!D67</f>
        <v>11</v>
      </c>
      <c r="G187" s="66">
        <v>36.11</v>
      </c>
      <c r="H187" s="194">
        <f t="shared" si="49"/>
        <v>46.52</v>
      </c>
      <c r="I187" s="194">
        <f t="shared" si="50"/>
        <v>511.72</v>
      </c>
      <c r="L187" s="725">
        <f t="shared" si="42"/>
        <v>3.899054119735234E-4</v>
      </c>
    </row>
    <row r="188" spans="1:12" ht="16.5" customHeight="1" outlineLevel="1" thickBot="1" x14ac:dyDescent="0.25">
      <c r="A188" s="524" t="s">
        <v>230</v>
      </c>
      <c r="B188" s="525"/>
      <c r="C188" s="525"/>
      <c r="D188" s="526" t="s">
        <v>2303</v>
      </c>
      <c r="E188" s="526"/>
      <c r="F188" s="526"/>
      <c r="G188" s="526"/>
      <c r="H188" s="526"/>
      <c r="I188" s="527"/>
      <c r="L188" s="725">
        <f t="shared" si="42"/>
        <v>0</v>
      </c>
    </row>
    <row r="189" spans="1:12" ht="30.6" customHeight="1" outlineLevel="1" x14ac:dyDescent="0.2">
      <c r="A189" s="1259" t="s">
        <v>231</v>
      </c>
      <c r="B189" s="1485" t="str">
        <f>COMPOSIÇÕES!A136</f>
        <v>COMPOSIÇÃO 11</v>
      </c>
      <c r="C189" s="1486"/>
      <c r="D189" s="1276" t="str">
        <f>COMPOSIÇÕES!C135</f>
        <v>CURVA DE INVERSÃO PARA ELETROCALHA TIPO "C" COM TAMPA, 100X50MM. FORNECIMENTO E INSTALAÇÃO.</v>
      </c>
      <c r="E189" s="1231" t="s">
        <v>219</v>
      </c>
      <c r="F189" s="1129">
        <f>'12.ELE.'!D73</f>
        <v>2</v>
      </c>
      <c r="G189" s="66">
        <f>COMPOSIÇÕES!M141</f>
        <v>42.12</v>
      </c>
      <c r="H189" s="194">
        <f t="shared" ref="H189:H216" si="51">ROUND((G189*$K$10),2)</f>
        <v>54.26</v>
      </c>
      <c r="I189" s="194">
        <f t="shared" ref="I189:I216" si="52">ROUND(((F189*H189)),2)</f>
        <v>108.52</v>
      </c>
      <c r="L189" s="725">
        <f t="shared" si="42"/>
        <v>8.2686889915123025E-5</v>
      </c>
    </row>
    <row r="190" spans="1:12" ht="28.9" customHeight="1" outlineLevel="1" x14ac:dyDescent="0.2">
      <c r="A190" s="1259" t="s">
        <v>232</v>
      </c>
      <c r="B190" s="1485" t="str">
        <f>COMPOSIÇÕES!A145</f>
        <v>COMPOSIÇÃO 12</v>
      </c>
      <c r="C190" s="1486"/>
      <c r="D190" s="1276" t="str">
        <f>COMPOSIÇÕES!C144</f>
        <v>CURVA HORIZONTAL 90° PARA ELETROCALHA TIPO "C" COM TAMPA, 100X50MM.</v>
      </c>
      <c r="E190" s="1231" t="s">
        <v>219</v>
      </c>
      <c r="F190" s="1129">
        <f>'12.ELE.'!D77</f>
        <v>1</v>
      </c>
      <c r="G190" s="66">
        <f>COMPOSIÇÕES!M150</f>
        <v>36.22</v>
      </c>
      <c r="H190" s="194">
        <f t="shared" si="51"/>
        <v>46.66</v>
      </c>
      <c r="I190" s="194">
        <f t="shared" si="52"/>
        <v>46.66</v>
      </c>
      <c r="L190" s="725">
        <f t="shared" si="42"/>
        <v>3.555261964098452E-5</v>
      </c>
    </row>
    <row r="191" spans="1:12" ht="28.9" customHeight="1" outlineLevel="1" x14ac:dyDescent="0.2">
      <c r="A191" s="1259" t="s">
        <v>2493</v>
      </c>
      <c r="B191" s="1485" t="str">
        <f>COMPOSIÇÕES!A154</f>
        <v>COMPOSIÇÃO 13</v>
      </c>
      <c r="C191" s="1486"/>
      <c r="D191" s="1276" t="str">
        <f>COMPOSIÇÕES!C153</f>
        <v>CURVA VERTICAL INTERNA 90° PARA ELETROCALHA TIPO "C" COM TAMPA, 100X50MM. FORNECIMENTO E INSTALAÇÃO.</v>
      </c>
      <c r="E191" s="1231" t="s">
        <v>219</v>
      </c>
      <c r="F191" s="1129">
        <f>'12.ELE.'!D81</f>
        <v>2</v>
      </c>
      <c r="G191" s="66">
        <f>COMPOSIÇÕES!M159</f>
        <v>43.82</v>
      </c>
      <c r="H191" s="194">
        <f t="shared" si="51"/>
        <v>56.45</v>
      </c>
      <c r="I191" s="194">
        <f t="shared" si="52"/>
        <v>112.9</v>
      </c>
      <c r="L191" s="725">
        <f t="shared" si="42"/>
        <v>8.6024233979150293E-5</v>
      </c>
    </row>
    <row r="192" spans="1:12" ht="28.9" customHeight="1" outlineLevel="1" x14ac:dyDescent="0.2">
      <c r="A192" s="1259" t="s">
        <v>2494</v>
      </c>
      <c r="B192" s="1485" t="str">
        <f>COMPOSIÇÕES!A163</f>
        <v>COMPOSIÇÃO 14</v>
      </c>
      <c r="C192" s="1486"/>
      <c r="D192" s="1276" t="str">
        <f>COMPOSIÇÕES!C162</f>
        <v>CURVA VERTICAL EXTERNA 90° PARA ELETROCALHA TIPO "C" COM TAMPA, 100X50MM. FORNECIMENTO E INSTALAÇÃO.</v>
      </c>
      <c r="E192" s="1231" t="s">
        <v>219</v>
      </c>
      <c r="F192" s="1129">
        <f>'12.ELE.'!D85</f>
        <v>2</v>
      </c>
      <c r="G192" s="66">
        <f>COMPOSIÇÕES!M168</f>
        <v>35.1</v>
      </c>
      <c r="H192" s="194">
        <f t="shared" si="51"/>
        <v>45.22</v>
      </c>
      <c r="I192" s="194">
        <f t="shared" si="52"/>
        <v>90.44</v>
      </c>
      <c r="L192" s="725">
        <f t="shared" si="42"/>
        <v>6.8910821267266191E-5</v>
      </c>
    </row>
    <row r="193" spans="1:12" ht="28.9" customHeight="1" outlineLevel="1" x14ac:dyDescent="0.2">
      <c r="A193" s="1259" t="s">
        <v>2495</v>
      </c>
      <c r="B193" s="1485" t="str">
        <f>COMPOSIÇÕES!A172</f>
        <v>COMPOSIÇÃO 15</v>
      </c>
      <c r="C193" s="1486"/>
      <c r="D193" s="1276" t="str">
        <f>COMPOSIÇÕES!C171</f>
        <v>TÊ HORIZONTAL 90° PARA ELETROCALHA TIPO "C" COM TAMPA, 100X50MM. FORNECIMENTO E INSTALAÇÃO.</v>
      </c>
      <c r="E193" s="1231" t="s">
        <v>219</v>
      </c>
      <c r="F193" s="1129">
        <f>'12.ELE.'!D89</f>
        <v>3</v>
      </c>
      <c r="G193" s="66">
        <f>COMPOSIÇÕES!M177</f>
        <v>60.55</v>
      </c>
      <c r="H193" s="194">
        <f t="shared" si="51"/>
        <v>78</v>
      </c>
      <c r="I193" s="194">
        <f t="shared" si="52"/>
        <v>234</v>
      </c>
      <c r="L193" s="725">
        <f t="shared" si="42"/>
        <v>1.7829646369460733E-4</v>
      </c>
    </row>
    <row r="194" spans="1:12" ht="28.9" customHeight="1" outlineLevel="1" x14ac:dyDescent="0.2">
      <c r="A194" s="1259" t="s">
        <v>2496</v>
      </c>
      <c r="B194" s="1485" t="str">
        <f>COMPOSIÇÕES!A181</f>
        <v>COMPOSIÇÃO 16</v>
      </c>
      <c r="C194" s="1486"/>
      <c r="D194" s="1276" t="str">
        <f>COMPOSIÇÕES!C180</f>
        <v>EMENDA INTERNA PARA ELETROCALHA TIPO "C", 100X50MM. FORNECIMENTO E INSTALAÇÃO.</v>
      </c>
      <c r="E194" s="1231" t="s">
        <v>219</v>
      </c>
      <c r="F194" s="1129">
        <f>'12.ELE.'!D93</f>
        <v>40</v>
      </c>
      <c r="G194" s="66">
        <f>COMPOSIÇÕES!M186</f>
        <v>11.44</v>
      </c>
      <c r="H194" s="194">
        <f t="shared" si="51"/>
        <v>14.74</v>
      </c>
      <c r="I194" s="194">
        <f t="shared" si="52"/>
        <v>589.6</v>
      </c>
      <c r="L194" s="725">
        <f t="shared" si="42"/>
        <v>4.4924613245444654E-4</v>
      </c>
    </row>
    <row r="195" spans="1:12" ht="30" customHeight="1" outlineLevel="1" x14ac:dyDescent="0.2">
      <c r="A195" s="1259" t="s">
        <v>2497</v>
      </c>
      <c r="B195" s="1485" t="str">
        <f>COMPOSIÇÕES!A190</f>
        <v>COMPOSIÇÃO 17</v>
      </c>
      <c r="C195" s="1486"/>
      <c r="D195" s="323" t="str">
        <f>COMPOSIÇÕES!C189</f>
        <v>SAÍDA HORIZONTAL P/ ELETRODUTO Ø1", EM ELETROCALHA. FORNECIMENTO E INSTALAÇÃO</v>
      </c>
      <c r="E195" s="1231" t="s">
        <v>219</v>
      </c>
      <c r="F195" s="1129">
        <f>'12.ELE.'!D97</f>
        <v>10</v>
      </c>
      <c r="G195" s="66">
        <f>COMPOSIÇÕES!M195</f>
        <v>7.46</v>
      </c>
      <c r="H195" s="194">
        <f t="shared" ref="H195:H196" si="53">ROUND((G195*$K$10),2)</f>
        <v>9.61</v>
      </c>
      <c r="I195" s="194">
        <f t="shared" ref="I195:I196" si="54">ROUND(((F195*H195)),2)</f>
        <v>96.1</v>
      </c>
      <c r="L195" s="725">
        <f t="shared" si="42"/>
        <v>7.3223462226716944E-5</v>
      </c>
    </row>
    <row r="196" spans="1:12" ht="29.45" customHeight="1" outlineLevel="1" x14ac:dyDescent="0.2">
      <c r="A196" s="1259" t="s">
        <v>2498</v>
      </c>
      <c r="B196" s="1485" t="str">
        <f>COMPOSIÇÕES!A199</f>
        <v>COMPOSIÇÃO 18</v>
      </c>
      <c r="C196" s="1486"/>
      <c r="D196" s="323" t="str">
        <f>COMPOSIÇÕES!C198</f>
        <v>SAÍDA HORIZONTAL P/ ELETRODUTO Ø3/4", EM ELETROCALHA. FORNECIMENTO E INSTALAÇÃO</v>
      </c>
      <c r="E196" s="1231" t="s">
        <v>219</v>
      </c>
      <c r="F196" s="1129">
        <f>'12.ELE.'!D101</f>
        <v>30</v>
      </c>
      <c r="G196" s="66">
        <f>COMPOSIÇÕES!M204</f>
        <v>10.09</v>
      </c>
      <c r="H196" s="194">
        <f t="shared" si="53"/>
        <v>13</v>
      </c>
      <c r="I196" s="194">
        <f t="shared" si="54"/>
        <v>390</v>
      </c>
      <c r="L196" s="725">
        <f t="shared" si="42"/>
        <v>2.9716077282434557E-4</v>
      </c>
    </row>
    <row r="197" spans="1:12" ht="19.5" customHeight="1" outlineLevel="1" x14ac:dyDescent="0.2">
      <c r="A197" s="1259" t="s">
        <v>2499</v>
      </c>
      <c r="B197" s="1266" t="s">
        <v>182</v>
      </c>
      <c r="C197" s="38" t="s">
        <v>2469</v>
      </c>
      <c r="D197" s="1277" t="s">
        <v>2470</v>
      </c>
      <c r="E197" s="1231" t="s">
        <v>219</v>
      </c>
      <c r="F197" s="1129">
        <f>'12.ELE.'!D105</f>
        <v>81</v>
      </c>
      <c r="G197" s="66">
        <v>40.130000000000003</v>
      </c>
      <c r="H197" s="194">
        <f>ROUND((G197*$K$10),2)</f>
        <v>51.7</v>
      </c>
      <c r="I197" s="194">
        <f>ROUND(((F197*H197)),2)</f>
        <v>4187.7</v>
      </c>
      <c r="L197" s="725">
        <f t="shared" si="42"/>
        <v>3.1908209445038766E-3</v>
      </c>
    </row>
    <row r="198" spans="1:12" ht="19.5" customHeight="1" outlineLevel="1" x14ac:dyDescent="0.2">
      <c r="A198" s="1259" t="s">
        <v>2500</v>
      </c>
      <c r="B198" s="1266" t="s">
        <v>182</v>
      </c>
      <c r="C198" s="38" t="s">
        <v>2432</v>
      </c>
      <c r="D198" s="1277" t="s">
        <v>2471</v>
      </c>
      <c r="E198" s="38" t="s">
        <v>219</v>
      </c>
      <c r="F198" s="1144">
        <f>'12.ELE.'!D109</f>
        <v>14</v>
      </c>
      <c r="G198" s="66">
        <v>65.41</v>
      </c>
      <c r="H198" s="194">
        <f>ROUND((G198*$K$10),2)</f>
        <v>84.26</v>
      </c>
      <c r="I198" s="194">
        <f>ROUND(((F198*H198)),2)</f>
        <v>1179.6400000000001</v>
      </c>
      <c r="L198" s="725">
        <f t="shared" si="42"/>
        <v>8.9882752321669495E-4</v>
      </c>
    </row>
    <row r="199" spans="1:12" ht="19.5" customHeight="1" outlineLevel="1" x14ac:dyDescent="0.2">
      <c r="A199" s="1259" t="s">
        <v>2501</v>
      </c>
      <c r="B199" s="1266" t="s">
        <v>182</v>
      </c>
      <c r="C199" s="38" t="s">
        <v>2201</v>
      </c>
      <c r="D199" s="1271" t="s">
        <v>2202</v>
      </c>
      <c r="E199" s="38" t="s">
        <v>218</v>
      </c>
      <c r="F199" s="1129">
        <f>'12.ELE.'!D113</f>
        <v>3</v>
      </c>
      <c r="G199" s="66">
        <v>117.21</v>
      </c>
      <c r="H199" s="194">
        <f t="shared" ref="H199:H203" si="55">ROUND((G199*$K$10),2)</f>
        <v>150.99</v>
      </c>
      <c r="I199" s="194">
        <f t="shared" ref="I199:I204" si="56">ROUND(((F199*H199)),2)</f>
        <v>452.97</v>
      </c>
      <c r="L199" s="725">
        <f t="shared" si="42"/>
        <v>3.4514080837498416E-4</v>
      </c>
    </row>
    <row r="200" spans="1:12" ht="19.5" customHeight="1" outlineLevel="1" x14ac:dyDescent="0.2">
      <c r="A200" s="1259" t="s">
        <v>2502</v>
      </c>
      <c r="B200" s="1266" t="s">
        <v>182</v>
      </c>
      <c r="C200" s="38" t="s">
        <v>2203</v>
      </c>
      <c r="D200" s="1271" t="s">
        <v>2204</v>
      </c>
      <c r="E200" s="38" t="s">
        <v>218</v>
      </c>
      <c r="F200" s="1129">
        <f>'12.ELE.'!D117</f>
        <v>15</v>
      </c>
      <c r="G200" s="66">
        <v>38.78</v>
      </c>
      <c r="H200" s="194">
        <f t="shared" si="55"/>
        <v>49.96</v>
      </c>
      <c r="I200" s="194">
        <f t="shared" si="56"/>
        <v>749.4</v>
      </c>
      <c r="L200" s="725">
        <f t="shared" si="42"/>
        <v>5.7100585424247328E-4</v>
      </c>
    </row>
    <row r="201" spans="1:12" ht="19.5" customHeight="1" outlineLevel="1" x14ac:dyDescent="0.2">
      <c r="A201" s="1259" t="s">
        <v>2503</v>
      </c>
      <c r="B201" s="1266" t="s">
        <v>182</v>
      </c>
      <c r="C201" s="38" t="s">
        <v>2481</v>
      </c>
      <c r="D201" s="1271" t="s">
        <v>2482</v>
      </c>
      <c r="E201" s="1231" t="s">
        <v>218</v>
      </c>
      <c r="F201" s="1129">
        <f>'12.ELE.'!D121</f>
        <v>3</v>
      </c>
      <c r="G201" s="66">
        <v>15.49</v>
      </c>
      <c r="H201" s="194">
        <f t="shared" si="55"/>
        <v>19.95</v>
      </c>
      <c r="I201" s="194">
        <f t="shared" si="56"/>
        <v>59.85</v>
      </c>
      <c r="L201" s="725">
        <f t="shared" si="42"/>
        <v>4.5602749368043802E-5</v>
      </c>
    </row>
    <row r="202" spans="1:12" ht="19.5" customHeight="1" outlineLevel="1" x14ac:dyDescent="0.2">
      <c r="A202" s="1259" t="s">
        <v>2504</v>
      </c>
      <c r="B202" s="1266" t="s">
        <v>182</v>
      </c>
      <c r="C202" s="38" t="s">
        <v>2206</v>
      </c>
      <c r="D202" s="1271" t="s">
        <v>2209</v>
      </c>
      <c r="E202" s="38" t="s">
        <v>218</v>
      </c>
      <c r="F202" s="1129">
        <f>'12.ELE.'!D125</f>
        <v>45</v>
      </c>
      <c r="G202" s="66">
        <v>11.94</v>
      </c>
      <c r="H202" s="194">
        <f t="shared" si="55"/>
        <v>15.38</v>
      </c>
      <c r="I202" s="194">
        <f t="shared" si="56"/>
        <v>692.1</v>
      </c>
      <c r="L202" s="725">
        <f t="shared" si="42"/>
        <v>5.2734607915828099E-4</v>
      </c>
    </row>
    <row r="203" spans="1:12" ht="19.5" customHeight="1" outlineLevel="1" x14ac:dyDescent="0.2">
      <c r="A203" s="1259" t="s">
        <v>2505</v>
      </c>
      <c r="B203" s="1266" t="s">
        <v>182</v>
      </c>
      <c r="C203" s="38" t="s">
        <v>2207</v>
      </c>
      <c r="D203" s="1271" t="s">
        <v>2210</v>
      </c>
      <c r="E203" s="38" t="s">
        <v>218</v>
      </c>
      <c r="F203" s="1129">
        <f>'12.ELE.'!D129</f>
        <v>420</v>
      </c>
      <c r="G203" s="66">
        <v>10.63</v>
      </c>
      <c r="H203" s="194">
        <f t="shared" si="55"/>
        <v>13.69</v>
      </c>
      <c r="I203" s="194">
        <f t="shared" si="56"/>
        <v>5749.8</v>
      </c>
      <c r="L203" s="725">
        <f t="shared" si="42"/>
        <v>4.3810641322703132E-3</v>
      </c>
    </row>
    <row r="204" spans="1:12" ht="62.25" customHeight="1" outlineLevel="1" x14ac:dyDescent="0.2">
      <c r="A204" s="1259" t="s">
        <v>2506</v>
      </c>
      <c r="B204" s="1485" t="str">
        <f>COMPOSIÇÕES!A208</f>
        <v>COMPOSIÇÃO 19</v>
      </c>
      <c r="C204" s="1486"/>
      <c r="D204" s="323" t="str">
        <f>COMPOSIÇÕES!C207</f>
        <v>CABECOTE PARA ENTRADA DE LINHA DE ALIMENTACAO PARA ELETRODUTO, EM LIGA DE ALUMINIO COM ACABAMENTO ANTI CORROSIVO, COM FIXACAO POR ENCAIXE LISO DE 360 GRAUS, DE 3". FORNECIMENTO E INSTALAÇÃO.</v>
      </c>
      <c r="E204" s="1231" t="s">
        <v>219</v>
      </c>
      <c r="F204" s="1129">
        <f>'12.ELE.'!D133</f>
        <v>1</v>
      </c>
      <c r="G204" s="66">
        <f>COMPOSIÇÕES!M213</f>
        <v>48.02</v>
      </c>
      <c r="H204" s="194">
        <f>COMPOSIÇÕES!M213</f>
        <v>48.02</v>
      </c>
      <c r="I204" s="194">
        <f t="shared" si="56"/>
        <v>48.02</v>
      </c>
      <c r="L204" s="725">
        <f t="shared" si="42"/>
        <v>3.6588872592371985E-5</v>
      </c>
    </row>
    <row r="205" spans="1:12" ht="19.5" customHeight="1" outlineLevel="1" x14ac:dyDescent="0.2">
      <c r="A205" s="1259" t="s">
        <v>2507</v>
      </c>
      <c r="B205" s="1266" t="s">
        <v>182</v>
      </c>
      <c r="C205" s="38" t="s">
        <v>2214</v>
      </c>
      <c r="D205" s="1271" t="s">
        <v>2485</v>
      </c>
      <c r="E205" s="38" t="s">
        <v>219</v>
      </c>
      <c r="F205" s="1129">
        <f>'12.ELE.'!D137</f>
        <v>2</v>
      </c>
      <c r="G205" s="66">
        <v>70.31</v>
      </c>
      <c r="H205" s="194">
        <v>70.31</v>
      </c>
      <c r="I205" s="194">
        <f t="shared" si="52"/>
        <v>140.62</v>
      </c>
      <c r="L205" s="725">
        <f t="shared" si="42"/>
        <v>1.0714550737066532E-4</v>
      </c>
    </row>
    <row r="206" spans="1:12" ht="45" customHeight="1" outlineLevel="1" x14ac:dyDescent="0.2">
      <c r="A206" s="1259" t="s">
        <v>2508</v>
      </c>
      <c r="B206" s="1266" t="s">
        <v>183</v>
      </c>
      <c r="C206" s="38" t="s">
        <v>2483</v>
      </c>
      <c r="D206" s="1271" t="s">
        <v>2484</v>
      </c>
      <c r="E206" s="38" t="s">
        <v>219</v>
      </c>
      <c r="F206" s="1129">
        <f>'12.ELE.'!D141</f>
        <v>4</v>
      </c>
      <c r="G206" s="66">
        <v>44.15</v>
      </c>
      <c r="H206" s="194">
        <f t="shared" si="51"/>
        <v>56.87</v>
      </c>
      <c r="I206" s="194">
        <f t="shared" si="52"/>
        <v>227.48</v>
      </c>
      <c r="L206" s="725">
        <f t="shared" ref="L206:L237" si="57">I206/$I$604</f>
        <v>1.733285451335439E-4</v>
      </c>
    </row>
    <row r="207" spans="1:12" ht="42" customHeight="1" outlineLevel="1" x14ac:dyDescent="0.2">
      <c r="A207" s="1259" t="s">
        <v>2509</v>
      </c>
      <c r="B207" s="1266" t="s">
        <v>183</v>
      </c>
      <c r="C207" s="38" t="s">
        <v>2486</v>
      </c>
      <c r="D207" s="1277" t="s">
        <v>2487</v>
      </c>
      <c r="E207" s="1231" t="s">
        <v>219</v>
      </c>
      <c r="F207" s="1129">
        <f>'12.ELE.'!D145</f>
        <v>2</v>
      </c>
      <c r="G207" s="66">
        <v>15.02</v>
      </c>
      <c r="H207" s="194">
        <f t="shared" ref="H207:H214" si="58">ROUND((G207*$K$10),2)</f>
        <v>19.350000000000001</v>
      </c>
      <c r="I207" s="194">
        <f t="shared" ref="I207:I214" si="59">ROUND(((F207*H207)),2)</f>
        <v>38.700000000000003</v>
      </c>
      <c r="L207" s="725">
        <f t="shared" si="57"/>
        <v>2.9487492072569676E-5</v>
      </c>
    </row>
    <row r="208" spans="1:12" ht="42.75" customHeight="1" outlineLevel="1" x14ac:dyDescent="0.2">
      <c r="A208" s="1259" t="s">
        <v>2510</v>
      </c>
      <c r="B208" s="1266" t="s">
        <v>183</v>
      </c>
      <c r="C208" s="38" t="s">
        <v>2488</v>
      </c>
      <c r="D208" s="1271" t="s">
        <v>2489</v>
      </c>
      <c r="E208" s="38" t="s">
        <v>219</v>
      </c>
      <c r="F208" s="1129">
        <f>'12.ELE.'!D149</f>
        <v>2</v>
      </c>
      <c r="G208" s="66">
        <v>12.35</v>
      </c>
      <c r="H208" s="194">
        <f t="shared" si="58"/>
        <v>15.91</v>
      </c>
      <c r="I208" s="194">
        <f t="shared" si="59"/>
        <v>31.82</v>
      </c>
      <c r="L208" s="725">
        <f t="shared" si="57"/>
        <v>2.4245271259668399E-5</v>
      </c>
    </row>
    <row r="209" spans="1:12" ht="45" customHeight="1" outlineLevel="1" x14ac:dyDescent="0.2">
      <c r="A209" s="1259" t="s">
        <v>2511</v>
      </c>
      <c r="B209" s="1266" t="s">
        <v>183</v>
      </c>
      <c r="C209" s="38" t="s">
        <v>2490</v>
      </c>
      <c r="D209" s="1271" t="s">
        <v>2491</v>
      </c>
      <c r="E209" s="38" t="s">
        <v>219</v>
      </c>
      <c r="F209" s="1129">
        <f>'12.ELE.'!D153</f>
        <v>110</v>
      </c>
      <c r="G209" s="66">
        <v>9</v>
      </c>
      <c r="H209" s="194">
        <f t="shared" si="58"/>
        <v>11.59</v>
      </c>
      <c r="I209" s="194">
        <f t="shared" si="59"/>
        <v>1274.9000000000001</v>
      </c>
      <c r="L209" s="725">
        <f t="shared" si="57"/>
        <v>9.714109468557902E-4</v>
      </c>
    </row>
    <row r="210" spans="1:12" ht="19.5" customHeight="1" outlineLevel="1" x14ac:dyDescent="0.2">
      <c r="A210" s="1259" t="s">
        <v>2512</v>
      </c>
      <c r="B210" s="1266" t="s">
        <v>182</v>
      </c>
      <c r="C210" s="38" t="s">
        <v>2224</v>
      </c>
      <c r="D210" s="1271" t="s">
        <v>2551</v>
      </c>
      <c r="E210" s="38" t="s">
        <v>219</v>
      </c>
      <c r="F210" s="1129">
        <f>'12.ELE.'!D157</f>
        <v>4</v>
      </c>
      <c r="G210" s="66">
        <v>35.090000000000003</v>
      </c>
      <c r="H210" s="194">
        <f t="shared" si="58"/>
        <v>45.2</v>
      </c>
      <c r="I210" s="194">
        <f t="shared" si="59"/>
        <v>180.8</v>
      </c>
      <c r="L210" s="725">
        <f t="shared" si="57"/>
        <v>1.3776068647856842E-4</v>
      </c>
    </row>
    <row r="211" spans="1:12" ht="19.5" customHeight="1" outlineLevel="1" x14ac:dyDescent="0.2">
      <c r="A211" s="1259" t="s">
        <v>2513</v>
      </c>
      <c r="B211" s="1266" t="s">
        <v>182</v>
      </c>
      <c r="C211" s="38" t="s">
        <v>2225</v>
      </c>
      <c r="D211" s="1271" t="s">
        <v>2230</v>
      </c>
      <c r="E211" s="1231" t="s">
        <v>219</v>
      </c>
      <c r="F211" s="1129">
        <f>'12.ELE.'!D161</f>
        <v>12</v>
      </c>
      <c r="G211" s="66">
        <v>17.5</v>
      </c>
      <c r="H211" s="194">
        <f t="shared" si="58"/>
        <v>22.54</v>
      </c>
      <c r="I211" s="194">
        <f t="shared" si="59"/>
        <v>270.48</v>
      </c>
      <c r="L211" s="725">
        <f t="shared" si="57"/>
        <v>2.0609242521417692E-4</v>
      </c>
    </row>
    <row r="212" spans="1:12" ht="19.5" customHeight="1" outlineLevel="1" x14ac:dyDescent="0.2">
      <c r="A212" s="1259" t="s">
        <v>2514</v>
      </c>
      <c r="B212" s="1266" t="s">
        <v>182</v>
      </c>
      <c r="C212" s="38" t="s">
        <v>2492</v>
      </c>
      <c r="D212" s="1271" t="s">
        <v>2552</v>
      </c>
      <c r="E212" s="38" t="s">
        <v>219</v>
      </c>
      <c r="F212" s="1129">
        <f>'12.ELE.'!D165</f>
        <v>4</v>
      </c>
      <c r="G212" s="66">
        <v>6.33</v>
      </c>
      <c r="H212" s="194">
        <f t="shared" si="58"/>
        <v>8.15</v>
      </c>
      <c r="I212" s="194">
        <f t="shared" si="59"/>
        <v>32.6</v>
      </c>
      <c r="L212" s="725">
        <f t="shared" si="57"/>
        <v>2.4839592805317093E-5</v>
      </c>
    </row>
    <row r="213" spans="1:12" ht="19.5" customHeight="1" outlineLevel="1" x14ac:dyDescent="0.2">
      <c r="A213" s="1259" t="s">
        <v>2515</v>
      </c>
      <c r="B213" s="1266" t="s">
        <v>182</v>
      </c>
      <c r="C213" s="38" t="s">
        <v>2227</v>
      </c>
      <c r="D213" s="1271" t="s">
        <v>2232</v>
      </c>
      <c r="E213" s="38" t="s">
        <v>219</v>
      </c>
      <c r="F213" s="1129">
        <f>'12.ELE.'!D169</f>
        <v>10</v>
      </c>
      <c r="G213" s="66">
        <v>4.92</v>
      </c>
      <c r="H213" s="194">
        <f t="shared" si="58"/>
        <v>6.34</v>
      </c>
      <c r="I213" s="194">
        <f t="shared" si="59"/>
        <v>63.4</v>
      </c>
      <c r="L213" s="725">
        <f t="shared" si="57"/>
        <v>4.8307674351444894E-5</v>
      </c>
    </row>
    <row r="214" spans="1:12" ht="19.5" customHeight="1" outlineLevel="1" x14ac:dyDescent="0.2">
      <c r="A214" s="1259" t="s">
        <v>2516</v>
      </c>
      <c r="B214" s="1266" t="s">
        <v>182</v>
      </c>
      <c r="C214" s="38" t="s">
        <v>2228</v>
      </c>
      <c r="D214" s="1271" t="s">
        <v>2233</v>
      </c>
      <c r="E214" s="38" t="s">
        <v>219</v>
      </c>
      <c r="F214" s="1129">
        <f>'12.ELE.'!D173</f>
        <v>300</v>
      </c>
      <c r="G214" s="66">
        <v>4.62</v>
      </c>
      <c r="H214" s="194">
        <f t="shared" si="58"/>
        <v>5.95</v>
      </c>
      <c r="I214" s="194">
        <f t="shared" si="59"/>
        <v>1785</v>
      </c>
      <c r="L214" s="725">
        <f t="shared" si="57"/>
        <v>1.3600819986960431E-3</v>
      </c>
    </row>
    <row r="215" spans="1:12" ht="31.5" customHeight="1" outlineLevel="1" x14ac:dyDescent="0.2">
      <c r="A215" s="1259" t="s">
        <v>2517</v>
      </c>
      <c r="B215" s="1266" t="s">
        <v>183</v>
      </c>
      <c r="C215" s="38" t="s">
        <v>2524</v>
      </c>
      <c r="D215" s="1271" t="s">
        <v>2525</v>
      </c>
      <c r="E215" s="1231" t="s">
        <v>218</v>
      </c>
      <c r="F215" s="1129">
        <f>'12.ELE.'!D177</f>
        <v>4500</v>
      </c>
      <c r="G215" s="66">
        <v>4.17</v>
      </c>
      <c r="H215" s="194">
        <f t="shared" si="51"/>
        <v>5.37</v>
      </c>
      <c r="I215" s="194">
        <f t="shared" si="52"/>
        <v>24165</v>
      </c>
      <c r="L215" s="725">
        <f t="shared" si="57"/>
        <v>1.841253865461618E-2</v>
      </c>
    </row>
    <row r="216" spans="1:12" ht="30" customHeight="1" outlineLevel="1" x14ac:dyDescent="0.2">
      <c r="A216" s="1259" t="s">
        <v>2518</v>
      </c>
      <c r="B216" s="1266" t="s">
        <v>183</v>
      </c>
      <c r="C216" s="38" t="s">
        <v>2526</v>
      </c>
      <c r="D216" s="1271" t="s">
        <v>2527</v>
      </c>
      <c r="E216" s="38" t="s">
        <v>218</v>
      </c>
      <c r="F216" s="1129">
        <f>'12.ELE.'!D181</f>
        <v>600</v>
      </c>
      <c r="G216" s="66">
        <v>6.92</v>
      </c>
      <c r="H216" s="194">
        <f t="shared" si="51"/>
        <v>8.91</v>
      </c>
      <c r="I216" s="194">
        <f t="shared" si="52"/>
        <v>5346</v>
      </c>
      <c r="L216" s="725">
        <f t="shared" si="57"/>
        <v>4.0733884397921834E-3</v>
      </c>
    </row>
    <row r="217" spans="1:12" ht="48" customHeight="1" outlineLevel="1" x14ac:dyDescent="0.2">
      <c r="A217" s="1259" t="s">
        <v>2519</v>
      </c>
      <c r="B217" s="1266" t="s">
        <v>183</v>
      </c>
      <c r="C217" s="38" t="s">
        <v>2530</v>
      </c>
      <c r="D217" s="1271" t="s">
        <v>2531</v>
      </c>
      <c r="E217" s="38" t="s">
        <v>218</v>
      </c>
      <c r="F217" s="1129">
        <f>'12.ELE.'!D185</f>
        <v>5</v>
      </c>
      <c r="G217" s="66">
        <v>11.19</v>
      </c>
      <c r="H217" s="194">
        <f t="shared" ref="H217:H221" si="60">ROUND((G217*$K$10),2)</f>
        <v>14.41</v>
      </c>
      <c r="I217" s="194">
        <f t="shared" ref="I217:I221" si="61">ROUND(((F217*H217)),2)</f>
        <v>72.05</v>
      </c>
      <c r="L217" s="725">
        <f t="shared" si="57"/>
        <v>5.4898547902548969E-5</v>
      </c>
    </row>
    <row r="218" spans="1:12" ht="45.75" customHeight="1" outlineLevel="1" x14ac:dyDescent="0.2">
      <c r="A218" s="1259" t="s">
        <v>2520</v>
      </c>
      <c r="B218" s="1266" t="s">
        <v>183</v>
      </c>
      <c r="C218" s="1259" t="s">
        <v>2528</v>
      </c>
      <c r="D218" s="1271" t="s">
        <v>2529</v>
      </c>
      <c r="E218" s="38" t="s">
        <v>218</v>
      </c>
      <c r="F218" s="1129">
        <f>'12.ELE.'!D189</f>
        <v>12</v>
      </c>
      <c r="G218" s="66">
        <v>17.29</v>
      </c>
      <c r="H218" s="194">
        <f t="shared" si="60"/>
        <v>22.27</v>
      </c>
      <c r="I218" s="194">
        <f t="shared" si="61"/>
        <v>267.24</v>
      </c>
      <c r="L218" s="725">
        <f t="shared" si="57"/>
        <v>2.0362370494763618E-4</v>
      </c>
    </row>
    <row r="219" spans="1:12" ht="46.5" customHeight="1" outlineLevel="1" x14ac:dyDescent="0.2">
      <c r="A219" s="1259" t="s">
        <v>2521</v>
      </c>
      <c r="B219" s="1266" t="s">
        <v>183</v>
      </c>
      <c r="C219" s="38" t="s">
        <v>2532</v>
      </c>
      <c r="D219" s="1271" t="s">
        <v>2533</v>
      </c>
      <c r="E219" s="1231" t="s">
        <v>218</v>
      </c>
      <c r="F219" s="1129">
        <f>'12.ELE.'!D193</f>
        <v>10</v>
      </c>
      <c r="G219" s="66">
        <v>27.74</v>
      </c>
      <c r="H219" s="194">
        <f t="shared" si="60"/>
        <v>35.729999999999997</v>
      </c>
      <c r="I219" s="194">
        <f t="shared" si="61"/>
        <v>357.3</v>
      </c>
      <c r="L219" s="725">
        <f t="shared" si="57"/>
        <v>2.7224498494907352E-4</v>
      </c>
    </row>
    <row r="220" spans="1:12" ht="45.75" customHeight="1" outlineLevel="1" x14ac:dyDescent="0.2">
      <c r="A220" s="1259" t="s">
        <v>2522</v>
      </c>
      <c r="B220" s="1266" t="s">
        <v>183</v>
      </c>
      <c r="C220" s="38" t="s">
        <v>2534</v>
      </c>
      <c r="D220" s="1271" t="s">
        <v>2535</v>
      </c>
      <c r="E220" s="38" t="s">
        <v>218</v>
      </c>
      <c r="F220" s="1129">
        <f>'12.ELE.'!D197</f>
        <v>30</v>
      </c>
      <c r="G220" s="66">
        <v>39.24</v>
      </c>
      <c r="H220" s="194">
        <f t="shared" si="60"/>
        <v>50.55</v>
      </c>
      <c r="I220" s="194">
        <f t="shared" si="61"/>
        <v>1516.5</v>
      </c>
      <c r="L220" s="725">
        <f t="shared" si="57"/>
        <v>1.1554982358669744E-3</v>
      </c>
    </row>
    <row r="221" spans="1:12" ht="19.5" customHeight="1" outlineLevel="1" thickBot="1" x14ac:dyDescent="0.25">
      <c r="A221" s="1259" t="s">
        <v>2523</v>
      </c>
      <c r="B221" s="1266" t="s">
        <v>182</v>
      </c>
      <c r="C221" s="38" t="s">
        <v>2536</v>
      </c>
      <c r="D221" s="1271" t="s">
        <v>2550</v>
      </c>
      <c r="E221" s="38" t="s">
        <v>218</v>
      </c>
      <c r="F221" s="1129">
        <f>'12.ELE.'!D201</f>
        <v>10</v>
      </c>
      <c r="G221" s="66">
        <v>32.18</v>
      </c>
      <c r="H221" s="194">
        <f t="shared" si="60"/>
        <v>41.45</v>
      </c>
      <c r="I221" s="194">
        <f t="shared" si="61"/>
        <v>414.5</v>
      </c>
      <c r="L221" s="725">
        <f t="shared" si="57"/>
        <v>3.1582856496331087E-4</v>
      </c>
    </row>
    <row r="222" spans="1:12" ht="18" customHeight="1" outlineLevel="1" thickBot="1" x14ac:dyDescent="0.25">
      <c r="A222" s="524" t="s">
        <v>303</v>
      </c>
      <c r="B222" s="525"/>
      <c r="C222" s="525"/>
      <c r="D222" s="526" t="s">
        <v>2539</v>
      </c>
      <c r="E222" s="526"/>
      <c r="F222" s="526"/>
      <c r="G222" s="526"/>
      <c r="H222" s="526"/>
      <c r="I222" s="527"/>
      <c r="L222" s="725">
        <f t="shared" si="57"/>
        <v>0</v>
      </c>
    </row>
    <row r="223" spans="1:12" ht="45.6" customHeight="1" outlineLevel="1" x14ac:dyDescent="0.2">
      <c r="A223" s="1259" t="s">
        <v>304</v>
      </c>
      <c r="B223" s="1266" t="s">
        <v>183</v>
      </c>
      <c r="C223" s="38" t="s">
        <v>2343</v>
      </c>
      <c r="D223" s="1271" t="s">
        <v>2344</v>
      </c>
      <c r="E223" s="38" t="s">
        <v>219</v>
      </c>
      <c r="F223" s="1144">
        <f>'12.ELE.'!D207</f>
        <v>1</v>
      </c>
      <c r="G223" s="66">
        <v>565.75</v>
      </c>
      <c r="H223" s="194">
        <f t="shared" ref="H223:H237" si="62">ROUND((G223*$K$10),2)</f>
        <v>728.8</v>
      </c>
      <c r="I223" s="194">
        <f t="shared" ref="I223:I237" si="63">ROUND(((F223*H223)),2)</f>
        <v>728.8</v>
      </c>
      <c r="L223" s="725">
        <f t="shared" si="57"/>
        <v>5.553096698317514E-4</v>
      </c>
    </row>
    <row r="224" spans="1:12" ht="18" customHeight="1" outlineLevel="1" x14ac:dyDescent="0.2">
      <c r="A224" s="1259" t="s">
        <v>305</v>
      </c>
      <c r="B224" s="1266" t="s">
        <v>182</v>
      </c>
      <c r="C224" s="38" t="s">
        <v>2194</v>
      </c>
      <c r="D224" s="1271" t="s">
        <v>2195</v>
      </c>
      <c r="E224" s="38" t="s">
        <v>219</v>
      </c>
      <c r="F224" s="1129">
        <f>'12.ELE.'!D211</f>
        <v>3</v>
      </c>
      <c r="G224" s="66">
        <v>320.41000000000003</v>
      </c>
      <c r="H224" s="194">
        <f t="shared" si="62"/>
        <v>412.75</v>
      </c>
      <c r="I224" s="194">
        <f t="shared" si="63"/>
        <v>1238.25</v>
      </c>
      <c r="L224" s="725">
        <f t="shared" si="57"/>
        <v>9.4348545371729722E-4</v>
      </c>
    </row>
    <row r="225" spans="1:12" ht="21" customHeight="1" outlineLevel="1" x14ac:dyDescent="0.2">
      <c r="A225" s="1259" t="s">
        <v>2428</v>
      </c>
      <c r="B225" s="1266" t="s">
        <v>182</v>
      </c>
      <c r="C225" s="38" t="s">
        <v>2196</v>
      </c>
      <c r="D225" s="1271" t="s">
        <v>2197</v>
      </c>
      <c r="E225" s="38" t="s">
        <v>219</v>
      </c>
      <c r="F225" s="1129">
        <f>'12.ELE.'!D215</f>
        <v>3</v>
      </c>
      <c r="G225" s="66">
        <v>105</v>
      </c>
      <c r="H225" s="194">
        <f t="shared" si="62"/>
        <v>135.26</v>
      </c>
      <c r="I225" s="194">
        <f t="shared" si="63"/>
        <v>405.78</v>
      </c>
      <c r="L225" s="725">
        <f t="shared" si="57"/>
        <v>3.0918435486323829E-4</v>
      </c>
    </row>
    <row r="226" spans="1:12" ht="33" customHeight="1" outlineLevel="1" x14ac:dyDescent="0.2">
      <c r="A226" s="1259" t="s">
        <v>2429</v>
      </c>
      <c r="B226" s="1266" t="s">
        <v>183</v>
      </c>
      <c r="C226" s="38" t="s">
        <v>2537</v>
      </c>
      <c r="D226" s="1271" t="s">
        <v>2538</v>
      </c>
      <c r="E226" s="38" t="s">
        <v>219</v>
      </c>
      <c r="F226" s="1129">
        <f>'12.ELE.'!D219</f>
        <v>1</v>
      </c>
      <c r="G226" s="66">
        <v>132.61000000000001</v>
      </c>
      <c r="H226" s="194">
        <f t="shared" si="62"/>
        <v>170.83</v>
      </c>
      <c r="I226" s="194">
        <f t="shared" si="63"/>
        <v>170.83</v>
      </c>
      <c r="L226" s="725">
        <f t="shared" si="57"/>
        <v>1.3016403800405885E-4</v>
      </c>
    </row>
    <row r="227" spans="1:12" ht="49.5" customHeight="1" outlineLevel="1" x14ac:dyDescent="0.2">
      <c r="A227" s="1259" t="s">
        <v>2430</v>
      </c>
      <c r="B227" s="1266" t="s">
        <v>183</v>
      </c>
      <c r="C227" s="38" t="s">
        <v>2553</v>
      </c>
      <c r="D227" s="1271" t="s">
        <v>2554</v>
      </c>
      <c r="E227" s="38" t="s">
        <v>219</v>
      </c>
      <c r="F227" s="1129">
        <f>'12.ELE.'!D223</f>
        <v>1</v>
      </c>
      <c r="G227" s="66">
        <v>985.05</v>
      </c>
      <c r="H227" s="194">
        <f t="shared" si="62"/>
        <v>1268.94</v>
      </c>
      <c r="I227" s="194">
        <f t="shared" si="63"/>
        <v>1268.94</v>
      </c>
      <c r="L227" s="725">
        <f t="shared" si="57"/>
        <v>9.6686972068647456E-4</v>
      </c>
    </row>
    <row r="228" spans="1:12" ht="57" customHeight="1" outlineLevel="1" x14ac:dyDescent="0.2">
      <c r="A228" s="1259" t="s">
        <v>2431</v>
      </c>
      <c r="B228" s="1485" t="str">
        <f>COMPOSIÇÕES!A217</f>
        <v>COMPOSIÇÃO 20</v>
      </c>
      <c r="C228" s="1486"/>
      <c r="D228" s="323" t="str">
        <f>COMPOSIÇÕES!C216</f>
        <v>CENTRO DE DISTRIBUIÇÃO DE EMBUTIR COM BARRAMENTO TRIFÁSICO PARA 225A, BARRA DE NEUTRO E TERRA, COM CAPACIDADE PARA 56 DISJUNTORES MONOPOLARES DIN PADRÃO IEC, FAB. CEMAR OU SIMILAR. (QFAC). FORNECIMENTO E INSTALAÇÃO.</v>
      </c>
      <c r="E228" s="38" t="s">
        <v>219</v>
      </c>
      <c r="F228" s="1129">
        <f>'12.ELE.'!D227</f>
        <v>1</v>
      </c>
      <c r="G228" s="194">
        <f>COMPOSIÇÕES!M223</f>
        <v>1636.85</v>
      </c>
      <c r="H228" s="194">
        <f>ROUND((G228*$K$10),2)</f>
        <v>2108.59</v>
      </c>
      <c r="I228" s="194">
        <f>ROUND(((F228*G228)),2)</f>
        <v>1636.85</v>
      </c>
      <c r="L228" s="725">
        <f t="shared" si="57"/>
        <v>1.2471990025577694E-3</v>
      </c>
    </row>
    <row r="229" spans="1:12" ht="28.5" customHeight="1" outlineLevel="1" x14ac:dyDescent="0.2">
      <c r="A229" s="1259" t="s">
        <v>2540</v>
      </c>
      <c r="B229" s="1266" t="s">
        <v>183</v>
      </c>
      <c r="C229" s="38">
        <v>93654</v>
      </c>
      <c r="D229" s="1271" t="s">
        <v>2562</v>
      </c>
      <c r="E229" s="38" t="s">
        <v>219</v>
      </c>
      <c r="F229" s="1129">
        <f>'12.ELE.'!D231</f>
        <v>10</v>
      </c>
      <c r="G229" s="66">
        <v>11.74</v>
      </c>
      <c r="H229" s="194">
        <f t="shared" si="62"/>
        <v>15.12</v>
      </c>
      <c r="I229" s="194">
        <f t="shared" si="63"/>
        <v>151.19999999999999</v>
      </c>
      <c r="L229" s="725">
        <f t="shared" si="57"/>
        <v>1.1520694577190012E-4</v>
      </c>
    </row>
    <row r="230" spans="1:12" ht="32.25" customHeight="1" outlineLevel="1" x14ac:dyDescent="0.2">
      <c r="A230" s="1259" t="s">
        <v>2541</v>
      </c>
      <c r="B230" s="1266" t="s">
        <v>183</v>
      </c>
      <c r="C230" s="38" t="s">
        <v>2563</v>
      </c>
      <c r="D230" s="1271" t="s">
        <v>2564</v>
      </c>
      <c r="E230" s="38" t="s">
        <v>219</v>
      </c>
      <c r="F230" s="1129">
        <f>'12.ELE.'!D235</f>
        <v>4</v>
      </c>
      <c r="G230" s="66">
        <v>57.34</v>
      </c>
      <c r="H230" s="194">
        <f t="shared" si="62"/>
        <v>73.87</v>
      </c>
      <c r="I230" s="194">
        <f t="shared" ref="I230:I232" si="64">ROUND(((F230*H230)),2)</f>
        <v>295.48</v>
      </c>
      <c r="L230" s="725">
        <f t="shared" si="57"/>
        <v>2.2514119270291701E-4</v>
      </c>
    </row>
    <row r="231" spans="1:12" ht="30" customHeight="1" outlineLevel="1" x14ac:dyDescent="0.2">
      <c r="A231" s="1259" t="s">
        <v>2542</v>
      </c>
      <c r="B231" s="1266" t="s">
        <v>183</v>
      </c>
      <c r="C231" s="38" t="s">
        <v>2565</v>
      </c>
      <c r="D231" s="1271" t="s">
        <v>2566</v>
      </c>
      <c r="E231" s="38" t="s">
        <v>219</v>
      </c>
      <c r="F231" s="1129">
        <f>'12.ELE.'!D239</f>
        <v>1</v>
      </c>
      <c r="G231" s="66">
        <v>59.28</v>
      </c>
      <c r="H231" s="194">
        <f t="shared" si="62"/>
        <v>76.36</v>
      </c>
      <c r="I231" s="194">
        <f t="shared" si="64"/>
        <v>76.36</v>
      </c>
      <c r="L231" s="725">
        <f t="shared" si="57"/>
        <v>5.8182555417607759E-5</v>
      </c>
    </row>
    <row r="232" spans="1:12" ht="32.25" customHeight="1" outlineLevel="1" x14ac:dyDescent="0.2">
      <c r="A232" s="1259" t="s">
        <v>2543</v>
      </c>
      <c r="B232" s="1266" t="s">
        <v>183</v>
      </c>
      <c r="C232" s="38" t="s">
        <v>2567</v>
      </c>
      <c r="D232" s="1271" t="s">
        <v>2568</v>
      </c>
      <c r="E232" s="38" t="s">
        <v>219</v>
      </c>
      <c r="F232" s="1129">
        <f>'12.ELE.'!D243</f>
        <v>6</v>
      </c>
      <c r="G232" s="66">
        <v>59.28</v>
      </c>
      <c r="H232" s="194">
        <f t="shared" si="62"/>
        <v>76.36</v>
      </c>
      <c r="I232" s="194">
        <f t="shared" si="64"/>
        <v>458.16</v>
      </c>
      <c r="L232" s="725">
        <f t="shared" si="57"/>
        <v>3.4909533250564661E-4</v>
      </c>
    </row>
    <row r="233" spans="1:12" ht="29.25" customHeight="1" outlineLevel="1" x14ac:dyDescent="0.2">
      <c r="A233" s="1259" t="s">
        <v>2544</v>
      </c>
      <c r="B233" s="1266" t="s">
        <v>183</v>
      </c>
      <c r="C233" s="38" t="s">
        <v>2569</v>
      </c>
      <c r="D233" s="1271" t="s">
        <v>2570</v>
      </c>
      <c r="E233" s="38" t="s">
        <v>219</v>
      </c>
      <c r="F233" s="1129">
        <f>'12.ELE.'!D247</f>
        <v>2</v>
      </c>
      <c r="G233" s="66">
        <v>71.73</v>
      </c>
      <c r="H233" s="194">
        <f t="shared" si="62"/>
        <v>92.4</v>
      </c>
      <c r="I233" s="194">
        <f t="shared" ref="I233:I235" si="65">ROUND(((F233*H233)),2)</f>
        <v>184.8</v>
      </c>
      <c r="L233" s="725">
        <f t="shared" si="57"/>
        <v>1.4080848927676683E-4</v>
      </c>
    </row>
    <row r="234" spans="1:12" ht="29.25" customHeight="1" outlineLevel="1" x14ac:dyDescent="0.2">
      <c r="A234" s="1259" t="s">
        <v>2545</v>
      </c>
      <c r="B234" s="1266" t="s">
        <v>183</v>
      </c>
      <c r="C234" s="38" t="s">
        <v>2571</v>
      </c>
      <c r="D234" s="1271" t="s">
        <v>2572</v>
      </c>
      <c r="E234" s="38" t="s">
        <v>219</v>
      </c>
      <c r="F234" s="1129">
        <f>'12.ELE.'!D251</f>
        <v>1</v>
      </c>
      <c r="G234" s="66">
        <v>83.58</v>
      </c>
      <c r="H234" s="194">
        <f t="shared" si="62"/>
        <v>107.67</v>
      </c>
      <c r="I234" s="194">
        <f t="shared" si="65"/>
        <v>107.67</v>
      </c>
      <c r="L234" s="725">
        <f t="shared" si="57"/>
        <v>8.2039231820505871E-5</v>
      </c>
    </row>
    <row r="235" spans="1:12" ht="21" customHeight="1" outlineLevel="1" x14ac:dyDescent="0.2">
      <c r="A235" s="1259" t="s">
        <v>2546</v>
      </c>
      <c r="B235" s="1266" t="s">
        <v>182</v>
      </c>
      <c r="C235" s="38" t="s">
        <v>2615</v>
      </c>
      <c r="D235" s="1271" t="s">
        <v>2616</v>
      </c>
      <c r="E235" s="38" t="s">
        <v>219</v>
      </c>
      <c r="F235" s="1129">
        <f>'12.ELE.'!D256</f>
        <v>1</v>
      </c>
      <c r="G235" s="66">
        <v>228.81</v>
      </c>
      <c r="H235" s="194">
        <f t="shared" si="62"/>
        <v>294.75</v>
      </c>
      <c r="I235" s="194">
        <f t="shared" si="65"/>
        <v>294.75</v>
      </c>
      <c r="L235" s="725">
        <f t="shared" si="57"/>
        <v>2.2458496869224578E-4</v>
      </c>
    </row>
    <row r="236" spans="1:12" ht="21" customHeight="1" outlineLevel="1" x14ac:dyDescent="0.2">
      <c r="A236" s="1259" t="s">
        <v>2547</v>
      </c>
      <c r="B236" s="1266" t="s">
        <v>182</v>
      </c>
      <c r="C236" s="38" t="s">
        <v>2574</v>
      </c>
      <c r="D236" s="1271" t="s">
        <v>2576</v>
      </c>
      <c r="E236" s="38" t="s">
        <v>219</v>
      </c>
      <c r="F236" s="1129">
        <f>'12.ELE.'!D260</f>
        <v>1</v>
      </c>
      <c r="G236" s="66">
        <v>180.7</v>
      </c>
      <c r="H236" s="194">
        <f t="shared" si="62"/>
        <v>232.78</v>
      </c>
      <c r="I236" s="194">
        <f t="shared" si="63"/>
        <v>232.78</v>
      </c>
      <c r="L236" s="725">
        <f t="shared" si="57"/>
        <v>1.7736688384115682E-4</v>
      </c>
    </row>
    <row r="237" spans="1:12" ht="21" customHeight="1" outlineLevel="1" x14ac:dyDescent="0.2">
      <c r="A237" s="1259" t="s">
        <v>2548</v>
      </c>
      <c r="B237" s="1266" t="s">
        <v>182</v>
      </c>
      <c r="C237" s="38" t="s">
        <v>2575</v>
      </c>
      <c r="D237" s="1271" t="s">
        <v>2577</v>
      </c>
      <c r="E237" s="38" t="s">
        <v>219</v>
      </c>
      <c r="F237" s="1129">
        <f>'12.ELE.'!D264</f>
        <v>4</v>
      </c>
      <c r="G237" s="66">
        <v>92.78</v>
      </c>
      <c r="H237" s="194">
        <f t="shared" si="62"/>
        <v>119.52</v>
      </c>
      <c r="I237" s="194">
        <f t="shared" si="63"/>
        <v>478.08</v>
      </c>
      <c r="L237" s="725">
        <f t="shared" si="57"/>
        <v>3.6427339044067466E-4</v>
      </c>
    </row>
    <row r="238" spans="1:12" ht="21" customHeight="1" outlineLevel="1" thickBot="1" x14ac:dyDescent="0.25">
      <c r="A238" s="1259" t="s">
        <v>2549</v>
      </c>
      <c r="B238" s="1266" t="s">
        <v>182</v>
      </c>
      <c r="C238" s="38" t="s">
        <v>2580</v>
      </c>
      <c r="D238" s="1271" t="s">
        <v>2581</v>
      </c>
      <c r="E238" s="38" t="s">
        <v>219</v>
      </c>
      <c r="F238" s="1129">
        <f>'12.ELE.'!D268</f>
        <v>4</v>
      </c>
      <c r="G238" s="66">
        <v>95.66</v>
      </c>
      <c r="H238" s="194">
        <f t="shared" ref="H238" si="66">ROUND((G238*$K$10),2)</f>
        <v>123.23</v>
      </c>
      <c r="I238" s="194">
        <f t="shared" ref="I238" si="67">ROUND(((F238*H238)),2)</f>
        <v>492.92</v>
      </c>
      <c r="L238" s="725">
        <f t="shared" ref="L238:L250" si="68">I238/$I$604</f>
        <v>3.7558073882199082E-4</v>
      </c>
    </row>
    <row r="239" spans="1:12" ht="21" customHeight="1" outlineLevel="1" thickBot="1" x14ac:dyDescent="0.25">
      <c r="A239" s="524" t="s">
        <v>371</v>
      </c>
      <c r="B239" s="525"/>
      <c r="C239" s="525"/>
      <c r="D239" s="526" t="s">
        <v>2265</v>
      </c>
      <c r="E239" s="526"/>
      <c r="F239" s="526"/>
      <c r="G239" s="526"/>
      <c r="H239" s="526"/>
      <c r="I239" s="527"/>
      <c r="L239" s="725">
        <f t="shared" si="68"/>
        <v>0</v>
      </c>
    </row>
    <row r="240" spans="1:12" ht="16.5" customHeight="1" outlineLevel="1" x14ac:dyDescent="0.2">
      <c r="A240" s="357" t="s">
        <v>375</v>
      </c>
      <c r="B240" s="1266" t="s">
        <v>182</v>
      </c>
      <c r="C240" s="38">
        <v>170298</v>
      </c>
      <c r="D240" s="1271" t="s">
        <v>2274</v>
      </c>
      <c r="E240" s="38" t="s">
        <v>218</v>
      </c>
      <c r="F240" s="1129">
        <f>'12.ELE.'!D274</f>
        <v>100</v>
      </c>
      <c r="G240" s="66">
        <v>5.71</v>
      </c>
      <c r="H240" s="194">
        <f>ROUND((G240*$K$10),2)</f>
        <v>7.36</v>
      </c>
      <c r="I240" s="194">
        <f>ROUND(((F240*H240)),2)</f>
        <v>736</v>
      </c>
      <c r="L240" s="725">
        <f t="shared" si="68"/>
        <v>5.6079571486850857E-4</v>
      </c>
    </row>
    <row r="241" spans="1:12" ht="43.5" customHeight="1" outlineLevel="1" x14ac:dyDescent="0.2">
      <c r="A241" s="357" t="s">
        <v>376</v>
      </c>
      <c r="B241" s="1266" t="s">
        <v>183</v>
      </c>
      <c r="C241" s="38" t="s">
        <v>2266</v>
      </c>
      <c r="D241" s="1271" t="s">
        <v>2267</v>
      </c>
      <c r="E241" s="38" t="s">
        <v>218</v>
      </c>
      <c r="F241" s="1129">
        <f>'12.ELE.'!D278</f>
        <v>25</v>
      </c>
      <c r="G241" s="66">
        <v>93.38</v>
      </c>
      <c r="H241" s="194">
        <f t="shared" ref="H241:H250" si="69">ROUND((G241*$K$10),2)</f>
        <v>120.29</v>
      </c>
      <c r="I241" s="194">
        <f t="shared" ref="I241:I250" si="70">ROUND(((F241*H241)),2)</f>
        <v>3007.25</v>
      </c>
      <c r="L241" s="725">
        <f t="shared" si="68"/>
        <v>2.2913762412205465E-3</v>
      </c>
    </row>
    <row r="242" spans="1:12" ht="44.25" customHeight="1" outlineLevel="1" x14ac:dyDescent="0.2">
      <c r="A242" s="357" t="s">
        <v>377</v>
      </c>
      <c r="B242" s="1266" t="s">
        <v>183</v>
      </c>
      <c r="C242" s="38" t="s">
        <v>2268</v>
      </c>
      <c r="D242" s="1271" t="s">
        <v>2269</v>
      </c>
      <c r="E242" s="38" t="s">
        <v>218</v>
      </c>
      <c r="F242" s="1129">
        <f>'12.ELE.'!D282</f>
        <v>40</v>
      </c>
      <c r="G242" s="66">
        <v>77.02</v>
      </c>
      <c r="H242" s="194">
        <f t="shared" si="69"/>
        <v>99.22</v>
      </c>
      <c r="I242" s="194">
        <f t="shared" si="70"/>
        <v>3968.8</v>
      </c>
      <c r="L242" s="725">
        <f t="shared" si="68"/>
        <v>3.0240299363724684E-3</v>
      </c>
    </row>
    <row r="243" spans="1:12" ht="45.75" customHeight="1" outlineLevel="1" x14ac:dyDescent="0.2">
      <c r="A243" s="357" t="s">
        <v>378</v>
      </c>
      <c r="B243" s="1266" t="s">
        <v>183</v>
      </c>
      <c r="C243" s="38" t="s">
        <v>2270</v>
      </c>
      <c r="D243" s="1271" t="s">
        <v>2271</v>
      </c>
      <c r="E243" s="38" t="s">
        <v>218</v>
      </c>
      <c r="F243" s="1129">
        <f>'12.ELE.'!D286</f>
        <v>50</v>
      </c>
      <c r="G243" s="66">
        <v>62.19</v>
      </c>
      <c r="H243" s="194">
        <f t="shared" si="69"/>
        <v>80.11</v>
      </c>
      <c r="I243" s="194">
        <f t="shared" si="70"/>
        <v>4005.5</v>
      </c>
      <c r="L243" s="725">
        <f t="shared" si="68"/>
        <v>3.0519935270459388E-3</v>
      </c>
    </row>
    <row r="244" spans="1:12" ht="45" customHeight="1" outlineLevel="1" x14ac:dyDescent="0.2">
      <c r="A244" s="357" t="s">
        <v>379</v>
      </c>
      <c r="B244" s="1260" t="s">
        <v>183</v>
      </c>
      <c r="C244" s="38" t="s">
        <v>2272</v>
      </c>
      <c r="D244" s="1271" t="s">
        <v>2273</v>
      </c>
      <c r="E244" s="38" t="s">
        <v>218</v>
      </c>
      <c r="F244" s="1129">
        <f>'12.ELE.'!D290</f>
        <v>70</v>
      </c>
      <c r="G244" s="66">
        <v>36.76</v>
      </c>
      <c r="H244" s="194">
        <f t="shared" si="69"/>
        <v>47.35</v>
      </c>
      <c r="I244" s="194">
        <f t="shared" si="70"/>
        <v>3314.5</v>
      </c>
      <c r="L244" s="725">
        <f t="shared" si="68"/>
        <v>2.5254855936571625E-3</v>
      </c>
    </row>
    <row r="245" spans="1:12" ht="23.25" customHeight="1" outlineLevel="1" x14ac:dyDescent="0.2">
      <c r="A245" s="357" t="s">
        <v>380</v>
      </c>
      <c r="B245" s="1485" t="str">
        <f>COMPOSIÇÕES!A227</f>
        <v>COMPOSIÇÃO 21</v>
      </c>
      <c r="C245" s="1486"/>
      <c r="D245" s="323" t="str">
        <f>COMPOSIÇÕES!C226</f>
        <v>TUBO ISOLANTE ESPONJOSO 5/8". FORNECIMENTO E INSTALAÇÃO.</v>
      </c>
      <c r="E245" s="38" t="s">
        <v>218</v>
      </c>
      <c r="F245" s="1129">
        <f>'12.ELE.'!D294</f>
        <v>25</v>
      </c>
      <c r="G245" s="66">
        <f>COMPOSIÇÕES!M232</f>
        <v>3.98</v>
      </c>
      <c r="H245" s="194">
        <f t="shared" si="69"/>
        <v>5.13</v>
      </c>
      <c r="I245" s="194">
        <f t="shared" si="70"/>
        <v>128.25</v>
      </c>
      <c r="L245" s="725">
        <f t="shared" si="68"/>
        <v>9.7720177217236714E-5</v>
      </c>
    </row>
    <row r="246" spans="1:12" ht="45" customHeight="1" outlineLevel="1" x14ac:dyDescent="0.2">
      <c r="A246" s="357" t="s">
        <v>381</v>
      </c>
      <c r="B246" s="1485" t="str">
        <f>COMPOSIÇÕES!A236</f>
        <v>COMPOSIÇÃO 22</v>
      </c>
      <c r="C246" s="1486"/>
      <c r="D246" s="323" t="str">
        <f>COMPOSIÇÕES!C235</f>
        <v>TUBO DE ESPUMA DE POLIETILENO EXPANDIDO FLEXIVEL PARA ISOLAMENTO TERMICO DE TUBULACAO DE AR CONDICIONADO, AGUA QUENTE,  DN 1/2", E= 10 MM. FORNECIMENTO E INSTALAÇÃO.</v>
      </c>
      <c r="E246" s="38" t="s">
        <v>218</v>
      </c>
      <c r="F246" s="1129">
        <f>'12.ELE.'!D298</f>
        <v>45</v>
      </c>
      <c r="G246" s="66">
        <f>COMPOSIÇÕES!M242</f>
        <v>10.89</v>
      </c>
      <c r="H246" s="194">
        <f t="shared" si="69"/>
        <v>14.03</v>
      </c>
      <c r="I246" s="194">
        <f t="shared" si="70"/>
        <v>631.35</v>
      </c>
      <c r="L246" s="725">
        <f t="shared" si="68"/>
        <v>4.8105757416064249E-4</v>
      </c>
    </row>
    <row r="247" spans="1:12" ht="45" customHeight="1" outlineLevel="1" x14ac:dyDescent="0.2">
      <c r="A247" s="357" t="s">
        <v>382</v>
      </c>
      <c r="B247" s="1485" t="str">
        <f>COMPOSIÇÕES!A246</f>
        <v>COMPOSIÇÃO 23</v>
      </c>
      <c r="C247" s="1486"/>
      <c r="D247" s="323" t="str">
        <f>COMPOSIÇÕES!C245</f>
        <v>TUBO DE ESPUMA DE POLIETILENO EXPANDIDO FLEXIVEL PARA ISOLAMENTO TERMICO DE TUBULACAO DE AR CONDICIONADO, AGUA QUENTE,  DN 3/8", E= 10 MM. FORNECIMENTO E INSTALAÇÃO.</v>
      </c>
      <c r="E247" s="38" t="s">
        <v>218</v>
      </c>
      <c r="F247" s="1129">
        <f>'12.ELE.'!D302</f>
        <v>50</v>
      </c>
      <c r="G247" s="66">
        <f>COMPOSIÇÕES!M252</f>
        <v>10.85</v>
      </c>
      <c r="H247" s="194">
        <f t="shared" si="69"/>
        <v>13.98</v>
      </c>
      <c r="I247" s="194">
        <f t="shared" si="70"/>
        <v>699</v>
      </c>
      <c r="L247" s="725">
        <f t="shared" si="68"/>
        <v>5.3260353898517321E-4</v>
      </c>
    </row>
    <row r="248" spans="1:12" ht="45.75" customHeight="1" outlineLevel="1" x14ac:dyDescent="0.2">
      <c r="A248" s="357" t="s">
        <v>383</v>
      </c>
      <c r="B248" s="1485" t="str">
        <f>COMPOSIÇÕES!A256</f>
        <v>COMPOSIÇÃO 24</v>
      </c>
      <c r="C248" s="1486"/>
      <c r="D248" s="323" t="str">
        <f>COMPOSIÇÕES!C255</f>
        <v>TUBO DE ESPUMA DE POLIETILENO EXPANDIDO FLEXIVEL PARA ISOLAMENTO TERMICO DE TUBULACAO DE AR CONDICIONADO, AGUA QUENTE,  DN 1/4", E= 10 MM. FORNECIMENTO E INSTALAÇÃO.</v>
      </c>
      <c r="E248" s="38" t="s">
        <v>218</v>
      </c>
      <c r="F248" s="1129">
        <f>'12.ELE.'!D306</f>
        <v>70</v>
      </c>
      <c r="G248" s="66">
        <f>COMPOSIÇÕES!M262</f>
        <v>10.48</v>
      </c>
      <c r="H248" s="194">
        <f t="shared" si="69"/>
        <v>13.5</v>
      </c>
      <c r="I248" s="194">
        <f t="shared" si="70"/>
        <v>945</v>
      </c>
      <c r="L248" s="725">
        <f t="shared" si="68"/>
        <v>7.2004341107437578E-4</v>
      </c>
    </row>
    <row r="249" spans="1:12" ht="45" customHeight="1" outlineLevel="1" x14ac:dyDescent="0.2">
      <c r="A249" s="357" t="s">
        <v>384</v>
      </c>
      <c r="B249" s="1485" t="str">
        <f>COMPOSIÇÕES!A266</f>
        <v>COMPOSIÇÃO 25</v>
      </c>
      <c r="C249" s="1486"/>
      <c r="D249" s="323" t="str">
        <f>COMPOSIÇÕES!C265</f>
        <v>FITA ADESIVA ANTICORROSIVA DE PVC FLEXIVEL, COR PRETA, PARA PROTECAO TUBULACAO, 50 MM X 30 M (L X C), E= *0,25* MM. FORNECIMENTO E APLICAÇÃO.</v>
      </c>
      <c r="E249" s="38" t="s">
        <v>218</v>
      </c>
      <c r="F249" s="1129">
        <f>'12.ELE.'!D310</f>
        <v>317</v>
      </c>
      <c r="G249" s="66">
        <f>COMPOSIÇÕES!M271</f>
        <v>7.75</v>
      </c>
      <c r="H249" s="194">
        <f t="shared" si="69"/>
        <v>9.98</v>
      </c>
      <c r="I249" s="194">
        <f t="shared" si="70"/>
        <v>3163.66</v>
      </c>
      <c r="L249" s="725">
        <f t="shared" si="68"/>
        <v>2.4105529501371003E-3</v>
      </c>
    </row>
    <row r="250" spans="1:12" ht="33.75" customHeight="1" outlineLevel="1" thickBot="1" x14ac:dyDescent="0.25">
      <c r="A250" s="357" t="s">
        <v>385</v>
      </c>
      <c r="B250" s="1555" t="str">
        <f>COMPOSIÇÕES!A275</f>
        <v>COMPOSIÇÃO 26</v>
      </c>
      <c r="C250" s="1486"/>
      <c r="D250" s="323" t="str">
        <f>COMPOSIÇÕES!C274</f>
        <v>FITA ADESIVA ASFALTICA ALUMINIZADA MULTIUSO, L = 10 CM, ROLO DE 10 M. FORNECUMENTO E APLICAÇÃO.</v>
      </c>
      <c r="E250" s="38" t="s">
        <v>218</v>
      </c>
      <c r="F250" s="1129">
        <f>'12.ELE.'!D314</f>
        <v>5</v>
      </c>
      <c r="G250" s="66">
        <f>COMPOSIÇÕES!M280</f>
        <v>8.77</v>
      </c>
      <c r="H250" s="194">
        <f t="shared" si="69"/>
        <v>11.3</v>
      </c>
      <c r="I250" s="194">
        <f t="shared" si="70"/>
        <v>56.5</v>
      </c>
      <c r="L250" s="725">
        <f t="shared" si="68"/>
        <v>4.3050214524552625E-5</v>
      </c>
    </row>
    <row r="251" spans="1:12" ht="20.25" customHeight="1" outlineLevel="1" thickBot="1" x14ac:dyDescent="0.25">
      <c r="A251" s="524" t="s">
        <v>451</v>
      </c>
      <c r="B251" s="525"/>
      <c r="C251" s="525"/>
      <c r="D251" s="526" t="s">
        <v>372</v>
      </c>
      <c r="E251" s="526"/>
      <c r="F251" s="526"/>
      <c r="G251" s="526"/>
      <c r="H251" s="526"/>
      <c r="I251" s="527"/>
      <c r="L251" s="725"/>
    </row>
    <row r="252" spans="1:12" ht="20.25" customHeight="1" outlineLevel="1" x14ac:dyDescent="0.2">
      <c r="A252" s="1236" t="s">
        <v>395</v>
      </c>
      <c r="B252" s="1236" t="s">
        <v>183</v>
      </c>
      <c r="C252" s="358">
        <v>98307</v>
      </c>
      <c r="D252" s="1234" t="s">
        <v>373</v>
      </c>
      <c r="E252" s="38" t="s">
        <v>219</v>
      </c>
      <c r="F252" s="131">
        <f>'12.ELE.'!D320</f>
        <v>36</v>
      </c>
      <c r="G252" s="359">
        <v>43.45</v>
      </c>
      <c r="H252" s="194">
        <f t="shared" ref="H252:H258" si="71">ROUND((G252*$K$10),2)</f>
        <v>55.97</v>
      </c>
      <c r="I252" s="194">
        <f t="shared" ref="I252:I258" si="72">ROUND(((F252*H252)),2)</f>
        <v>2014.92</v>
      </c>
      <c r="L252" s="725"/>
    </row>
    <row r="253" spans="1:12" ht="20.25" customHeight="1" outlineLevel="1" x14ac:dyDescent="0.2">
      <c r="A253" s="1236" t="s">
        <v>396</v>
      </c>
      <c r="B253" s="1491" t="str">
        <f>COMPOSIÇÕES!A284</f>
        <v>COMPOSIÇÃO 27</v>
      </c>
      <c r="C253" s="1488"/>
      <c r="D253" s="740" t="str">
        <f>COMPOSIÇÕES!C283</f>
        <v>FORNECIMENTO DE CONECTOR MACHO RJ - 45, CATEGORIA 6</v>
      </c>
      <c r="E253" s="38" t="s">
        <v>219</v>
      </c>
      <c r="F253" s="132">
        <f>'12.ELE.'!D324</f>
        <v>32</v>
      </c>
      <c r="G253" s="66">
        <f>COMPOSIÇÕES!M289</f>
        <v>4.33</v>
      </c>
      <c r="H253" s="194">
        <f t="shared" si="71"/>
        <v>5.58</v>
      </c>
      <c r="I253" s="194">
        <f t="shared" si="72"/>
        <v>178.56</v>
      </c>
      <c r="L253" s="725"/>
    </row>
    <row r="254" spans="1:12" ht="20.25" customHeight="1" outlineLevel="1" x14ac:dyDescent="0.2">
      <c r="A254" s="1236" t="s">
        <v>397</v>
      </c>
      <c r="B254" s="1270" t="s">
        <v>182</v>
      </c>
      <c r="C254" s="360">
        <v>170951</v>
      </c>
      <c r="D254" s="1237" t="s">
        <v>2264</v>
      </c>
      <c r="E254" s="38" t="s">
        <v>219</v>
      </c>
      <c r="F254" s="132">
        <f>'12.ELE.'!D328</f>
        <v>3</v>
      </c>
      <c r="G254" s="66">
        <v>12.75</v>
      </c>
      <c r="H254" s="194">
        <f t="shared" si="71"/>
        <v>16.420000000000002</v>
      </c>
      <c r="I254" s="194">
        <f t="shared" si="72"/>
        <v>49.26</v>
      </c>
      <c r="L254" s="725"/>
    </row>
    <row r="255" spans="1:12" ht="34.5" customHeight="1" outlineLevel="1" x14ac:dyDescent="0.2">
      <c r="A255" s="1236" t="s">
        <v>398</v>
      </c>
      <c r="B255" s="1270" t="s">
        <v>183</v>
      </c>
      <c r="C255" s="360" t="s">
        <v>2188</v>
      </c>
      <c r="D255" s="1237" t="s">
        <v>2189</v>
      </c>
      <c r="E255" s="38" t="s">
        <v>219</v>
      </c>
      <c r="F255" s="132">
        <f>'12.ELE.'!D332</f>
        <v>18</v>
      </c>
      <c r="G255" s="66">
        <v>8.65</v>
      </c>
      <c r="H255" s="194">
        <f t="shared" ref="H255" si="73">ROUND((G255*$K$10),2)</f>
        <v>11.14</v>
      </c>
      <c r="I255" s="194">
        <f t="shared" ref="I255" si="74">ROUND(((F255*H255)),2)</f>
        <v>200.52</v>
      </c>
      <c r="L255" s="725"/>
    </row>
    <row r="256" spans="1:12" ht="34.5" customHeight="1" outlineLevel="1" x14ac:dyDescent="0.2">
      <c r="A256" s="1236" t="s">
        <v>399</v>
      </c>
      <c r="B256" s="1270" t="s">
        <v>183</v>
      </c>
      <c r="C256" s="360">
        <v>91944</v>
      </c>
      <c r="D256" s="1237" t="s">
        <v>374</v>
      </c>
      <c r="E256" s="38" t="s">
        <v>219</v>
      </c>
      <c r="F256" s="132">
        <f>'12.ELE.'!D336</f>
        <v>3</v>
      </c>
      <c r="G256" s="66">
        <v>12.06</v>
      </c>
      <c r="H256" s="194">
        <f t="shared" si="71"/>
        <v>15.54</v>
      </c>
      <c r="I256" s="194">
        <f t="shared" si="72"/>
        <v>46.62</v>
      </c>
      <c r="L256" s="725"/>
    </row>
    <row r="257" spans="1:12" ht="20.25" customHeight="1" outlineLevel="1" x14ac:dyDescent="0.2">
      <c r="A257" s="1236" t="s">
        <v>400</v>
      </c>
      <c r="B257" s="1270" t="s">
        <v>182</v>
      </c>
      <c r="C257" s="360">
        <v>180679</v>
      </c>
      <c r="D257" s="1237" t="s">
        <v>2190</v>
      </c>
      <c r="E257" s="38" t="s">
        <v>219</v>
      </c>
      <c r="F257" s="132">
        <f>'12.ELE.'!D341</f>
        <v>1</v>
      </c>
      <c r="G257" s="66">
        <v>391.11</v>
      </c>
      <c r="H257" s="194">
        <f t="shared" si="71"/>
        <v>503.83</v>
      </c>
      <c r="I257" s="194">
        <f t="shared" si="72"/>
        <v>503.83</v>
      </c>
      <c r="L257" s="725"/>
    </row>
    <row r="258" spans="1:12" ht="20.25" customHeight="1" outlineLevel="1" x14ac:dyDescent="0.2">
      <c r="A258" s="1236" t="s">
        <v>401</v>
      </c>
      <c r="B258" s="1270" t="s">
        <v>182</v>
      </c>
      <c r="C258" s="360">
        <v>170879</v>
      </c>
      <c r="D258" s="1237" t="s">
        <v>2191</v>
      </c>
      <c r="E258" s="38" t="s">
        <v>219</v>
      </c>
      <c r="F258" s="132">
        <f>'12.ELE.'!D345</f>
        <v>1</v>
      </c>
      <c r="G258" s="66">
        <v>228.16</v>
      </c>
      <c r="H258" s="194">
        <f t="shared" si="71"/>
        <v>293.92</v>
      </c>
      <c r="I258" s="194">
        <f t="shared" si="72"/>
        <v>293.92</v>
      </c>
      <c r="L258" s="725"/>
    </row>
    <row r="259" spans="1:12" ht="45" customHeight="1" outlineLevel="1" x14ac:dyDescent="0.2">
      <c r="A259" s="1236" t="s">
        <v>402</v>
      </c>
      <c r="B259" s="1270" t="s">
        <v>183</v>
      </c>
      <c r="C259" s="360" t="s">
        <v>2192</v>
      </c>
      <c r="D259" s="1237" t="s">
        <v>2193</v>
      </c>
      <c r="E259" s="38" t="s">
        <v>219</v>
      </c>
      <c r="F259" s="132">
        <f>'12.ELE.'!D349</f>
        <v>1</v>
      </c>
      <c r="G259" s="66">
        <v>192.39</v>
      </c>
      <c r="H259" s="194">
        <f t="shared" ref="H259:H260" si="75">ROUND((G259*$K$10),2)</f>
        <v>247.84</v>
      </c>
      <c r="I259" s="194">
        <f t="shared" ref="I259:I260" si="76">ROUND(((F259*H259)),2)</f>
        <v>247.84</v>
      </c>
      <c r="L259" s="725"/>
    </row>
    <row r="260" spans="1:12" ht="20.25" customHeight="1" outlineLevel="1" x14ac:dyDescent="0.2">
      <c r="A260" s="1236" t="s">
        <v>403</v>
      </c>
      <c r="B260" s="1270" t="s">
        <v>182</v>
      </c>
      <c r="C260" s="360" t="s">
        <v>2194</v>
      </c>
      <c r="D260" s="1237" t="s">
        <v>2195</v>
      </c>
      <c r="E260" s="38" t="s">
        <v>219</v>
      </c>
      <c r="F260" s="132">
        <f>'12.ELE.'!D353</f>
        <v>1</v>
      </c>
      <c r="G260" s="66">
        <v>320.41000000000003</v>
      </c>
      <c r="H260" s="194">
        <f t="shared" si="75"/>
        <v>412.75</v>
      </c>
      <c r="I260" s="194">
        <f t="shared" si="76"/>
        <v>412.75</v>
      </c>
      <c r="L260" s="725"/>
    </row>
    <row r="261" spans="1:12" ht="20.25" customHeight="1" outlineLevel="1" x14ac:dyDescent="0.2">
      <c r="A261" s="1236" t="s">
        <v>404</v>
      </c>
      <c r="B261" s="1270" t="s">
        <v>182</v>
      </c>
      <c r="C261" s="360" t="s">
        <v>2196</v>
      </c>
      <c r="D261" s="1237" t="s">
        <v>2197</v>
      </c>
      <c r="E261" s="38" t="s">
        <v>219</v>
      </c>
      <c r="F261" s="132">
        <f>'12.ELE.'!D357</f>
        <v>1</v>
      </c>
      <c r="G261" s="66">
        <v>105</v>
      </c>
      <c r="H261" s="194">
        <f t="shared" ref="H261" si="77">ROUND((G261*$K$10),2)</f>
        <v>135.26</v>
      </c>
      <c r="I261" s="194">
        <f t="shared" ref="I261" si="78">ROUND(((F261*H261)),2)</f>
        <v>135.26</v>
      </c>
      <c r="L261" s="725"/>
    </row>
    <row r="262" spans="1:12" ht="20.25" customHeight="1" outlineLevel="1" x14ac:dyDescent="0.2">
      <c r="A262" s="1236" t="s">
        <v>2304</v>
      </c>
      <c r="B262" s="1270" t="s">
        <v>182</v>
      </c>
      <c r="C262" s="363" t="s">
        <v>2184</v>
      </c>
      <c r="D262" s="2" t="s">
        <v>2186</v>
      </c>
      <c r="E262" s="38" t="s">
        <v>2185</v>
      </c>
      <c r="F262" s="132">
        <f>'12.ELE.'!D361</f>
        <v>1</v>
      </c>
      <c r="G262" s="66">
        <v>36.369999999999997</v>
      </c>
      <c r="H262" s="194">
        <f t="shared" ref="H262" si="79">ROUND((G262*$K$10),2)</f>
        <v>46.85</v>
      </c>
      <c r="I262" s="194">
        <f t="shared" ref="I262" si="80">ROUND(((F262*H262)),2)</f>
        <v>46.85</v>
      </c>
      <c r="L262" s="725"/>
    </row>
    <row r="263" spans="1:12" ht="20.25" customHeight="1" outlineLevel="1" x14ac:dyDescent="0.2">
      <c r="A263" s="1236" t="s">
        <v>2305</v>
      </c>
      <c r="B263" s="1487" t="str">
        <f>COMPOSIÇÕES!A293</f>
        <v>COMPOSIÇÃO 28</v>
      </c>
      <c r="C263" s="1488"/>
      <c r="D263" s="539" t="str">
        <f>COMPOSIÇÕES!C292</f>
        <v>CABO DE COBRE NU 10 MM2. FORNECIMENTO E INSTALAÇÃO.</v>
      </c>
      <c r="E263" s="38" t="s">
        <v>218</v>
      </c>
      <c r="F263" s="132">
        <f>'12.ELE.'!D365</f>
        <v>15</v>
      </c>
      <c r="G263" s="66">
        <f>COMPOSIÇÕES!M298</f>
        <v>13.55</v>
      </c>
      <c r="H263" s="194">
        <f t="shared" ref="H263:H264" si="81">ROUND((G263*$K$10),2)</f>
        <v>17.46</v>
      </c>
      <c r="I263" s="194">
        <f t="shared" ref="I263:I264" si="82">ROUND(((F263*H263)),2)</f>
        <v>261.89999999999998</v>
      </c>
      <c r="L263" s="725"/>
    </row>
    <row r="264" spans="1:12" ht="20.25" customHeight="1" outlineLevel="1" x14ac:dyDescent="0.2">
      <c r="A264" s="1236" t="s">
        <v>2306</v>
      </c>
      <c r="B264" s="1270" t="s">
        <v>182</v>
      </c>
      <c r="C264" s="363" t="s">
        <v>2201</v>
      </c>
      <c r="D264" s="2" t="s">
        <v>2202</v>
      </c>
      <c r="E264" s="38" t="s">
        <v>218</v>
      </c>
      <c r="F264" s="132">
        <f>'12.ELE.'!D369</f>
        <v>3</v>
      </c>
      <c r="G264" s="66">
        <v>117.21</v>
      </c>
      <c r="H264" s="194">
        <f t="shared" si="81"/>
        <v>150.99</v>
      </c>
      <c r="I264" s="194">
        <f t="shared" si="82"/>
        <v>452.97</v>
      </c>
      <c r="L264" s="725"/>
    </row>
    <row r="265" spans="1:12" ht="20.25" customHeight="1" outlineLevel="1" x14ac:dyDescent="0.2">
      <c r="A265" s="1236" t="s">
        <v>2307</v>
      </c>
      <c r="B265" s="1270" t="s">
        <v>182</v>
      </c>
      <c r="C265" s="363" t="s">
        <v>2203</v>
      </c>
      <c r="D265" s="2" t="s">
        <v>2204</v>
      </c>
      <c r="E265" s="38" t="s">
        <v>218</v>
      </c>
      <c r="F265" s="132">
        <f>'12.ELE.'!D373</f>
        <v>45</v>
      </c>
      <c r="G265" s="66">
        <v>38.78</v>
      </c>
      <c r="H265" s="194">
        <f t="shared" ref="H265:H266" si="83">ROUND((G265*$K$10),2)</f>
        <v>49.96</v>
      </c>
      <c r="I265" s="194">
        <f t="shared" ref="I265:I266" si="84">ROUND(((F265*H265)),2)</f>
        <v>2248.1999999999998</v>
      </c>
      <c r="L265" s="725"/>
    </row>
    <row r="266" spans="1:12" ht="20.25" customHeight="1" outlineLevel="1" x14ac:dyDescent="0.2">
      <c r="A266" s="1236" t="s">
        <v>2308</v>
      </c>
      <c r="B266" s="1270" t="s">
        <v>182</v>
      </c>
      <c r="C266" s="363" t="s">
        <v>2205</v>
      </c>
      <c r="D266" s="2" t="s">
        <v>2208</v>
      </c>
      <c r="E266" s="38" t="s">
        <v>218</v>
      </c>
      <c r="F266" s="132">
        <f>'12.ELE.'!D377</f>
        <v>3</v>
      </c>
      <c r="G266" s="66">
        <v>28.55</v>
      </c>
      <c r="H266" s="194">
        <f t="shared" si="83"/>
        <v>36.78</v>
      </c>
      <c r="I266" s="194">
        <f t="shared" si="84"/>
        <v>110.34</v>
      </c>
      <c r="L266" s="725"/>
    </row>
    <row r="267" spans="1:12" ht="20.25" customHeight="1" outlineLevel="1" x14ac:dyDescent="0.2">
      <c r="A267" s="1236" t="s">
        <v>2309</v>
      </c>
      <c r="B267" s="1270" t="s">
        <v>182</v>
      </c>
      <c r="C267" s="363" t="s">
        <v>2206</v>
      </c>
      <c r="D267" s="2" t="s">
        <v>2209</v>
      </c>
      <c r="E267" s="38" t="s">
        <v>218</v>
      </c>
      <c r="F267" s="132">
        <f>'12.ELE.'!D381</f>
        <v>36</v>
      </c>
      <c r="G267" s="66">
        <v>11.94</v>
      </c>
      <c r="H267" s="194">
        <f t="shared" ref="H267:H270" si="85">ROUND((G267*$K$10),2)</f>
        <v>15.38</v>
      </c>
      <c r="I267" s="194">
        <f t="shared" ref="I267:I270" si="86">ROUND(((F267*H267)),2)</f>
        <v>553.67999999999995</v>
      </c>
      <c r="L267" s="725"/>
    </row>
    <row r="268" spans="1:12" ht="20.25" customHeight="1" outlineLevel="1" x14ac:dyDescent="0.2">
      <c r="A268" s="1236" t="s">
        <v>2310</v>
      </c>
      <c r="B268" s="1270" t="s">
        <v>182</v>
      </c>
      <c r="C268" s="363" t="s">
        <v>2207</v>
      </c>
      <c r="D268" s="2" t="s">
        <v>2210</v>
      </c>
      <c r="E268" s="38" t="s">
        <v>218</v>
      </c>
      <c r="F268" s="132">
        <f>'12.ELE.'!D385</f>
        <v>180</v>
      </c>
      <c r="G268" s="66">
        <v>10.63</v>
      </c>
      <c r="H268" s="194">
        <f t="shared" si="85"/>
        <v>13.69</v>
      </c>
      <c r="I268" s="194">
        <f t="shared" si="86"/>
        <v>2464.1999999999998</v>
      </c>
      <c r="L268" s="725"/>
    </row>
    <row r="269" spans="1:12" ht="59.25" customHeight="1" outlineLevel="1" x14ac:dyDescent="0.2">
      <c r="A269" s="1236" t="s">
        <v>2311</v>
      </c>
      <c r="B269" s="1487" t="str">
        <f>COMPOSIÇÕES!A302</f>
        <v>COMPOSIÇÃO 29</v>
      </c>
      <c r="C269" s="1488"/>
      <c r="D269" s="539" t="str">
        <f>COMPOSIÇÕES!C301</f>
        <v>CABECOTE PARA ENTRADA DE LINHA DE ALIMENTACAO PARA ELETRODUTO, EM LIGA DE ALUMINIO COM ACABAMENTO ANTI CORROSIVO, COM FIXACAO POR ENCAIXE LISO DE 360 GRAUS, DE 3". FORNECIMENTO E INSTALAÇÃO.</v>
      </c>
      <c r="E269" s="38" t="s">
        <v>219</v>
      </c>
      <c r="F269" s="132">
        <f>'12.ELE.'!D389</f>
        <v>1</v>
      </c>
      <c r="G269" s="66">
        <f>COMPOSIÇÕES!M307</f>
        <v>49.13</v>
      </c>
      <c r="H269" s="194">
        <f t="shared" si="85"/>
        <v>63.29</v>
      </c>
      <c r="I269" s="194">
        <f t="shared" si="86"/>
        <v>63.29</v>
      </c>
      <c r="L269" s="725"/>
    </row>
    <row r="270" spans="1:12" ht="20.25" customHeight="1" outlineLevel="1" x14ac:dyDescent="0.2">
      <c r="A270" s="1236" t="s">
        <v>2312</v>
      </c>
      <c r="B270" s="1270" t="s">
        <v>182</v>
      </c>
      <c r="C270" s="363" t="s">
        <v>2214</v>
      </c>
      <c r="D270" s="2" t="s">
        <v>2219</v>
      </c>
      <c r="E270" s="38" t="s">
        <v>219</v>
      </c>
      <c r="F270" s="132">
        <f>'12.ELE.'!D393</f>
        <v>1</v>
      </c>
      <c r="G270" s="66">
        <v>70.31</v>
      </c>
      <c r="H270" s="194">
        <f t="shared" si="85"/>
        <v>90.57</v>
      </c>
      <c r="I270" s="194">
        <f t="shared" si="86"/>
        <v>90.57</v>
      </c>
      <c r="L270" s="725"/>
    </row>
    <row r="271" spans="1:12" ht="20.25" customHeight="1" outlineLevel="1" x14ac:dyDescent="0.2">
      <c r="A271" s="1236" t="s">
        <v>2313</v>
      </c>
      <c r="B271" s="1270" t="s">
        <v>182</v>
      </c>
      <c r="C271" s="363" t="s">
        <v>2215</v>
      </c>
      <c r="D271" s="2" t="s">
        <v>2220</v>
      </c>
      <c r="E271" s="38" t="s">
        <v>219</v>
      </c>
      <c r="F271" s="132">
        <f>'12.ELE.'!D397</f>
        <v>2</v>
      </c>
      <c r="G271" s="66">
        <v>59.94</v>
      </c>
      <c r="H271" s="194">
        <f t="shared" ref="H271:H287" si="87">ROUND((G271*$K$10),2)</f>
        <v>77.209999999999994</v>
      </c>
      <c r="I271" s="194">
        <f t="shared" ref="I271:I287" si="88">ROUND(((F271*H271)),2)</f>
        <v>154.41999999999999</v>
      </c>
      <c r="L271" s="725"/>
    </row>
    <row r="272" spans="1:12" ht="20.25" customHeight="1" outlineLevel="1" x14ac:dyDescent="0.2">
      <c r="A272" s="1236" t="s">
        <v>2314</v>
      </c>
      <c r="B272" s="1270" t="s">
        <v>182</v>
      </c>
      <c r="C272" s="363" t="s">
        <v>2216</v>
      </c>
      <c r="D272" s="2" t="s">
        <v>2221</v>
      </c>
      <c r="E272" s="38" t="s">
        <v>219</v>
      </c>
      <c r="F272" s="132">
        <f>'12.ELE.'!D401</f>
        <v>1</v>
      </c>
      <c r="G272" s="66">
        <v>24.59</v>
      </c>
      <c r="H272" s="194">
        <f t="shared" si="87"/>
        <v>31.68</v>
      </c>
      <c r="I272" s="194">
        <f t="shared" si="88"/>
        <v>31.68</v>
      </c>
      <c r="L272" s="725"/>
    </row>
    <row r="273" spans="1:12" ht="20.25" customHeight="1" outlineLevel="1" x14ac:dyDescent="0.2">
      <c r="A273" s="1236" t="s">
        <v>2315</v>
      </c>
      <c r="B273" s="1270" t="s">
        <v>182</v>
      </c>
      <c r="C273" s="363" t="s">
        <v>2217</v>
      </c>
      <c r="D273" s="2" t="s">
        <v>2222</v>
      </c>
      <c r="E273" s="38" t="s">
        <v>219</v>
      </c>
      <c r="F273" s="132">
        <f>'12.ELE.'!D405</f>
        <v>4</v>
      </c>
      <c r="G273" s="66">
        <v>16.489999999999998</v>
      </c>
      <c r="H273" s="194">
        <f t="shared" si="87"/>
        <v>21.24</v>
      </c>
      <c r="I273" s="194">
        <f t="shared" si="88"/>
        <v>84.96</v>
      </c>
      <c r="L273" s="725"/>
    </row>
    <row r="274" spans="1:12" ht="20.25" customHeight="1" outlineLevel="1" x14ac:dyDescent="0.2">
      <c r="A274" s="1236" t="s">
        <v>2316</v>
      </c>
      <c r="B274" s="1270" t="s">
        <v>182</v>
      </c>
      <c r="C274" s="363" t="s">
        <v>2218</v>
      </c>
      <c r="D274" s="2" t="s">
        <v>2223</v>
      </c>
      <c r="E274" s="38" t="s">
        <v>219</v>
      </c>
      <c r="F274" s="132">
        <f>'12.ELE.'!D409</f>
        <v>40</v>
      </c>
      <c r="G274" s="66">
        <v>14.99</v>
      </c>
      <c r="H274" s="194">
        <f t="shared" si="87"/>
        <v>19.309999999999999</v>
      </c>
      <c r="I274" s="194">
        <f t="shared" si="88"/>
        <v>772.4</v>
      </c>
      <c r="L274" s="725"/>
    </row>
    <row r="275" spans="1:12" ht="20.25" customHeight="1" outlineLevel="1" x14ac:dyDescent="0.2">
      <c r="A275" s="1236" t="s">
        <v>2317</v>
      </c>
      <c r="B275" s="1270" t="s">
        <v>182</v>
      </c>
      <c r="C275" s="363" t="s">
        <v>2224</v>
      </c>
      <c r="D275" s="2" t="s">
        <v>2229</v>
      </c>
      <c r="E275" s="38" t="s">
        <v>219</v>
      </c>
      <c r="F275" s="132">
        <f>'12.ELE.'!D413</f>
        <v>2</v>
      </c>
      <c r="G275" s="66">
        <v>35.090000000000003</v>
      </c>
      <c r="H275" s="194">
        <f t="shared" si="87"/>
        <v>45.2</v>
      </c>
      <c r="I275" s="194">
        <f t="shared" si="88"/>
        <v>90.4</v>
      </c>
      <c r="L275" s="725"/>
    </row>
    <row r="276" spans="1:12" ht="20.25" customHeight="1" outlineLevel="1" x14ac:dyDescent="0.2">
      <c r="A276" s="1236" t="s">
        <v>2318</v>
      </c>
      <c r="B276" s="1270" t="s">
        <v>182</v>
      </c>
      <c r="C276" s="363" t="s">
        <v>2225</v>
      </c>
      <c r="D276" s="2" t="s">
        <v>2230</v>
      </c>
      <c r="E276" s="38" t="s">
        <v>219</v>
      </c>
      <c r="F276" s="132">
        <f>'12.ELE.'!D417</f>
        <v>18</v>
      </c>
      <c r="G276" s="66">
        <v>17.5</v>
      </c>
      <c r="H276" s="194">
        <f t="shared" si="87"/>
        <v>22.54</v>
      </c>
      <c r="I276" s="194">
        <f t="shared" si="88"/>
        <v>405.72</v>
      </c>
      <c r="L276" s="725"/>
    </row>
    <row r="277" spans="1:12" ht="20.25" customHeight="1" outlineLevel="1" x14ac:dyDescent="0.2">
      <c r="A277" s="1236" t="s">
        <v>2319</v>
      </c>
      <c r="B277" s="1270" t="s">
        <v>182</v>
      </c>
      <c r="C277" s="363" t="s">
        <v>2226</v>
      </c>
      <c r="D277" s="2" t="s">
        <v>2231</v>
      </c>
      <c r="E277" s="38" t="s">
        <v>219</v>
      </c>
      <c r="F277" s="132">
        <f>'12.ELE.'!D421</f>
        <v>2</v>
      </c>
      <c r="G277" s="66">
        <v>10.119999999999999</v>
      </c>
      <c r="H277" s="194">
        <f t="shared" si="87"/>
        <v>13.04</v>
      </c>
      <c r="I277" s="194">
        <f t="shared" si="88"/>
        <v>26.08</v>
      </c>
      <c r="L277" s="725"/>
    </row>
    <row r="278" spans="1:12" ht="20.25" customHeight="1" outlineLevel="1" x14ac:dyDescent="0.2">
      <c r="A278" s="1236" t="s">
        <v>2320</v>
      </c>
      <c r="B278" s="1270" t="s">
        <v>182</v>
      </c>
      <c r="C278" s="363" t="s">
        <v>2227</v>
      </c>
      <c r="D278" s="2" t="s">
        <v>2232</v>
      </c>
      <c r="E278" s="38" t="s">
        <v>219</v>
      </c>
      <c r="F278" s="132">
        <f>'12.ELE.'!D425</f>
        <v>12</v>
      </c>
      <c r="G278" s="66">
        <v>4.92</v>
      </c>
      <c r="H278" s="194">
        <f t="shared" ref="H278:H285" si="89">ROUND((G278*$K$10),2)</f>
        <v>6.34</v>
      </c>
      <c r="I278" s="194">
        <f t="shared" ref="I278:I285" si="90">ROUND(((F278*H278)),2)</f>
        <v>76.08</v>
      </c>
      <c r="L278" s="725"/>
    </row>
    <row r="279" spans="1:12" ht="20.25" customHeight="1" outlineLevel="1" x14ac:dyDescent="0.2">
      <c r="A279" s="1236" t="s">
        <v>2321</v>
      </c>
      <c r="B279" s="1270" t="s">
        <v>182</v>
      </c>
      <c r="C279" s="363" t="s">
        <v>2228</v>
      </c>
      <c r="D279" s="2" t="s">
        <v>2233</v>
      </c>
      <c r="E279" s="38" t="s">
        <v>219</v>
      </c>
      <c r="F279" s="132">
        <f>'12.ELE.'!D429</f>
        <v>110</v>
      </c>
      <c r="G279" s="66">
        <v>4.62</v>
      </c>
      <c r="H279" s="194">
        <f t="shared" si="89"/>
        <v>5.95</v>
      </c>
      <c r="I279" s="194">
        <f t="shared" si="90"/>
        <v>654.5</v>
      </c>
      <c r="L279" s="725"/>
    </row>
    <row r="280" spans="1:12" ht="20.25" customHeight="1" outlineLevel="1" x14ac:dyDescent="0.2">
      <c r="A280" s="1236" t="s">
        <v>2322</v>
      </c>
      <c r="B280" s="1487" t="str">
        <f>COMPOSIÇÕES!A311</f>
        <v>COMPOSIÇÃO 30</v>
      </c>
      <c r="C280" s="1488"/>
      <c r="D280" s="539" t="str">
        <f>COMPOSIÇÕES!C310</f>
        <v>ARAME GALVANIZADO P/ GUIA DE CABOS.</v>
      </c>
      <c r="E280" s="38" t="s">
        <v>218</v>
      </c>
      <c r="F280" s="132">
        <f>'12.ELE.'!D433</f>
        <v>250</v>
      </c>
      <c r="G280" s="66">
        <f>COMPOSIÇÕES!M316</f>
        <v>4.9400000000000004</v>
      </c>
      <c r="H280" s="194">
        <f t="shared" si="89"/>
        <v>6.36</v>
      </c>
      <c r="I280" s="194">
        <f t="shared" si="90"/>
        <v>1590</v>
      </c>
      <c r="L280" s="725"/>
    </row>
    <row r="281" spans="1:12" ht="20.25" customHeight="1" outlineLevel="1" x14ac:dyDescent="0.2">
      <c r="A281" s="1236" t="s">
        <v>2323</v>
      </c>
      <c r="B281" s="1270" t="s">
        <v>182</v>
      </c>
      <c r="C281" s="363" t="s">
        <v>2237</v>
      </c>
      <c r="D281" s="2" t="s">
        <v>2239</v>
      </c>
      <c r="E281" s="38" t="s">
        <v>218</v>
      </c>
      <c r="F281" s="132">
        <f>'12.ELE.'!D437</f>
        <v>750</v>
      </c>
      <c r="G281" s="66">
        <v>6.01</v>
      </c>
      <c r="H281" s="194">
        <f t="shared" si="89"/>
        <v>7.74</v>
      </c>
      <c r="I281" s="194">
        <f t="shared" si="90"/>
        <v>5805</v>
      </c>
      <c r="L281" s="725"/>
    </row>
    <row r="282" spans="1:12" ht="20.25" customHeight="1" outlineLevel="1" x14ac:dyDescent="0.2">
      <c r="A282" s="1236" t="s">
        <v>2324</v>
      </c>
      <c r="B282" s="1270" t="s">
        <v>182</v>
      </c>
      <c r="C282" s="363" t="s">
        <v>2238</v>
      </c>
      <c r="D282" s="2" t="s">
        <v>2240</v>
      </c>
      <c r="E282" s="38" t="s">
        <v>218</v>
      </c>
      <c r="F282" s="132">
        <f>'12.ELE.'!D441</f>
        <v>30</v>
      </c>
      <c r="G282" s="66">
        <v>6.66</v>
      </c>
      <c r="H282" s="194">
        <f t="shared" si="89"/>
        <v>8.58</v>
      </c>
      <c r="I282" s="194">
        <f t="shared" si="90"/>
        <v>257.39999999999998</v>
      </c>
      <c r="L282" s="725"/>
    </row>
    <row r="283" spans="1:12" ht="20.25" customHeight="1" outlineLevel="1" x14ac:dyDescent="0.2">
      <c r="A283" s="1236" t="s">
        <v>2325</v>
      </c>
      <c r="B283" s="1487" t="str">
        <f>COMPOSIÇÕES!A320</f>
        <v>COMPOSIÇÃO 31</v>
      </c>
      <c r="C283" s="1488"/>
      <c r="D283" s="539" t="str">
        <f>COMPOSIÇÕES!C319</f>
        <v>BLOCO BLI 10P P/ TELEFONIA. FORNECIMENTO E INSTALAÇÃO.</v>
      </c>
      <c r="E283" s="38" t="s">
        <v>219</v>
      </c>
      <c r="F283" s="132">
        <f>'12.ELE.'!D445</f>
        <v>1</v>
      </c>
      <c r="G283" s="66">
        <f>COMPOSIÇÕES!M325</f>
        <v>50.44</v>
      </c>
      <c r="H283" s="194">
        <f t="shared" si="89"/>
        <v>64.98</v>
      </c>
      <c r="I283" s="194">
        <f t="shared" si="90"/>
        <v>64.98</v>
      </c>
      <c r="L283" s="725"/>
    </row>
    <row r="284" spans="1:12" ht="20.25" customHeight="1" outlineLevel="1" x14ac:dyDescent="0.2">
      <c r="A284" s="1236" t="s">
        <v>2326</v>
      </c>
      <c r="B284" s="1270" t="s">
        <v>182</v>
      </c>
      <c r="C284" s="363" t="s">
        <v>2250</v>
      </c>
      <c r="D284" s="2" t="s">
        <v>2251</v>
      </c>
      <c r="E284" s="38" t="s">
        <v>219</v>
      </c>
      <c r="F284" s="132">
        <f>'12.ELE.'!D449</f>
        <v>1</v>
      </c>
      <c r="G284" s="66">
        <v>583.54</v>
      </c>
      <c r="H284" s="194">
        <f t="shared" si="89"/>
        <v>751.72</v>
      </c>
      <c r="I284" s="194">
        <f t="shared" si="90"/>
        <v>751.72</v>
      </c>
      <c r="L284" s="725"/>
    </row>
    <row r="285" spans="1:12" ht="20.25" customHeight="1" outlineLevel="1" x14ac:dyDescent="0.2">
      <c r="A285" s="1236" t="s">
        <v>2327</v>
      </c>
      <c r="B285" s="1487" t="str">
        <f>COMPOSIÇÕES!A329</f>
        <v>COMPOSIÇÃO 32</v>
      </c>
      <c r="C285" s="1488"/>
      <c r="D285" s="539" t="str">
        <f>COMPOSIÇÕES!C328</f>
        <v>DISTRIBUIDOR INTERNO ÓPTICO (DIO). FORNECIMENTO E INSTALAÇÃO.</v>
      </c>
      <c r="E285" s="38" t="s">
        <v>219</v>
      </c>
      <c r="F285" s="132">
        <f>'12.ELE.'!D453</f>
        <v>1</v>
      </c>
      <c r="G285" s="66">
        <f>COMPOSIÇÕES!M334</f>
        <v>785.7</v>
      </c>
      <c r="H285" s="194">
        <f t="shared" si="89"/>
        <v>1012.14</v>
      </c>
      <c r="I285" s="194">
        <f t="shared" si="90"/>
        <v>1012.14</v>
      </c>
      <c r="L285" s="725"/>
    </row>
    <row r="286" spans="1:12" ht="20.25" customHeight="1" outlineLevel="1" x14ac:dyDescent="0.2">
      <c r="A286" s="1236" t="s">
        <v>2328</v>
      </c>
      <c r="B286" s="1270" t="s">
        <v>182</v>
      </c>
      <c r="C286" s="360">
        <v>171192</v>
      </c>
      <c r="D286" s="1237" t="s">
        <v>2260</v>
      </c>
      <c r="E286" s="38" t="s">
        <v>219</v>
      </c>
      <c r="F286" s="132">
        <f>'12.ELE.'!D457</f>
        <v>2</v>
      </c>
      <c r="G286" s="66">
        <v>1177.48</v>
      </c>
      <c r="H286" s="194">
        <f t="shared" si="87"/>
        <v>1516.83</v>
      </c>
      <c r="I286" s="194">
        <f t="shared" si="88"/>
        <v>3033.66</v>
      </c>
      <c r="L286" s="725"/>
    </row>
    <row r="287" spans="1:12" ht="20.25" customHeight="1" outlineLevel="1" x14ac:dyDescent="0.2">
      <c r="A287" s="1236" t="s">
        <v>2329</v>
      </c>
      <c r="B287" s="1270" t="s">
        <v>182</v>
      </c>
      <c r="C287" s="363" t="s">
        <v>2257</v>
      </c>
      <c r="D287" s="2" t="s">
        <v>2261</v>
      </c>
      <c r="E287" s="38" t="s">
        <v>219</v>
      </c>
      <c r="F287" s="132">
        <f>'12.ELE.'!D461</f>
        <v>1</v>
      </c>
      <c r="G287" s="66">
        <v>66.28</v>
      </c>
      <c r="H287" s="194">
        <f t="shared" si="87"/>
        <v>85.38</v>
      </c>
      <c r="I287" s="194">
        <f t="shared" si="88"/>
        <v>85.38</v>
      </c>
      <c r="L287" s="725"/>
    </row>
    <row r="288" spans="1:12" ht="20.25" customHeight="1" outlineLevel="1" x14ac:dyDescent="0.2">
      <c r="A288" s="1236" t="s">
        <v>2330</v>
      </c>
      <c r="B288" s="1270" t="s">
        <v>182</v>
      </c>
      <c r="C288" s="363" t="s">
        <v>2258</v>
      </c>
      <c r="D288" s="2" t="s">
        <v>2262</v>
      </c>
      <c r="E288" s="38" t="s">
        <v>219</v>
      </c>
      <c r="F288" s="132">
        <f>'12.ELE.'!D465</f>
        <v>64</v>
      </c>
      <c r="G288" s="66">
        <v>55.05</v>
      </c>
      <c r="H288" s="194">
        <f t="shared" ref="H288:H289" si="91">ROUND((G288*$K$10),2)</f>
        <v>70.92</v>
      </c>
      <c r="I288" s="194">
        <f t="shared" ref="I288:I289" si="92">ROUND(((F288*H288)),2)</f>
        <v>4538.88</v>
      </c>
      <c r="L288" s="725"/>
    </row>
    <row r="289" spans="1:15" ht="20.25" customHeight="1" outlineLevel="1" thickBot="1" x14ac:dyDescent="0.25">
      <c r="A289" s="1236" t="s">
        <v>2331</v>
      </c>
      <c r="B289" s="1270" t="s">
        <v>182</v>
      </c>
      <c r="C289" s="363" t="s">
        <v>2259</v>
      </c>
      <c r="D289" s="2" t="s">
        <v>2263</v>
      </c>
      <c r="E289" s="38" t="s">
        <v>219</v>
      </c>
      <c r="F289" s="132">
        <f>'12.ELE.'!D469</f>
        <v>32</v>
      </c>
      <c r="G289" s="66">
        <v>53.66</v>
      </c>
      <c r="H289" s="194">
        <f t="shared" si="91"/>
        <v>69.12</v>
      </c>
      <c r="I289" s="194">
        <f t="shared" si="92"/>
        <v>2211.84</v>
      </c>
      <c r="L289" s="725"/>
    </row>
    <row r="290" spans="1:15" ht="19.5" customHeight="1" outlineLevel="1" thickBot="1" x14ac:dyDescent="0.25">
      <c r="A290" s="524" t="s">
        <v>2332</v>
      </c>
      <c r="B290" s="525"/>
      <c r="C290" s="525"/>
      <c r="D290" s="526" t="s">
        <v>2167</v>
      </c>
      <c r="E290" s="526"/>
      <c r="F290" s="526"/>
      <c r="G290" s="526"/>
      <c r="H290" s="526"/>
      <c r="I290" s="527"/>
      <c r="L290" s="725"/>
    </row>
    <row r="291" spans="1:15" ht="33" customHeight="1" outlineLevel="1" x14ac:dyDescent="0.2">
      <c r="A291" s="1236" t="s">
        <v>2333</v>
      </c>
      <c r="B291" s="1236" t="s">
        <v>183</v>
      </c>
      <c r="C291" s="361">
        <v>96989</v>
      </c>
      <c r="D291" s="666" t="s">
        <v>393</v>
      </c>
      <c r="E291" s="1124" t="s">
        <v>219</v>
      </c>
      <c r="F291" s="131">
        <f>'12.ELE.'!D475</f>
        <v>1</v>
      </c>
      <c r="G291" s="362">
        <v>137.69999999999999</v>
      </c>
      <c r="H291" s="194">
        <f t="shared" ref="H291:H298" si="93">ROUND((G291*$K$10),2)</f>
        <v>177.38</v>
      </c>
      <c r="I291" s="194">
        <f t="shared" ref="I291:I298" si="94">ROUND(((F291*H291)),2)</f>
        <v>177.38</v>
      </c>
      <c r="L291" s="725"/>
    </row>
    <row r="292" spans="1:15" ht="19.5" customHeight="1" outlineLevel="1" x14ac:dyDescent="0.2">
      <c r="A292" s="1236" t="s">
        <v>2334</v>
      </c>
      <c r="B292" s="1270" t="s">
        <v>182</v>
      </c>
      <c r="C292" s="363">
        <v>170380</v>
      </c>
      <c r="D292" s="2" t="s">
        <v>2177</v>
      </c>
      <c r="E292" s="1124" t="s">
        <v>219</v>
      </c>
      <c r="F292" s="132">
        <f>'12.ELE.'!D479</f>
        <v>1</v>
      </c>
      <c r="G292" s="364">
        <v>987.59</v>
      </c>
      <c r="H292" s="194">
        <f t="shared" si="93"/>
        <v>1272.21</v>
      </c>
      <c r="I292" s="194">
        <f t="shared" si="94"/>
        <v>1272.21</v>
      </c>
      <c r="L292" s="725"/>
    </row>
    <row r="293" spans="1:15" ht="32.25" customHeight="1" outlineLevel="1" x14ac:dyDescent="0.2">
      <c r="A293" s="1236" t="s">
        <v>2335</v>
      </c>
      <c r="B293" s="1270" t="s">
        <v>183</v>
      </c>
      <c r="C293" s="363">
        <v>98463</v>
      </c>
      <c r="D293" s="2" t="s">
        <v>394</v>
      </c>
      <c r="E293" s="1124" t="s">
        <v>219</v>
      </c>
      <c r="F293" s="132">
        <f>'12.ELE.'!D483</f>
        <v>50</v>
      </c>
      <c r="G293" s="364">
        <v>20.53</v>
      </c>
      <c r="H293" s="194">
        <f t="shared" si="93"/>
        <v>26.45</v>
      </c>
      <c r="I293" s="194">
        <f t="shared" si="94"/>
        <v>1322.5</v>
      </c>
      <c r="L293" s="725"/>
    </row>
    <row r="294" spans="1:15" ht="33.75" customHeight="1" outlineLevel="1" x14ac:dyDescent="0.2">
      <c r="A294" s="1236" t="s">
        <v>2336</v>
      </c>
      <c r="B294" s="1487" t="str">
        <f>COMPOSIÇÕES!A338</f>
        <v>COMPOSIÇÃO 33</v>
      </c>
      <c r="C294" s="1488"/>
      <c r="D294" s="2" t="str">
        <f>COMPOSIÇÕES!C337</f>
        <v>SUPORTE GUIA SIMPLES, H=20CM, PARA TELHA ONDULADA. FORNECIMENTO E INSTALAÇÃO.</v>
      </c>
      <c r="E294" s="1124" t="s">
        <v>219</v>
      </c>
      <c r="F294" s="132">
        <f>'12.ELE.'!D487</f>
        <v>35</v>
      </c>
      <c r="G294" s="364">
        <f>COMPOSIÇÕES!M345</f>
        <v>31.87</v>
      </c>
      <c r="H294" s="194">
        <f>ROUND((G294*$K$10),2)</f>
        <v>41.05</v>
      </c>
      <c r="I294" s="194">
        <f>ROUND(((F294*H294)),2)</f>
        <v>1436.75</v>
      </c>
      <c r="L294" s="725"/>
    </row>
    <row r="295" spans="1:15" ht="33.75" customHeight="1" outlineLevel="1" x14ac:dyDescent="0.2">
      <c r="A295" s="1236" t="s">
        <v>2337</v>
      </c>
      <c r="B295" s="1270" t="s">
        <v>183</v>
      </c>
      <c r="C295" s="363">
        <v>96985</v>
      </c>
      <c r="D295" s="2" t="s">
        <v>351</v>
      </c>
      <c r="E295" s="1124" t="s">
        <v>219</v>
      </c>
      <c r="F295" s="132">
        <f>'12.ELE.'!D491</f>
        <v>16</v>
      </c>
      <c r="G295" s="364">
        <v>98.31</v>
      </c>
      <c r="H295" s="194">
        <f t="shared" si="93"/>
        <v>126.64</v>
      </c>
      <c r="I295" s="194">
        <f t="shared" si="94"/>
        <v>2026.24</v>
      </c>
      <c r="L295" s="725"/>
    </row>
    <row r="296" spans="1:15" ht="35.25" customHeight="1" outlineLevel="1" x14ac:dyDescent="0.2">
      <c r="A296" s="1236" t="s">
        <v>2338</v>
      </c>
      <c r="B296" s="1270" t="s">
        <v>183</v>
      </c>
      <c r="C296" s="363">
        <v>98111</v>
      </c>
      <c r="D296" s="2" t="s">
        <v>350</v>
      </c>
      <c r="E296" s="1124" t="s">
        <v>219</v>
      </c>
      <c r="F296" s="132">
        <f>'12.ELE.'!D496</f>
        <v>16</v>
      </c>
      <c r="G296" s="364">
        <v>51.54</v>
      </c>
      <c r="H296" s="194">
        <f t="shared" si="93"/>
        <v>66.39</v>
      </c>
      <c r="I296" s="194">
        <f t="shared" si="94"/>
        <v>1062.24</v>
      </c>
      <c r="L296" s="725"/>
    </row>
    <row r="297" spans="1:15" ht="15.75" customHeight="1" outlineLevel="1" x14ac:dyDescent="0.2">
      <c r="A297" s="1236" t="s">
        <v>2339</v>
      </c>
      <c r="B297" s="1270" t="s">
        <v>182</v>
      </c>
      <c r="C297" s="363">
        <v>171272</v>
      </c>
      <c r="D297" s="2" t="s">
        <v>2178</v>
      </c>
      <c r="E297" s="1270" t="s">
        <v>218</v>
      </c>
      <c r="F297" s="132">
        <f>'12.ELE.'!D500</f>
        <v>300</v>
      </c>
      <c r="G297" s="364">
        <v>38.22</v>
      </c>
      <c r="H297" s="194">
        <f t="shared" si="93"/>
        <v>49.23</v>
      </c>
      <c r="I297" s="194">
        <f t="shared" si="94"/>
        <v>14769</v>
      </c>
      <c r="L297" s="725"/>
    </row>
    <row r="298" spans="1:15" ht="15.75" customHeight="1" outlineLevel="1" x14ac:dyDescent="0.2">
      <c r="A298" s="1236" t="s">
        <v>2340</v>
      </c>
      <c r="B298" s="1270" t="s">
        <v>182</v>
      </c>
      <c r="C298" s="363">
        <v>171273</v>
      </c>
      <c r="D298" s="2" t="s">
        <v>2179</v>
      </c>
      <c r="E298" s="1270" t="s">
        <v>218</v>
      </c>
      <c r="F298" s="132">
        <f>'12.ELE.'!D504</f>
        <v>120</v>
      </c>
      <c r="G298" s="364">
        <v>61.35</v>
      </c>
      <c r="H298" s="194">
        <f t="shared" si="93"/>
        <v>79.03</v>
      </c>
      <c r="I298" s="194">
        <f t="shared" si="94"/>
        <v>9483.6</v>
      </c>
      <c r="L298" s="725"/>
    </row>
    <row r="299" spans="1:15" ht="48.75" customHeight="1" outlineLevel="1" x14ac:dyDescent="0.2">
      <c r="A299" s="1236" t="s">
        <v>2341</v>
      </c>
      <c r="B299" s="1270" t="s">
        <v>183</v>
      </c>
      <c r="C299" s="1270" t="s">
        <v>2182</v>
      </c>
      <c r="D299" s="2" t="s">
        <v>2183</v>
      </c>
      <c r="E299" s="1124" t="s">
        <v>219</v>
      </c>
      <c r="F299" s="132">
        <f>'12.ELE.'!D508</f>
        <v>70</v>
      </c>
      <c r="G299" s="364">
        <v>21.92</v>
      </c>
      <c r="H299" s="194">
        <f t="shared" ref="H299:H300" si="95">ROUND((G299*$K$10),2)</f>
        <v>28.24</v>
      </c>
      <c r="I299" s="194">
        <f t="shared" ref="I299:I300" si="96">ROUND(((F299*H299)),2)</f>
        <v>1976.8</v>
      </c>
      <c r="L299" s="725"/>
    </row>
    <row r="300" spans="1:15" ht="21.75" customHeight="1" outlineLevel="1" x14ac:dyDescent="0.2">
      <c r="A300" s="1236" t="s">
        <v>2342</v>
      </c>
      <c r="B300" s="1270" t="s">
        <v>182</v>
      </c>
      <c r="C300" s="363" t="s">
        <v>2184</v>
      </c>
      <c r="D300" s="2" t="s">
        <v>2186</v>
      </c>
      <c r="E300" s="38" t="s">
        <v>2185</v>
      </c>
      <c r="F300" s="132">
        <f>'12.ELE.'!D512</f>
        <v>28</v>
      </c>
      <c r="G300" s="364">
        <v>36.369999999999997</v>
      </c>
      <c r="H300" s="194">
        <f t="shared" si="95"/>
        <v>46.85</v>
      </c>
      <c r="I300" s="194">
        <f t="shared" si="96"/>
        <v>1311.8</v>
      </c>
      <c r="L300" s="725"/>
    </row>
    <row r="301" spans="1:15" ht="12.75" customHeight="1" thickBot="1" x14ac:dyDescent="0.25">
      <c r="A301" s="1495" t="s">
        <v>855</v>
      </c>
      <c r="B301" s="1495"/>
      <c r="C301" s="1495"/>
      <c r="D301" s="1495"/>
      <c r="E301" s="1495"/>
      <c r="F301" s="1495"/>
      <c r="G301" s="1495"/>
      <c r="H301" s="675"/>
      <c r="I301" s="1214">
        <f>ROUND(SUM(I174:I300),2)</f>
        <v>163177.51999999999</v>
      </c>
      <c r="L301" s="725"/>
    </row>
    <row r="302" spans="1:15" ht="19.5" customHeight="1" thickBot="1" x14ac:dyDescent="0.25">
      <c r="A302" s="1263">
        <v>13</v>
      </c>
      <c r="B302" s="1264"/>
      <c r="C302" s="1264"/>
      <c r="D302" s="154" t="s">
        <v>179</v>
      </c>
      <c r="E302" s="154"/>
      <c r="F302" s="154"/>
      <c r="G302" s="154"/>
      <c r="H302" s="154"/>
      <c r="I302" s="155"/>
      <c r="J302" s="724">
        <f>I402/$I$604</f>
        <v>6.5425133021543611E-2</v>
      </c>
      <c r="L302" s="725"/>
      <c r="O302" s="69">
        <v>96.105282562831903</v>
      </c>
    </row>
    <row r="303" spans="1:15" ht="21.75" customHeight="1" outlineLevel="1" thickBot="1" x14ac:dyDescent="0.25">
      <c r="A303" s="647" t="s">
        <v>233</v>
      </c>
      <c r="B303" s="648"/>
      <c r="C303" s="648"/>
      <c r="D303" s="649" t="s">
        <v>1749</v>
      </c>
      <c r="E303" s="649"/>
      <c r="F303" s="649"/>
      <c r="G303" s="649"/>
      <c r="H303" s="649"/>
      <c r="I303" s="650"/>
      <c r="J303" s="727"/>
      <c r="L303" s="725"/>
    </row>
    <row r="304" spans="1:15" ht="32.25" customHeight="1" outlineLevel="1" x14ac:dyDescent="0.2">
      <c r="A304" s="1259" t="s">
        <v>261</v>
      </c>
      <c r="B304" s="1260" t="s">
        <v>183</v>
      </c>
      <c r="C304" s="1259">
        <v>89512</v>
      </c>
      <c r="D304" s="1271" t="s">
        <v>357</v>
      </c>
      <c r="E304" s="38" t="s">
        <v>218</v>
      </c>
      <c r="F304" s="132">
        <f>'13.HIDRO'!C15</f>
        <v>30.23</v>
      </c>
      <c r="G304" s="66">
        <v>65.06</v>
      </c>
      <c r="H304" s="194">
        <f>ROUND((G304*$K$10),2)</f>
        <v>83.81</v>
      </c>
      <c r="I304" s="194">
        <f>ROUND(((F304*H304)),2)</f>
        <v>2533.58</v>
      </c>
      <c r="L304" s="725">
        <f>I304/$I$604</f>
        <v>1.9304630533648857E-3</v>
      </c>
    </row>
    <row r="305" spans="1:12" ht="46.5" customHeight="1" outlineLevel="1" x14ac:dyDescent="0.2">
      <c r="A305" s="1259" t="s">
        <v>262</v>
      </c>
      <c r="B305" s="1260" t="s">
        <v>183</v>
      </c>
      <c r="C305" s="1259" t="s">
        <v>1751</v>
      </c>
      <c r="D305" s="1271" t="s">
        <v>1752</v>
      </c>
      <c r="E305" s="38" t="s">
        <v>219</v>
      </c>
      <c r="F305" s="132">
        <f>'13.HIDRO'!C19</f>
        <v>19</v>
      </c>
      <c r="G305" s="130">
        <v>70.34</v>
      </c>
      <c r="H305" s="194">
        <f t="shared" ref="H305:H311" si="97">ROUND((G305*$K$10),2)</f>
        <v>90.61</v>
      </c>
      <c r="I305" s="194">
        <f t="shared" ref="I305:I311" si="98">ROUND(((F305*H305)),2)</f>
        <v>1721.59</v>
      </c>
      <c r="L305" s="725"/>
    </row>
    <row r="306" spans="1:12" ht="21" customHeight="1" outlineLevel="1" x14ac:dyDescent="0.2">
      <c r="A306" s="1259" t="s">
        <v>356</v>
      </c>
      <c r="B306" s="1485" t="str">
        <f>COMPOSIÇÕES!A349</f>
        <v>COMPOSIÇÃO 34</v>
      </c>
      <c r="C306" s="1486"/>
      <c r="D306" s="1271" t="str">
        <f>COMPOSIÇÕES!C348</f>
        <v>TÊ 90° EM PVC, DN 100MM. FORNECIMENTO E INSTALAÇÃO.</v>
      </c>
      <c r="E306" s="38" t="s">
        <v>219</v>
      </c>
      <c r="F306" s="132">
        <f>'13.HIDRO'!C23</f>
        <v>1</v>
      </c>
      <c r="G306" s="130">
        <f>COMPOSIÇÕES!M357</f>
        <v>181.51</v>
      </c>
      <c r="H306" s="194">
        <f t="shared" si="97"/>
        <v>233.82</v>
      </c>
      <c r="I306" s="194">
        <f t="shared" si="98"/>
        <v>233.82</v>
      </c>
      <c r="L306" s="725">
        <f>I306/$I$604</f>
        <v>1.7815931256868841E-4</v>
      </c>
    </row>
    <row r="307" spans="1:12" ht="48" customHeight="1" outlineLevel="1" x14ac:dyDescent="0.2">
      <c r="A307" s="1259" t="s">
        <v>358</v>
      </c>
      <c r="B307" s="1260" t="s">
        <v>183</v>
      </c>
      <c r="C307" s="1259" t="s">
        <v>1756</v>
      </c>
      <c r="D307" s="1271" t="s">
        <v>1757</v>
      </c>
      <c r="E307" s="38" t="s">
        <v>218</v>
      </c>
      <c r="F307" s="132">
        <f>'13.HIDRO'!C27</f>
        <v>30.23</v>
      </c>
      <c r="G307" s="66">
        <v>5.62</v>
      </c>
      <c r="H307" s="194">
        <f t="shared" si="97"/>
        <v>7.24</v>
      </c>
      <c r="I307" s="194">
        <f t="shared" si="98"/>
        <v>218.87</v>
      </c>
      <c r="L307" s="725"/>
    </row>
    <row r="308" spans="1:12" ht="45" customHeight="1" outlineLevel="1" x14ac:dyDescent="0.2">
      <c r="A308" s="1259" t="s">
        <v>370</v>
      </c>
      <c r="B308" s="1029" t="s">
        <v>183</v>
      </c>
      <c r="C308" s="1029" t="s">
        <v>1275</v>
      </c>
      <c r="D308" s="666" t="s">
        <v>1276</v>
      </c>
      <c r="E308" s="38" t="s">
        <v>218</v>
      </c>
      <c r="F308" s="132">
        <f>'13.HIDRO'!C37</f>
        <v>62.05</v>
      </c>
      <c r="G308" s="66">
        <v>63.07</v>
      </c>
      <c r="H308" s="194">
        <f t="shared" si="97"/>
        <v>81.25</v>
      </c>
      <c r="I308" s="194">
        <f t="shared" si="98"/>
        <v>5041.5600000000004</v>
      </c>
      <c r="L308" s="725"/>
    </row>
    <row r="309" spans="1:12" ht="32.25" customHeight="1" outlineLevel="1" x14ac:dyDescent="0.2">
      <c r="A309" s="1259" t="s">
        <v>1753</v>
      </c>
      <c r="B309" s="1029" t="s">
        <v>183</v>
      </c>
      <c r="C309" s="1029" t="s">
        <v>870</v>
      </c>
      <c r="D309" s="666" t="s">
        <v>871</v>
      </c>
      <c r="E309" s="38" t="s">
        <v>218</v>
      </c>
      <c r="F309" s="132">
        <f>'13.HIDRO'!C54</f>
        <v>63.1</v>
      </c>
      <c r="G309" s="66">
        <v>51.08</v>
      </c>
      <c r="H309" s="194">
        <f t="shared" si="97"/>
        <v>65.8</v>
      </c>
      <c r="I309" s="194">
        <f t="shared" si="98"/>
        <v>4151.9799999999996</v>
      </c>
      <c r="L309" s="725"/>
    </row>
    <row r="310" spans="1:12" ht="39.75" customHeight="1" outlineLevel="1" x14ac:dyDescent="0.2">
      <c r="A310" s="1259" t="s">
        <v>1754</v>
      </c>
      <c r="B310" s="1259" t="s">
        <v>183</v>
      </c>
      <c r="C310" s="1259" t="s">
        <v>2610</v>
      </c>
      <c r="D310" s="1279" t="s">
        <v>2611</v>
      </c>
      <c r="E310" s="38" t="s">
        <v>219</v>
      </c>
      <c r="F310" s="132">
        <f>'13.HIDRO'!C58</f>
        <v>4</v>
      </c>
      <c r="G310" s="66">
        <v>120.49</v>
      </c>
      <c r="H310" s="194">
        <f t="shared" si="97"/>
        <v>155.22</v>
      </c>
      <c r="I310" s="194">
        <f t="shared" si="98"/>
        <v>620.88</v>
      </c>
      <c r="L310" s="725"/>
    </row>
    <row r="311" spans="1:12" ht="36.75" customHeight="1" outlineLevel="1" thickBot="1" x14ac:dyDescent="0.25">
      <c r="A311" s="1259" t="s">
        <v>1755</v>
      </c>
      <c r="B311" s="1504" t="str">
        <f>COMPOSIÇÕES!G361</f>
        <v>COMPOSIÇÃO 35</v>
      </c>
      <c r="C311" s="1504"/>
      <c r="D311" s="323" t="str">
        <f>COMPOSIÇÕES!C360</f>
        <v>FORNECIMENTO DE RALO FOFO SEMIESFÉRICO, DN 100MM, PARA LAJES/CALHAS</v>
      </c>
      <c r="E311" s="38" t="s">
        <v>219</v>
      </c>
      <c r="F311" s="132">
        <f>'13.HIDRO'!C62</f>
        <v>6</v>
      </c>
      <c r="G311" s="66">
        <f>COMPOSIÇÕES!M369</f>
        <v>29.08</v>
      </c>
      <c r="H311" s="194">
        <f t="shared" si="97"/>
        <v>37.46</v>
      </c>
      <c r="I311" s="194">
        <f t="shared" si="98"/>
        <v>224.76</v>
      </c>
      <c r="L311" s="725"/>
    </row>
    <row r="312" spans="1:12" ht="18" customHeight="1" outlineLevel="1" thickBot="1" x14ac:dyDescent="0.25">
      <c r="A312" s="524" t="s">
        <v>263</v>
      </c>
      <c r="B312" s="525"/>
      <c r="C312" s="525"/>
      <c r="D312" s="526" t="s">
        <v>1750</v>
      </c>
      <c r="E312" s="526"/>
      <c r="F312" s="526"/>
      <c r="G312" s="526"/>
      <c r="H312" s="526"/>
      <c r="I312" s="527"/>
      <c r="L312" s="725"/>
    </row>
    <row r="313" spans="1:12" ht="33" customHeight="1" outlineLevel="1" x14ac:dyDescent="0.2">
      <c r="A313" s="1259" t="s">
        <v>264</v>
      </c>
      <c r="B313" s="1266" t="s">
        <v>183</v>
      </c>
      <c r="C313" s="1259" t="s">
        <v>1777</v>
      </c>
      <c r="D313" s="2" t="s">
        <v>1778</v>
      </c>
      <c r="E313" s="38" t="s">
        <v>218</v>
      </c>
      <c r="F313" s="132">
        <f>'13.HIDRO'!C68</f>
        <v>41.8</v>
      </c>
      <c r="G313" s="66">
        <v>7.74</v>
      </c>
      <c r="H313" s="194">
        <f t="shared" ref="H313:H329" si="99">ROUND((G313*$K$10),2)</f>
        <v>9.9700000000000006</v>
      </c>
      <c r="I313" s="194">
        <f t="shared" ref="I313:I329" si="100">ROUND(((F313*H313)),2)</f>
        <v>416.75</v>
      </c>
      <c r="L313" s="725">
        <f t="shared" ref="L313:L329" si="101">I313/$I$604</f>
        <v>3.1754295403729749E-4</v>
      </c>
    </row>
    <row r="314" spans="1:12" ht="33" customHeight="1" outlineLevel="1" x14ac:dyDescent="0.2">
      <c r="A314" s="1259" t="s">
        <v>265</v>
      </c>
      <c r="B314" s="1266" t="s">
        <v>183</v>
      </c>
      <c r="C314" s="1259" t="s">
        <v>1779</v>
      </c>
      <c r="D314" s="2" t="s">
        <v>1780</v>
      </c>
      <c r="E314" s="38" t="s">
        <v>218</v>
      </c>
      <c r="F314" s="132">
        <f>'13.HIDRO'!C72</f>
        <v>77.400000000000006</v>
      </c>
      <c r="G314" s="66">
        <v>9.49</v>
      </c>
      <c r="H314" s="194">
        <f t="shared" si="99"/>
        <v>12.23</v>
      </c>
      <c r="I314" s="194">
        <f t="shared" si="100"/>
        <v>946.6</v>
      </c>
      <c r="L314" s="725">
        <f t="shared" si="101"/>
        <v>7.2126253219365521E-4</v>
      </c>
    </row>
    <row r="315" spans="1:12" ht="33" customHeight="1" outlineLevel="1" x14ac:dyDescent="0.2">
      <c r="A315" s="1259" t="s">
        <v>266</v>
      </c>
      <c r="B315" s="1266" t="s">
        <v>183</v>
      </c>
      <c r="C315" s="1259" t="s">
        <v>1693</v>
      </c>
      <c r="D315" s="2" t="s">
        <v>1694</v>
      </c>
      <c r="E315" s="38" t="s">
        <v>218</v>
      </c>
      <c r="F315" s="132">
        <f>'13.HIDRO'!C76</f>
        <v>51.3</v>
      </c>
      <c r="G315" s="66">
        <v>16.78</v>
      </c>
      <c r="H315" s="194">
        <f t="shared" si="99"/>
        <v>21.62</v>
      </c>
      <c r="I315" s="194">
        <f t="shared" si="100"/>
        <v>1109.1099999999999</v>
      </c>
      <c r="L315" s="725">
        <f t="shared" si="101"/>
        <v>8.4508714037746129E-4</v>
      </c>
    </row>
    <row r="316" spans="1:12" ht="19.5" customHeight="1" outlineLevel="1" x14ac:dyDescent="0.2">
      <c r="A316" s="1259" t="s">
        <v>267</v>
      </c>
      <c r="B316" s="1266" t="s">
        <v>182</v>
      </c>
      <c r="C316" s="1259" t="s">
        <v>1781</v>
      </c>
      <c r="D316" s="2" t="s">
        <v>1788</v>
      </c>
      <c r="E316" s="38" t="s">
        <v>219</v>
      </c>
      <c r="F316" s="132">
        <f>'13.HIDRO'!C80</f>
        <v>25</v>
      </c>
      <c r="G316" s="66">
        <v>13.41</v>
      </c>
      <c r="H316" s="194">
        <f t="shared" si="99"/>
        <v>17.27</v>
      </c>
      <c r="I316" s="194">
        <f t="shared" si="100"/>
        <v>431.75</v>
      </c>
      <c r="L316" s="725">
        <f t="shared" si="101"/>
        <v>3.2897221453054152E-4</v>
      </c>
    </row>
    <row r="317" spans="1:12" ht="34.5" customHeight="1" outlineLevel="1" x14ac:dyDescent="0.2">
      <c r="A317" s="1259" t="s">
        <v>1764</v>
      </c>
      <c r="B317" s="1266" t="s">
        <v>183</v>
      </c>
      <c r="C317" s="1259" t="s">
        <v>1782</v>
      </c>
      <c r="D317" s="2" t="s">
        <v>1783</v>
      </c>
      <c r="E317" s="38" t="s">
        <v>219</v>
      </c>
      <c r="F317" s="132">
        <f>'13.HIDRO'!C84</f>
        <v>12</v>
      </c>
      <c r="G317" s="66">
        <v>4.4000000000000004</v>
      </c>
      <c r="H317" s="194">
        <f t="shared" si="99"/>
        <v>5.67</v>
      </c>
      <c r="I317" s="194">
        <f t="shared" si="100"/>
        <v>68.040000000000006</v>
      </c>
      <c r="L317" s="725">
        <f t="shared" si="101"/>
        <v>5.1843125597355065E-5</v>
      </c>
    </row>
    <row r="318" spans="1:12" ht="34.5" customHeight="1" outlineLevel="1" x14ac:dyDescent="0.2">
      <c r="A318" s="1259" t="s">
        <v>1765</v>
      </c>
      <c r="B318" s="1266" t="s">
        <v>183</v>
      </c>
      <c r="C318" s="1259" t="s">
        <v>1784</v>
      </c>
      <c r="D318" s="2" t="s">
        <v>1785</v>
      </c>
      <c r="E318" s="38" t="s">
        <v>219</v>
      </c>
      <c r="F318" s="132">
        <f>'13.HIDRO'!C88</f>
        <v>11</v>
      </c>
      <c r="G318" s="66">
        <v>5.36</v>
      </c>
      <c r="H318" s="194">
        <f t="shared" si="99"/>
        <v>6.9</v>
      </c>
      <c r="I318" s="194">
        <f t="shared" si="100"/>
        <v>75.900000000000006</v>
      </c>
      <c r="L318" s="725">
        <f t="shared" si="101"/>
        <v>5.7832058095814947E-5</v>
      </c>
    </row>
    <row r="319" spans="1:12" ht="32.25" customHeight="1" outlineLevel="1" x14ac:dyDescent="0.2">
      <c r="A319" s="1259" t="s">
        <v>1766</v>
      </c>
      <c r="B319" s="1266" t="s">
        <v>183</v>
      </c>
      <c r="C319" s="1259" t="s">
        <v>1786</v>
      </c>
      <c r="D319" s="2" t="s">
        <v>1787</v>
      </c>
      <c r="E319" s="38" t="s">
        <v>219</v>
      </c>
      <c r="F319" s="132">
        <f>'13.HIDRO'!C92</f>
        <v>14</v>
      </c>
      <c r="G319" s="66">
        <v>8.26</v>
      </c>
      <c r="H319" s="194">
        <f t="shared" si="99"/>
        <v>10.64</v>
      </c>
      <c r="I319" s="194">
        <f t="shared" si="100"/>
        <v>148.96</v>
      </c>
      <c r="L319" s="725">
        <f t="shared" si="101"/>
        <v>1.1350017620490902E-4</v>
      </c>
    </row>
    <row r="320" spans="1:12" ht="19.5" customHeight="1" outlineLevel="1" x14ac:dyDescent="0.2">
      <c r="A320" s="1259" t="s">
        <v>1767</v>
      </c>
      <c r="B320" s="1266" t="s">
        <v>182</v>
      </c>
      <c r="C320" s="1259" t="s">
        <v>1789</v>
      </c>
      <c r="D320" s="2" t="s">
        <v>1792</v>
      </c>
      <c r="E320" s="38" t="s">
        <v>219</v>
      </c>
      <c r="F320" s="132">
        <f>'13.HIDRO'!C96</f>
        <v>1</v>
      </c>
      <c r="G320" s="66">
        <v>12.7</v>
      </c>
      <c r="H320" s="194">
        <f t="shared" si="99"/>
        <v>16.36</v>
      </c>
      <c r="I320" s="194">
        <f t="shared" si="100"/>
        <v>16.36</v>
      </c>
      <c r="L320" s="725">
        <f t="shared" si="101"/>
        <v>1.2465513444631521E-5</v>
      </c>
    </row>
    <row r="321" spans="1:12" ht="36" customHeight="1" outlineLevel="1" x14ac:dyDescent="0.2">
      <c r="A321" s="1259" t="s">
        <v>1768</v>
      </c>
      <c r="B321" s="1266" t="s">
        <v>183</v>
      </c>
      <c r="C321" s="1259" t="s">
        <v>1790</v>
      </c>
      <c r="D321" s="2" t="s">
        <v>1791</v>
      </c>
      <c r="E321" s="38" t="s">
        <v>219</v>
      </c>
      <c r="F321" s="132">
        <f>'13.HIDRO'!C100</f>
        <v>3</v>
      </c>
      <c r="G321" s="66">
        <v>36.25</v>
      </c>
      <c r="H321" s="194">
        <f t="shared" si="99"/>
        <v>46.7</v>
      </c>
      <c r="I321" s="194">
        <f t="shared" si="100"/>
        <v>140.1</v>
      </c>
      <c r="L321" s="725">
        <f t="shared" si="101"/>
        <v>1.0674929300689952E-4</v>
      </c>
    </row>
    <row r="322" spans="1:12" ht="48" customHeight="1" outlineLevel="1" x14ac:dyDescent="0.2">
      <c r="A322" s="1259" t="s">
        <v>1769</v>
      </c>
      <c r="B322" s="1266" t="s">
        <v>183</v>
      </c>
      <c r="C322" s="1259" t="s">
        <v>1793</v>
      </c>
      <c r="D322" s="2" t="s">
        <v>1794</v>
      </c>
      <c r="E322" s="38" t="s">
        <v>219</v>
      </c>
      <c r="F322" s="132">
        <f>'13.HIDRO'!C104</f>
        <v>5</v>
      </c>
      <c r="G322" s="66">
        <v>9.02</v>
      </c>
      <c r="H322" s="194">
        <f t="shared" si="99"/>
        <v>11.62</v>
      </c>
      <c r="I322" s="194">
        <f t="shared" si="100"/>
        <v>58.1</v>
      </c>
      <c r="L322" s="725">
        <f t="shared" si="101"/>
        <v>4.4269335643831995E-5</v>
      </c>
    </row>
    <row r="323" spans="1:12" ht="27.75" customHeight="1" outlineLevel="1" x14ac:dyDescent="0.2">
      <c r="A323" s="1259" t="s">
        <v>1770</v>
      </c>
      <c r="B323" s="1266" t="s">
        <v>183</v>
      </c>
      <c r="C323" s="1259" t="s">
        <v>1795</v>
      </c>
      <c r="D323" s="2" t="s">
        <v>1796</v>
      </c>
      <c r="E323" s="38" t="s">
        <v>219</v>
      </c>
      <c r="F323" s="132">
        <f>'13.HIDRO'!C108</f>
        <v>8</v>
      </c>
      <c r="G323" s="66">
        <v>6.35</v>
      </c>
      <c r="H323" s="194">
        <f t="shared" si="99"/>
        <v>8.18</v>
      </c>
      <c r="I323" s="194">
        <f t="shared" si="100"/>
        <v>65.44</v>
      </c>
      <c r="L323" s="725">
        <f t="shared" si="101"/>
        <v>4.9862053778526084E-5</v>
      </c>
    </row>
    <row r="324" spans="1:12" ht="30" customHeight="1" outlineLevel="1" x14ac:dyDescent="0.2">
      <c r="A324" s="1259" t="s">
        <v>1771</v>
      </c>
      <c r="B324" s="1266" t="s">
        <v>183</v>
      </c>
      <c r="C324" s="1259" t="s">
        <v>1797</v>
      </c>
      <c r="D324" s="2" t="s">
        <v>1798</v>
      </c>
      <c r="E324" s="38" t="s">
        <v>219</v>
      </c>
      <c r="F324" s="132">
        <f>'13.HIDRO'!C112</f>
        <v>15</v>
      </c>
      <c r="G324" s="66">
        <v>7.72</v>
      </c>
      <c r="H324" s="194">
        <f t="shared" si="99"/>
        <v>9.94</v>
      </c>
      <c r="I324" s="194">
        <f t="shared" si="100"/>
        <v>149.1</v>
      </c>
      <c r="L324" s="725">
        <f t="shared" si="101"/>
        <v>1.1360684930284596E-4</v>
      </c>
    </row>
    <row r="325" spans="1:12" ht="42.75" customHeight="1" outlineLevel="1" x14ac:dyDescent="0.2">
      <c r="A325" s="1259" t="s">
        <v>1772</v>
      </c>
      <c r="B325" s="1266" t="s">
        <v>183</v>
      </c>
      <c r="C325" s="1259" t="s">
        <v>1799</v>
      </c>
      <c r="D325" s="2" t="s">
        <v>1800</v>
      </c>
      <c r="E325" s="38" t="s">
        <v>219</v>
      </c>
      <c r="F325" s="132">
        <f>'13.HIDRO'!C116</f>
        <v>1</v>
      </c>
      <c r="G325" s="66">
        <v>217.71</v>
      </c>
      <c r="H325" s="194">
        <f t="shared" si="99"/>
        <v>280.45</v>
      </c>
      <c r="I325" s="194">
        <f t="shared" si="100"/>
        <v>280.45</v>
      </c>
      <c r="L325" s="725">
        <f t="shared" si="101"/>
        <v>2.1368907368868643E-4</v>
      </c>
    </row>
    <row r="326" spans="1:12" ht="32.25" customHeight="1" outlineLevel="1" x14ac:dyDescent="0.2">
      <c r="A326" s="1259" t="s">
        <v>1773</v>
      </c>
      <c r="B326" s="1266" t="s">
        <v>183</v>
      </c>
      <c r="C326" s="1259" t="s">
        <v>1801</v>
      </c>
      <c r="D326" s="2" t="s">
        <v>1802</v>
      </c>
      <c r="E326" s="38" t="s">
        <v>219</v>
      </c>
      <c r="F326" s="132">
        <f>'13.HIDRO'!C120</f>
        <v>1</v>
      </c>
      <c r="G326" s="66">
        <v>152.29</v>
      </c>
      <c r="H326" s="194">
        <f t="shared" si="99"/>
        <v>196.18</v>
      </c>
      <c r="I326" s="194">
        <f t="shared" si="100"/>
        <v>196.18</v>
      </c>
      <c r="L326" s="725">
        <f t="shared" si="101"/>
        <v>1.4947948823764131E-4</v>
      </c>
    </row>
    <row r="327" spans="1:12" ht="30.75" customHeight="1" outlineLevel="1" x14ac:dyDescent="0.2">
      <c r="A327" s="1259" t="s">
        <v>1774</v>
      </c>
      <c r="B327" s="1485" t="str">
        <f>COMPOSIÇÕES!A373</f>
        <v>COMPOSIÇÃO 36</v>
      </c>
      <c r="C327" s="1486"/>
      <c r="D327" s="2" t="str">
        <f>COMPOSIÇÕES!C372</f>
        <v>CAIXA DE PROTEÇÃO PARA HIDRÔMETRO - PASSEIO TAF. FORNECIMENTO E INSTALAÇÃO.</v>
      </c>
      <c r="E327" s="38" t="s">
        <v>219</v>
      </c>
      <c r="F327" s="132">
        <f>'13.HIDRO'!C124</f>
        <v>1</v>
      </c>
      <c r="G327" s="66">
        <f>COMPOSIÇÕES!M379</f>
        <v>169.04</v>
      </c>
      <c r="H327" s="194">
        <f t="shared" si="99"/>
        <v>217.76</v>
      </c>
      <c r="I327" s="194">
        <f t="shared" si="100"/>
        <v>217.76</v>
      </c>
      <c r="L327" s="725">
        <f t="shared" si="101"/>
        <v>1.6592238433392177E-4</v>
      </c>
    </row>
    <row r="328" spans="1:12" ht="45" customHeight="1" outlineLevel="1" x14ac:dyDescent="0.2">
      <c r="A328" s="1259" t="s">
        <v>1775</v>
      </c>
      <c r="B328" s="1266" t="s">
        <v>183</v>
      </c>
      <c r="C328" s="1259" t="s">
        <v>1816</v>
      </c>
      <c r="D328" s="2" t="s">
        <v>1817</v>
      </c>
      <c r="E328" s="38" t="s">
        <v>219</v>
      </c>
      <c r="F328" s="132">
        <f>'13.HIDRO'!C128</f>
        <v>3</v>
      </c>
      <c r="G328" s="66">
        <v>83.13</v>
      </c>
      <c r="H328" s="194">
        <f t="shared" si="99"/>
        <v>107.09</v>
      </c>
      <c r="I328" s="194">
        <f t="shared" si="100"/>
        <v>321.27</v>
      </c>
      <c r="L328" s="725">
        <f t="shared" si="101"/>
        <v>2.4479190124430126E-4</v>
      </c>
    </row>
    <row r="329" spans="1:12" ht="45.75" customHeight="1" outlineLevel="1" thickBot="1" x14ac:dyDescent="0.25">
      <c r="A329" s="1259" t="s">
        <v>1776</v>
      </c>
      <c r="B329" s="1266" t="s">
        <v>183</v>
      </c>
      <c r="C329" s="1259" t="s">
        <v>1818</v>
      </c>
      <c r="D329" s="2" t="s">
        <v>1819</v>
      </c>
      <c r="E329" s="38" t="s">
        <v>219</v>
      </c>
      <c r="F329" s="132">
        <f>'13.HIDRO'!C132</f>
        <v>17</v>
      </c>
      <c r="G329" s="66">
        <v>91.91</v>
      </c>
      <c r="H329" s="194">
        <f t="shared" si="99"/>
        <v>118.4</v>
      </c>
      <c r="I329" s="194">
        <f t="shared" si="100"/>
        <v>2012.8</v>
      </c>
      <c r="L329" s="725">
        <f t="shared" si="101"/>
        <v>1.5336543680534429E-3</v>
      </c>
    </row>
    <row r="330" spans="1:12" ht="18.75" customHeight="1" outlineLevel="1" thickBot="1" x14ac:dyDescent="0.25">
      <c r="A330" s="524" t="s">
        <v>268</v>
      </c>
      <c r="B330" s="525"/>
      <c r="C330" s="525"/>
      <c r="D330" s="526" t="s">
        <v>217</v>
      </c>
      <c r="E330" s="526"/>
      <c r="F330" s="526"/>
      <c r="G330" s="526"/>
      <c r="H330" s="526"/>
      <c r="I330" s="527"/>
      <c r="L330" s="725"/>
    </row>
    <row r="331" spans="1:12" ht="45" customHeight="1" outlineLevel="1" x14ac:dyDescent="0.2">
      <c r="A331" s="1259" t="s">
        <v>269</v>
      </c>
      <c r="B331" s="299" t="s">
        <v>183</v>
      </c>
      <c r="C331" s="299" t="s">
        <v>1477</v>
      </c>
      <c r="D331" s="1273" t="s">
        <v>1478</v>
      </c>
      <c r="E331" s="38" t="s">
        <v>218</v>
      </c>
      <c r="F331" s="132">
        <f>'13.HIDRO'!C138</f>
        <v>30</v>
      </c>
      <c r="G331" s="66">
        <v>17.43</v>
      </c>
      <c r="H331" s="194">
        <f t="shared" ref="H331:H348" si="102">ROUND((G331*$K$10),2)</f>
        <v>22.45</v>
      </c>
      <c r="I331" s="194">
        <f t="shared" ref="I331:I348" si="103">ROUND(((F331*H331)),2)</f>
        <v>673.5</v>
      </c>
      <c r="L331" s="725">
        <f>I331/$I$604</f>
        <v>5.1317379614665827E-4</v>
      </c>
    </row>
    <row r="332" spans="1:12" ht="45" customHeight="1" outlineLevel="1" x14ac:dyDescent="0.2">
      <c r="A332" s="1259" t="s">
        <v>270</v>
      </c>
      <c r="B332" s="1259" t="s">
        <v>183</v>
      </c>
      <c r="C332" s="1259">
        <v>89798</v>
      </c>
      <c r="D332" s="1271" t="s">
        <v>287</v>
      </c>
      <c r="E332" s="38" t="s">
        <v>218</v>
      </c>
      <c r="F332" s="132">
        <f>'13.HIDRO'!C142</f>
        <v>52.3</v>
      </c>
      <c r="G332" s="66">
        <v>12.61</v>
      </c>
      <c r="H332" s="194">
        <f t="shared" si="102"/>
        <v>16.239999999999998</v>
      </c>
      <c r="I332" s="194">
        <f t="shared" si="103"/>
        <v>849.35</v>
      </c>
      <c r="L332" s="725">
        <f>I332/$I$604</f>
        <v>6.4716282666245622E-4</v>
      </c>
    </row>
    <row r="333" spans="1:12" ht="47.25" customHeight="1" outlineLevel="1" x14ac:dyDescent="0.2">
      <c r="A333" s="1259" t="s">
        <v>300</v>
      </c>
      <c r="B333" s="1266" t="s">
        <v>183</v>
      </c>
      <c r="C333" s="313">
        <v>89799</v>
      </c>
      <c r="D333" s="1271" t="s">
        <v>299</v>
      </c>
      <c r="E333" s="38" t="s">
        <v>218</v>
      </c>
      <c r="F333" s="132">
        <f>'13.HIDRO'!C146</f>
        <v>43.2</v>
      </c>
      <c r="G333" s="66">
        <v>20.23</v>
      </c>
      <c r="H333" s="194">
        <f t="shared" si="102"/>
        <v>26.06</v>
      </c>
      <c r="I333" s="194">
        <f t="shared" si="103"/>
        <v>1125.79</v>
      </c>
      <c r="L333" s="725">
        <f>I333/$I$604</f>
        <v>8.5779647804594872E-4</v>
      </c>
    </row>
    <row r="334" spans="1:12" ht="47.25" customHeight="1" outlineLevel="1" x14ac:dyDescent="0.2">
      <c r="A334" s="1259" t="s">
        <v>301</v>
      </c>
      <c r="B334" s="1266" t="s">
        <v>183</v>
      </c>
      <c r="C334" s="1260" t="s">
        <v>288</v>
      </c>
      <c r="D334" s="1271" t="s">
        <v>289</v>
      </c>
      <c r="E334" s="38" t="s">
        <v>218</v>
      </c>
      <c r="F334" s="132">
        <f>'13.HIDRO'!C150</f>
        <v>53.95</v>
      </c>
      <c r="G334" s="66">
        <v>24.74</v>
      </c>
      <c r="H334" s="194">
        <f t="shared" si="102"/>
        <v>31.87</v>
      </c>
      <c r="I334" s="194">
        <f t="shared" si="103"/>
        <v>1719.39</v>
      </c>
      <c r="L334" s="725">
        <f>I334/$I$604</f>
        <v>1.3100904132985938E-3</v>
      </c>
    </row>
    <row r="335" spans="1:12" ht="23.25" customHeight="1" outlineLevel="1" x14ac:dyDescent="0.2">
      <c r="A335" s="1259" t="s">
        <v>454</v>
      </c>
      <c r="B335" s="1259" t="s">
        <v>182</v>
      </c>
      <c r="C335" s="1259" t="s">
        <v>1484</v>
      </c>
      <c r="D335" s="323" t="s">
        <v>1485</v>
      </c>
      <c r="E335" s="38" t="s">
        <v>219</v>
      </c>
      <c r="F335" s="132">
        <f>'13.HIDRO'!C154</f>
        <v>1</v>
      </c>
      <c r="G335" s="66">
        <v>16.04</v>
      </c>
      <c r="H335" s="194">
        <f t="shared" si="102"/>
        <v>20.66</v>
      </c>
      <c r="I335" s="194">
        <f t="shared" si="103"/>
        <v>20.66</v>
      </c>
      <c r="L335" s="725"/>
    </row>
    <row r="336" spans="1:12" ht="48" customHeight="1" outlineLevel="1" x14ac:dyDescent="0.2">
      <c r="A336" s="1259" t="s">
        <v>455</v>
      </c>
      <c r="B336" s="1266" t="s">
        <v>183</v>
      </c>
      <c r="C336" s="1260" t="s">
        <v>1482</v>
      </c>
      <c r="D336" s="1271" t="s">
        <v>1483</v>
      </c>
      <c r="E336" s="38" t="s">
        <v>219</v>
      </c>
      <c r="F336" s="132">
        <f>'13.HIDRO'!C158</f>
        <v>2</v>
      </c>
      <c r="G336" s="66">
        <v>51.1</v>
      </c>
      <c r="H336" s="194">
        <f t="shared" si="102"/>
        <v>65.83</v>
      </c>
      <c r="I336" s="194">
        <f t="shared" si="103"/>
        <v>131.66</v>
      </c>
      <c r="L336" s="725"/>
    </row>
    <row r="337" spans="1:12" ht="24" customHeight="1" outlineLevel="1" x14ac:dyDescent="0.2">
      <c r="A337" s="1259" t="s">
        <v>456</v>
      </c>
      <c r="B337" s="1266" t="s">
        <v>182</v>
      </c>
      <c r="C337" s="1260" t="s">
        <v>1486</v>
      </c>
      <c r="D337" s="1271" t="s">
        <v>1494</v>
      </c>
      <c r="E337" s="38" t="s">
        <v>219</v>
      </c>
      <c r="F337" s="132">
        <f>'13.HIDRO'!C162</f>
        <v>10</v>
      </c>
      <c r="G337" s="66">
        <v>17.71</v>
      </c>
      <c r="H337" s="194">
        <f t="shared" si="102"/>
        <v>22.81</v>
      </c>
      <c r="I337" s="194">
        <f t="shared" si="103"/>
        <v>228.1</v>
      </c>
      <c r="L337" s="725"/>
    </row>
    <row r="338" spans="1:12" ht="48" customHeight="1" outlineLevel="1" x14ac:dyDescent="0.2">
      <c r="A338" s="1259" t="s">
        <v>457</v>
      </c>
      <c r="B338" s="1266" t="s">
        <v>183</v>
      </c>
      <c r="C338" s="1260" t="s">
        <v>1487</v>
      </c>
      <c r="D338" s="1271" t="s">
        <v>1488</v>
      </c>
      <c r="E338" s="38" t="s">
        <v>219</v>
      </c>
      <c r="F338" s="132">
        <f>'13.HIDRO'!C166</f>
        <v>22</v>
      </c>
      <c r="G338" s="66">
        <v>10.029999999999999</v>
      </c>
      <c r="H338" s="194">
        <f t="shared" si="102"/>
        <v>12.92</v>
      </c>
      <c r="I338" s="194">
        <f t="shared" si="103"/>
        <v>284.24</v>
      </c>
      <c r="L338" s="725"/>
    </row>
    <row r="339" spans="1:12" ht="48.75" customHeight="1" outlineLevel="1" x14ac:dyDescent="0.2">
      <c r="A339" s="1259" t="s">
        <v>458</v>
      </c>
      <c r="B339" s="1266" t="s">
        <v>183</v>
      </c>
      <c r="C339" s="1260" t="s">
        <v>1489</v>
      </c>
      <c r="D339" s="1271" t="s">
        <v>1490</v>
      </c>
      <c r="E339" s="38" t="s">
        <v>219</v>
      </c>
      <c r="F339" s="132">
        <f>'13.HIDRO'!C170</f>
        <v>10</v>
      </c>
      <c r="G339" s="66">
        <v>10.08</v>
      </c>
      <c r="H339" s="194">
        <f t="shared" si="102"/>
        <v>12.99</v>
      </c>
      <c r="I339" s="194">
        <f t="shared" si="103"/>
        <v>129.9</v>
      </c>
      <c r="L339" s="725"/>
    </row>
    <row r="340" spans="1:12" ht="45.75" customHeight="1" outlineLevel="1" x14ac:dyDescent="0.2">
      <c r="A340" s="1259" t="s">
        <v>1476</v>
      </c>
      <c r="B340" s="1266" t="s">
        <v>183</v>
      </c>
      <c r="C340" s="1260" t="s">
        <v>1491</v>
      </c>
      <c r="D340" s="1271" t="s">
        <v>1492</v>
      </c>
      <c r="E340" s="38" t="s">
        <v>219</v>
      </c>
      <c r="F340" s="132">
        <f>'13.HIDRO'!C174</f>
        <v>2</v>
      </c>
      <c r="G340" s="66">
        <v>17.88</v>
      </c>
      <c r="H340" s="194">
        <f t="shared" si="102"/>
        <v>23.03</v>
      </c>
      <c r="I340" s="194">
        <f t="shared" si="103"/>
        <v>46.06</v>
      </c>
      <c r="L340" s="725"/>
    </row>
    <row r="341" spans="1:12" ht="48" customHeight="1" outlineLevel="1" x14ac:dyDescent="0.2">
      <c r="A341" s="1259" t="s">
        <v>1479</v>
      </c>
      <c r="B341" s="1266" t="s">
        <v>183</v>
      </c>
      <c r="C341" s="1260" t="s">
        <v>1493</v>
      </c>
      <c r="D341" s="1271" t="s">
        <v>291</v>
      </c>
      <c r="E341" s="38" t="s">
        <v>219</v>
      </c>
      <c r="F341" s="132">
        <f>'13.HIDRO'!C178</f>
        <v>7</v>
      </c>
      <c r="G341" s="66">
        <v>37.75</v>
      </c>
      <c r="H341" s="194">
        <f t="shared" si="102"/>
        <v>48.63</v>
      </c>
      <c r="I341" s="194">
        <f t="shared" si="103"/>
        <v>340.41</v>
      </c>
      <c r="L341" s="725"/>
    </row>
    <row r="342" spans="1:12" ht="45.75" customHeight="1" outlineLevel="1" x14ac:dyDescent="0.2">
      <c r="A342" s="1259" t="s">
        <v>1480</v>
      </c>
      <c r="B342" s="1266" t="s">
        <v>183</v>
      </c>
      <c r="C342" s="1260" t="s">
        <v>1495</v>
      </c>
      <c r="D342" s="1271" t="s">
        <v>1496</v>
      </c>
      <c r="E342" s="38" t="s">
        <v>219</v>
      </c>
      <c r="F342" s="132">
        <f>'13.HIDRO'!C182</f>
        <v>6</v>
      </c>
      <c r="G342" s="66">
        <v>6.56</v>
      </c>
      <c r="H342" s="194">
        <f t="shared" si="102"/>
        <v>8.4499999999999993</v>
      </c>
      <c r="I342" s="194">
        <f t="shared" si="103"/>
        <v>50.7</v>
      </c>
      <c r="L342" s="725"/>
    </row>
    <row r="343" spans="1:12" ht="41.25" customHeight="1" outlineLevel="1" x14ac:dyDescent="0.2">
      <c r="A343" s="1259" t="s">
        <v>1481</v>
      </c>
      <c r="B343" s="1266" t="s">
        <v>183</v>
      </c>
      <c r="C343" s="1260" t="s">
        <v>1497</v>
      </c>
      <c r="D343" s="1271" t="s">
        <v>1498</v>
      </c>
      <c r="E343" s="38" t="s">
        <v>219</v>
      </c>
      <c r="F343" s="132">
        <f>'13.HIDRO'!C186</f>
        <v>4</v>
      </c>
      <c r="G343" s="66">
        <v>10.69</v>
      </c>
      <c r="H343" s="194">
        <f t="shared" si="102"/>
        <v>13.77</v>
      </c>
      <c r="I343" s="194">
        <f t="shared" si="103"/>
        <v>55.08</v>
      </c>
      <c r="L343" s="725"/>
    </row>
    <row r="344" spans="1:12" ht="41.25" customHeight="1" outlineLevel="1" x14ac:dyDescent="0.2">
      <c r="A344" s="1259" t="s">
        <v>1499</v>
      </c>
      <c r="B344" s="1266" t="s">
        <v>183</v>
      </c>
      <c r="C344" s="1260">
        <v>89810</v>
      </c>
      <c r="D344" s="1271" t="s">
        <v>290</v>
      </c>
      <c r="E344" s="38" t="s">
        <v>219</v>
      </c>
      <c r="F344" s="132">
        <f>'13.HIDRO'!C190</f>
        <v>3</v>
      </c>
      <c r="G344" s="66">
        <v>17.989999999999998</v>
      </c>
      <c r="H344" s="194">
        <f t="shared" si="102"/>
        <v>23.17</v>
      </c>
      <c r="I344" s="194">
        <f t="shared" si="103"/>
        <v>69.510000000000005</v>
      </c>
      <c r="L344" s="725"/>
    </row>
    <row r="345" spans="1:12" ht="33" customHeight="1" outlineLevel="1" x14ac:dyDescent="0.2">
      <c r="A345" s="1259" t="s">
        <v>1500</v>
      </c>
      <c r="B345" s="1485" t="str">
        <f>COMPOSIÇÕES!A383</f>
        <v>COMPOSIÇÃO 37</v>
      </c>
      <c r="C345" s="1486"/>
      <c r="D345" s="1271" t="str">
        <f>COMPOSIÇÕES!C382</f>
        <v>TÊ DE REDUÇÃO, PVC, SOLDÁVEL, DN 100 MM X 50 MM, FORNECIMENTO E INSTALAÇÃO</v>
      </c>
      <c r="E345" s="38" t="s">
        <v>219</v>
      </c>
      <c r="F345" s="132">
        <f>'13.HIDRO'!C194</f>
        <v>4</v>
      </c>
      <c r="G345" s="66">
        <f>COMPOSIÇÕES!M391</f>
        <v>151.61000000000001</v>
      </c>
      <c r="H345" s="194">
        <f t="shared" si="102"/>
        <v>195.3</v>
      </c>
      <c r="I345" s="194">
        <f t="shared" si="103"/>
        <v>781.2</v>
      </c>
      <c r="L345" s="725">
        <f>I345/$I$604</f>
        <v>5.9523588648815074E-4</v>
      </c>
    </row>
    <row r="346" spans="1:12" ht="34.5" customHeight="1" outlineLevel="1" x14ac:dyDescent="0.2">
      <c r="A346" s="1259" t="s">
        <v>1501</v>
      </c>
      <c r="B346" s="1485" t="str">
        <f>COMPOSIÇÕES!A395</f>
        <v>COMPOSIÇÃO 38</v>
      </c>
      <c r="C346" s="1486"/>
      <c r="D346" s="1271" t="str">
        <f>COMPOSIÇÕES!C394</f>
        <v>TERMINAL DE VENTILACAO, 50 MM, SERIE NORMAL, ESGOTO PREDIAL. FORNECIMENTO E INSTALAÇÃO.</v>
      </c>
      <c r="E346" s="38" t="s">
        <v>219</v>
      </c>
      <c r="F346" s="132">
        <f>'13.HIDRO'!C198</f>
        <v>4</v>
      </c>
      <c r="G346" s="66">
        <f>COMPOSIÇÕES!M403</f>
        <v>32.090000000000003</v>
      </c>
      <c r="H346" s="194">
        <f t="shared" si="102"/>
        <v>41.34</v>
      </c>
      <c r="I346" s="194">
        <f t="shared" si="103"/>
        <v>165.36</v>
      </c>
      <c r="L346" s="725">
        <f>I346/$I$604</f>
        <v>1.2599616767752252E-4</v>
      </c>
    </row>
    <row r="347" spans="1:12" ht="45" customHeight="1" outlineLevel="1" x14ac:dyDescent="0.2">
      <c r="A347" s="1259" t="s">
        <v>1502</v>
      </c>
      <c r="B347" s="1266" t="s">
        <v>183</v>
      </c>
      <c r="C347" s="1260" t="s">
        <v>1508</v>
      </c>
      <c r="D347" s="1271" t="s">
        <v>1509</v>
      </c>
      <c r="E347" s="38" t="s">
        <v>219</v>
      </c>
      <c r="F347" s="132">
        <f>'13.HIDRO'!C202</f>
        <v>2</v>
      </c>
      <c r="G347" s="66">
        <v>12.64</v>
      </c>
      <c r="H347" s="194">
        <f t="shared" si="102"/>
        <v>16.28</v>
      </c>
      <c r="I347" s="194">
        <f t="shared" si="103"/>
        <v>32.56</v>
      </c>
      <c r="L347" s="725">
        <f>I347/$I$604</f>
        <v>2.480911477733511E-5</v>
      </c>
    </row>
    <row r="348" spans="1:12" ht="45" customHeight="1" outlineLevel="1" thickBot="1" x14ac:dyDescent="0.25">
      <c r="A348" s="1259" t="s">
        <v>1525</v>
      </c>
      <c r="B348" s="1266" t="s">
        <v>183</v>
      </c>
      <c r="C348" s="1260" t="s">
        <v>1526</v>
      </c>
      <c r="D348" s="1271" t="s">
        <v>1527</v>
      </c>
      <c r="E348" s="38" t="s">
        <v>219</v>
      </c>
      <c r="F348" s="132">
        <f>'13.HIDRO'!C206</f>
        <v>11</v>
      </c>
      <c r="G348" s="66">
        <v>37.700000000000003</v>
      </c>
      <c r="H348" s="194">
        <f t="shared" si="102"/>
        <v>48.57</v>
      </c>
      <c r="I348" s="194">
        <f t="shared" si="103"/>
        <v>534.27</v>
      </c>
      <c r="L348" s="725">
        <f>I348/$I$604</f>
        <v>4.0708740024836693E-4</v>
      </c>
    </row>
    <row r="349" spans="1:12" ht="17.25" customHeight="1" outlineLevel="1" thickBot="1" x14ac:dyDescent="0.25">
      <c r="A349" s="524" t="s">
        <v>271</v>
      </c>
      <c r="B349" s="525"/>
      <c r="C349" s="525"/>
      <c r="D349" s="526" t="s">
        <v>306</v>
      </c>
      <c r="E349" s="526"/>
      <c r="F349" s="526"/>
      <c r="G349" s="526"/>
      <c r="H349" s="526"/>
      <c r="I349" s="527"/>
      <c r="L349" s="725"/>
    </row>
    <row r="350" spans="1:12" ht="21" customHeight="1" outlineLevel="1" x14ac:dyDescent="0.2">
      <c r="A350" s="1259" t="s">
        <v>272</v>
      </c>
      <c r="B350" s="1266" t="s">
        <v>182</v>
      </c>
      <c r="C350" s="1260" t="s">
        <v>1510</v>
      </c>
      <c r="D350" s="1271" t="s">
        <v>1511</v>
      </c>
      <c r="E350" s="38" t="s">
        <v>219</v>
      </c>
      <c r="F350" s="132">
        <f>'13.HIDRO'!C217</f>
        <v>16</v>
      </c>
      <c r="G350" s="66">
        <v>183.49</v>
      </c>
      <c r="H350" s="194">
        <f t="shared" ref="H350:H353" si="104">ROUND((G350*$K$10),2)</f>
        <v>236.37</v>
      </c>
      <c r="I350" s="194">
        <f t="shared" ref="I350:I353" si="105">ROUND(((F350*H350)),2)</f>
        <v>3781.92</v>
      </c>
      <c r="L350" s="725">
        <f>I350/$I$604</f>
        <v>2.8816365896406383E-3</v>
      </c>
    </row>
    <row r="351" spans="1:12" ht="45" customHeight="1" outlineLevel="1" x14ac:dyDescent="0.2">
      <c r="A351" s="1259" t="s">
        <v>273</v>
      </c>
      <c r="B351" s="1266" t="s">
        <v>183</v>
      </c>
      <c r="C351" s="1260" t="s">
        <v>1512</v>
      </c>
      <c r="D351" s="1271" t="s">
        <v>1513</v>
      </c>
      <c r="E351" s="38" t="s">
        <v>219</v>
      </c>
      <c r="F351" s="132">
        <f>'13.HIDRO'!C221</f>
        <v>1</v>
      </c>
      <c r="G351" s="66">
        <v>4204.6899999999996</v>
      </c>
      <c r="H351" s="194">
        <f t="shared" si="104"/>
        <v>5416.48</v>
      </c>
      <c r="I351" s="194">
        <f t="shared" si="105"/>
        <v>5416.48</v>
      </c>
      <c r="L351" s="725">
        <f>I351/$I$604</f>
        <v>4.1270907250964385E-3</v>
      </c>
    </row>
    <row r="352" spans="1:12" ht="45" customHeight="1" outlineLevel="1" x14ac:dyDescent="0.2">
      <c r="A352" s="1259" t="s">
        <v>274</v>
      </c>
      <c r="B352" s="1266" t="s">
        <v>183</v>
      </c>
      <c r="C352" s="1260" t="s">
        <v>1514</v>
      </c>
      <c r="D352" s="1271" t="s">
        <v>1515</v>
      </c>
      <c r="E352" s="38" t="s">
        <v>219</v>
      </c>
      <c r="F352" s="132">
        <f>'13.HIDRO'!C225</f>
        <v>1</v>
      </c>
      <c r="G352" s="66">
        <v>3658.13</v>
      </c>
      <c r="H352" s="194">
        <f t="shared" si="104"/>
        <v>4712.3999999999996</v>
      </c>
      <c r="I352" s="194">
        <f t="shared" si="105"/>
        <v>4712.3999999999996</v>
      </c>
      <c r="L352" s="725">
        <f>I352/$I$604</f>
        <v>3.5906164765575539E-3</v>
      </c>
    </row>
    <row r="353" spans="1:12" ht="45.75" customHeight="1" outlineLevel="1" thickBot="1" x14ac:dyDescent="0.25">
      <c r="A353" s="1259" t="s">
        <v>275</v>
      </c>
      <c r="B353" s="1266" t="s">
        <v>183</v>
      </c>
      <c r="C353" s="1260" t="s">
        <v>1516</v>
      </c>
      <c r="D353" s="1271" t="s">
        <v>1517</v>
      </c>
      <c r="E353" s="38" t="s">
        <v>219</v>
      </c>
      <c r="F353" s="132">
        <f>'13.HIDRO'!C229</f>
        <v>1</v>
      </c>
      <c r="G353" s="66">
        <v>2722.64</v>
      </c>
      <c r="H353" s="194">
        <f t="shared" si="104"/>
        <v>3507.3</v>
      </c>
      <c r="I353" s="194">
        <f t="shared" si="105"/>
        <v>3507.3</v>
      </c>
      <c r="L353" s="309">
        <f>I353/$I$604</f>
        <v>2.6723896885303263E-3</v>
      </c>
    </row>
    <row r="354" spans="1:12" ht="17.25" customHeight="1" outlineLevel="1" thickBot="1" x14ac:dyDescent="0.25">
      <c r="A354" s="524" t="s">
        <v>1518</v>
      </c>
      <c r="B354" s="525"/>
      <c r="C354" s="525"/>
      <c r="D354" s="526" t="s">
        <v>1523</v>
      </c>
      <c r="E354" s="526"/>
      <c r="F354" s="526"/>
      <c r="G354" s="526"/>
      <c r="H354" s="526"/>
      <c r="I354" s="527"/>
      <c r="L354" s="725"/>
    </row>
    <row r="355" spans="1:12" ht="17.25" customHeight="1" outlineLevel="1" thickBot="1" x14ac:dyDescent="0.25">
      <c r="A355" s="847" t="s">
        <v>1519</v>
      </c>
      <c r="B355" s="848"/>
      <c r="C355" s="848"/>
      <c r="D355" s="849" t="s">
        <v>1295</v>
      </c>
      <c r="E355" s="849"/>
      <c r="F355" s="849"/>
      <c r="G355" s="849"/>
      <c r="H355" s="849"/>
      <c r="I355" s="850"/>
      <c r="L355" s="725"/>
    </row>
    <row r="356" spans="1:12" ht="24.75" customHeight="1" outlineLevel="1" x14ac:dyDescent="0.2">
      <c r="A356" s="1259" t="s">
        <v>1533</v>
      </c>
      <c r="B356" s="1266" t="s">
        <v>182</v>
      </c>
      <c r="C356" s="1260" t="s">
        <v>1016</v>
      </c>
      <c r="D356" s="1271" t="s">
        <v>1017</v>
      </c>
      <c r="E356" s="38" t="s">
        <v>739</v>
      </c>
      <c r="F356" s="132">
        <f>'13.HIDRO'!H236</f>
        <v>21.29</v>
      </c>
      <c r="G356" s="66">
        <v>51.21</v>
      </c>
      <c r="H356" s="194">
        <f t="shared" ref="H356:H362" si="106">ROUND((G356*$K$10),2)</f>
        <v>65.97</v>
      </c>
      <c r="I356" s="194">
        <f t="shared" ref="I356:I362" si="107">ROUND(((F356*H356)),2)</f>
        <v>1404.5</v>
      </c>
      <c r="L356" s="725">
        <f t="shared" ref="L356:L363" si="108">I356/$I$604</f>
        <v>1.0701597575174188E-3</v>
      </c>
    </row>
    <row r="357" spans="1:12" ht="30.75" customHeight="1" outlineLevel="1" x14ac:dyDescent="0.2">
      <c r="A357" s="1259" t="s">
        <v>1534</v>
      </c>
      <c r="B357" s="1266" t="s">
        <v>183</v>
      </c>
      <c r="C357" s="1260" t="s">
        <v>1345</v>
      </c>
      <c r="D357" s="1271" t="s">
        <v>1346</v>
      </c>
      <c r="E357" s="38" t="s">
        <v>328</v>
      </c>
      <c r="F357" s="132">
        <f>'13.HIDRO'!F241</f>
        <v>10.39</v>
      </c>
      <c r="G357" s="66">
        <v>29.94</v>
      </c>
      <c r="H357" s="194">
        <f t="shared" si="106"/>
        <v>38.57</v>
      </c>
      <c r="I357" s="194">
        <f t="shared" si="107"/>
        <v>400.74</v>
      </c>
      <c r="L357" s="725">
        <f t="shared" si="108"/>
        <v>3.0534412333750832E-4</v>
      </c>
    </row>
    <row r="358" spans="1:12" ht="35.25" customHeight="1" outlineLevel="1" x14ac:dyDescent="0.2">
      <c r="A358" s="1259" t="s">
        <v>1535</v>
      </c>
      <c r="B358" s="1266" t="s">
        <v>182</v>
      </c>
      <c r="C358" s="1260" t="s">
        <v>1019</v>
      </c>
      <c r="D358" s="1271" t="s">
        <v>1020</v>
      </c>
      <c r="E358" s="38" t="s">
        <v>328</v>
      </c>
      <c r="F358" s="132">
        <f>'13.HIDRO'!C250</f>
        <v>13.13</v>
      </c>
      <c r="G358" s="66">
        <v>64.709999999999994</v>
      </c>
      <c r="H358" s="194">
        <f t="shared" si="106"/>
        <v>83.36</v>
      </c>
      <c r="I358" s="194">
        <f t="shared" si="107"/>
        <v>1094.52</v>
      </c>
      <c r="L358" s="725">
        <f t="shared" si="108"/>
        <v>8.339702796710326E-4</v>
      </c>
    </row>
    <row r="359" spans="1:12" ht="45" customHeight="1" outlineLevel="1" x14ac:dyDescent="0.2">
      <c r="A359" s="1259" t="s">
        <v>1536</v>
      </c>
      <c r="B359" s="1266" t="s">
        <v>183</v>
      </c>
      <c r="C359" s="1260" t="s">
        <v>1568</v>
      </c>
      <c r="D359" s="1271" t="s">
        <v>1569</v>
      </c>
      <c r="E359" s="38" t="s">
        <v>328</v>
      </c>
      <c r="F359" s="132">
        <f>'13.HIDRO'!J256</f>
        <v>1.33</v>
      </c>
      <c r="G359" s="66">
        <v>174.59</v>
      </c>
      <c r="H359" s="194">
        <f t="shared" si="106"/>
        <v>224.91</v>
      </c>
      <c r="I359" s="194">
        <f t="shared" si="107"/>
        <v>299.13</v>
      </c>
      <c r="L359" s="309">
        <f t="shared" si="108"/>
        <v>2.2792231275627306E-4</v>
      </c>
    </row>
    <row r="360" spans="1:12" ht="33" customHeight="1" outlineLevel="1" x14ac:dyDescent="0.2">
      <c r="A360" s="1259" t="s">
        <v>1537</v>
      </c>
      <c r="B360" s="1266" t="s">
        <v>183</v>
      </c>
      <c r="C360" s="1260" t="s">
        <v>915</v>
      </c>
      <c r="D360" s="1271" t="s">
        <v>916</v>
      </c>
      <c r="E360" s="38" t="s">
        <v>205</v>
      </c>
      <c r="F360" s="132">
        <f>'13.HIDRO'!C264</f>
        <v>147.59</v>
      </c>
      <c r="G360" s="66">
        <v>13.05</v>
      </c>
      <c r="H360" s="194">
        <f t="shared" si="106"/>
        <v>16.809999999999999</v>
      </c>
      <c r="I360" s="194">
        <f t="shared" si="107"/>
        <v>2480.9899999999998</v>
      </c>
      <c r="L360" s="725">
        <f t="shared" si="108"/>
        <v>1.890392066075572E-3</v>
      </c>
    </row>
    <row r="361" spans="1:12" ht="44.25" customHeight="1" outlineLevel="1" x14ac:dyDescent="0.2">
      <c r="A361" s="1259" t="s">
        <v>1564</v>
      </c>
      <c r="B361" s="1266" t="s">
        <v>183</v>
      </c>
      <c r="C361" s="1260" t="s">
        <v>1570</v>
      </c>
      <c r="D361" s="1271" t="s">
        <v>1571</v>
      </c>
      <c r="E361" s="38" t="s">
        <v>205</v>
      </c>
      <c r="F361" s="132">
        <f>'13.HIDRO'!C271</f>
        <v>4.1500000000000004</v>
      </c>
      <c r="G361" s="66">
        <v>13.91</v>
      </c>
      <c r="H361" s="194">
        <f t="shared" si="106"/>
        <v>17.920000000000002</v>
      </c>
      <c r="I361" s="194">
        <f t="shared" si="107"/>
        <v>74.37</v>
      </c>
      <c r="L361" s="725">
        <f t="shared" si="108"/>
        <v>5.6666273525504054E-5</v>
      </c>
    </row>
    <row r="362" spans="1:12" ht="21" customHeight="1" outlineLevel="1" x14ac:dyDescent="0.2">
      <c r="A362" s="1259" t="s">
        <v>1565</v>
      </c>
      <c r="B362" s="1266" t="s">
        <v>182</v>
      </c>
      <c r="C362" s="1260" t="s">
        <v>1567</v>
      </c>
      <c r="D362" s="1271" t="s">
        <v>1572</v>
      </c>
      <c r="E362" s="38" t="s">
        <v>739</v>
      </c>
      <c r="F362" s="132">
        <f>'13.HIDRO'!G286</f>
        <v>10.41</v>
      </c>
      <c r="G362" s="66">
        <v>785.4</v>
      </c>
      <c r="H362" s="194">
        <f t="shared" si="106"/>
        <v>1011.75</v>
      </c>
      <c r="I362" s="194">
        <f t="shared" si="107"/>
        <v>10532.32</v>
      </c>
      <c r="L362" s="725">
        <f t="shared" si="108"/>
        <v>8.0251085918802856E-3</v>
      </c>
    </row>
    <row r="363" spans="1:12" ht="20.25" customHeight="1" outlineLevel="1" thickBot="1" x14ac:dyDescent="0.25">
      <c r="A363" s="1259" t="s">
        <v>1566</v>
      </c>
      <c r="B363" s="1266" t="s">
        <v>183</v>
      </c>
      <c r="C363" s="1260" t="s">
        <v>1306</v>
      </c>
      <c r="D363" s="1271" t="s">
        <v>1307</v>
      </c>
      <c r="E363" s="38" t="s">
        <v>739</v>
      </c>
      <c r="F363" s="132">
        <f>'13.HIDRO'!H291</f>
        <v>10.36</v>
      </c>
      <c r="G363" s="66">
        <v>40.99</v>
      </c>
      <c r="H363" s="194">
        <f>ROUND((G363*$K$10),2)</f>
        <v>52.8</v>
      </c>
      <c r="I363" s="194">
        <f>ROUND(((F363*H363)),2)</f>
        <v>547.01</v>
      </c>
      <c r="L363" s="309">
        <f t="shared" si="108"/>
        <v>4.1679465216062889E-4</v>
      </c>
    </row>
    <row r="364" spans="1:12" ht="17.25" customHeight="1" outlineLevel="1" thickBot="1" x14ac:dyDescent="0.25">
      <c r="A364" s="847" t="s">
        <v>1520</v>
      </c>
      <c r="B364" s="848"/>
      <c r="C364" s="848"/>
      <c r="D364" s="849" t="s">
        <v>1531</v>
      </c>
      <c r="E364" s="849"/>
      <c r="F364" s="849"/>
      <c r="G364" s="849"/>
      <c r="H364" s="849"/>
      <c r="I364" s="850"/>
      <c r="L364" s="725"/>
    </row>
    <row r="365" spans="1:12" ht="47.25" customHeight="1" outlineLevel="1" x14ac:dyDescent="0.2">
      <c r="A365" s="1259" t="s">
        <v>1538</v>
      </c>
      <c r="B365" s="1266" t="s">
        <v>183</v>
      </c>
      <c r="C365" s="1260" t="s">
        <v>1568</v>
      </c>
      <c r="D365" s="1271" t="s">
        <v>1569</v>
      </c>
      <c r="E365" s="38" t="s">
        <v>328</v>
      </c>
      <c r="F365" s="132">
        <f>'13.HIDRO'!J298</f>
        <v>9.42</v>
      </c>
      <c r="G365" s="66">
        <v>174.59</v>
      </c>
      <c r="H365" s="194">
        <f t="shared" ref="H365:H369" si="109">ROUND((G365*$K$10),2)</f>
        <v>224.91</v>
      </c>
      <c r="I365" s="194">
        <f t="shared" ref="I365:I369" si="110">ROUND(((F365*H365)),2)</f>
        <v>2118.65</v>
      </c>
      <c r="L365" s="725">
        <f>I365/$I$604</f>
        <v>1.6143068496007687E-3</v>
      </c>
    </row>
    <row r="366" spans="1:12" ht="47.25" customHeight="1" outlineLevel="1" x14ac:dyDescent="0.2">
      <c r="A366" s="1259" t="s">
        <v>1539</v>
      </c>
      <c r="B366" s="1266" t="s">
        <v>183</v>
      </c>
      <c r="C366" s="1260" t="s">
        <v>1575</v>
      </c>
      <c r="D366" s="1271" t="s">
        <v>1576</v>
      </c>
      <c r="E366" s="38" t="s">
        <v>328</v>
      </c>
      <c r="F366" s="132">
        <f>'13.HIDRO'!H319</f>
        <v>3.16</v>
      </c>
      <c r="G366" s="66">
        <v>101.6</v>
      </c>
      <c r="H366" s="194">
        <f t="shared" si="109"/>
        <v>130.88</v>
      </c>
      <c r="I366" s="194">
        <f t="shared" si="110"/>
        <v>413.58</v>
      </c>
      <c r="L366" s="309">
        <f>I366/$I$604</f>
        <v>3.1512757031972521E-4</v>
      </c>
    </row>
    <row r="367" spans="1:12" ht="30" customHeight="1" outlineLevel="1" x14ac:dyDescent="0.2">
      <c r="A367" s="1259" t="s">
        <v>1540</v>
      </c>
      <c r="B367" s="1266" t="s">
        <v>183</v>
      </c>
      <c r="C367" s="1260" t="s">
        <v>915</v>
      </c>
      <c r="D367" s="1271" t="s">
        <v>916</v>
      </c>
      <c r="E367" s="38" t="s">
        <v>205</v>
      </c>
      <c r="F367" s="132">
        <f>'13.HIDRO'!C327</f>
        <v>72.69</v>
      </c>
      <c r="G367" s="66">
        <v>13.05</v>
      </c>
      <c r="H367" s="194">
        <f t="shared" si="109"/>
        <v>16.809999999999999</v>
      </c>
      <c r="I367" s="194">
        <f t="shared" si="110"/>
        <v>1221.92</v>
      </c>
      <c r="L367" s="725">
        <f>I367/$I$604</f>
        <v>9.3104279879365219E-4</v>
      </c>
    </row>
    <row r="368" spans="1:12" ht="45.75" customHeight="1" outlineLevel="1" x14ac:dyDescent="0.2">
      <c r="A368" s="1259" t="s">
        <v>1541</v>
      </c>
      <c r="B368" s="1266" t="s">
        <v>183</v>
      </c>
      <c r="C368" s="1260" t="s">
        <v>1570</v>
      </c>
      <c r="D368" s="1271" t="s">
        <v>1571</v>
      </c>
      <c r="E368" s="38" t="s">
        <v>205</v>
      </c>
      <c r="F368" s="132">
        <f>'13.HIDRO'!C342</f>
        <v>16.78</v>
      </c>
      <c r="G368" s="66">
        <v>13.91</v>
      </c>
      <c r="H368" s="194">
        <f t="shared" si="109"/>
        <v>17.920000000000002</v>
      </c>
      <c r="I368" s="194">
        <f t="shared" si="110"/>
        <v>300.7</v>
      </c>
      <c r="L368" s="725">
        <f>I368/$I$604</f>
        <v>2.2911857535456591E-4</v>
      </c>
    </row>
    <row r="369" spans="1:12" ht="20.25" customHeight="1" outlineLevel="1" thickBot="1" x14ac:dyDescent="0.25">
      <c r="A369" s="1259" t="s">
        <v>1542</v>
      </c>
      <c r="B369" s="1266" t="s">
        <v>182</v>
      </c>
      <c r="C369" s="1260" t="s">
        <v>1567</v>
      </c>
      <c r="D369" s="1271" t="s">
        <v>1572</v>
      </c>
      <c r="E369" s="38" t="s">
        <v>739</v>
      </c>
      <c r="F369" s="132">
        <f>'13.HIDRO'!G367</f>
        <v>1.42</v>
      </c>
      <c r="G369" s="66">
        <v>785.4</v>
      </c>
      <c r="H369" s="194">
        <f t="shared" si="109"/>
        <v>1011.75</v>
      </c>
      <c r="I369" s="194">
        <f t="shared" si="110"/>
        <v>1436.69</v>
      </c>
      <c r="L369" s="309">
        <f>I369/$I$604</f>
        <v>1.0946869505359207E-3</v>
      </c>
    </row>
    <row r="370" spans="1:12" ht="17.25" customHeight="1" outlineLevel="1" thickBot="1" x14ac:dyDescent="0.25">
      <c r="A370" s="847" t="s">
        <v>1521</v>
      </c>
      <c r="B370" s="848"/>
      <c r="C370" s="848"/>
      <c r="D370" s="849" t="s">
        <v>1573</v>
      </c>
      <c r="E370" s="849"/>
      <c r="F370" s="849"/>
      <c r="G370" s="849"/>
      <c r="H370" s="849"/>
      <c r="I370" s="850"/>
      <c r="L370" s="725"/>
    </row>
    <row r="371" spans="1:12" ht="44.25" customHeight="1" outlineLevel="1" x14ac:dyDescent="0.2">
      <c r="A371" s="1259" t="s">
        <v>1543</v>
      </c>
      <c r="B371" s="1266" t="s">
        <v>183</v>
      </c>
      <c r="C371" s="1260" t="s">
        <v>1579</v>
      </c>
      <c r="D371" s="1271" t="s">
        <v>1580</v>
      </c>
      <c r="E371" s="38" t="s">
        <v>328</v>
      </c>
      <c r="F371" s="132">
        <f>'13.HIDRO'!F382</f>
        <v>8.2899999999999991</v>
      </c>
      <c r="G371" s="66">
        <v>48.86</v>
      </c>
      <c r="H371" s="194">
        <f t="shared" ref="H371:H373" si="111">ROUND((G371*$K$10),2)</f>
        <v>62.94</v>
      </c>
      <c r="I371" s="194">
        <f t="shared" ref="I371:I373" si="112">ROUND(((F371*H371)),2)</f>
        <v>521.77</v>
      </c>
      <c r="L371" s="309">
        <f>I371/$I$604</f>
        <v>3.9756301650399687E-4</v>
      </c>
    </row>
    <row r="372" spans="1:12" ht="44.25" customHeight="1" outlineLevel="1" x14ac:dyDescent="0.2">
      <c r="A372" s="1259" t="s">
        <v>1544</v>
      </c>
      <c r="B372" s="1266" t="s">
        <v>183</v>
      </c>
      <c r="C372" s="1260" t="s">
        <v>1577</v>
      </c>
      <c r="D372" s="1271" t="s">
        <v>1578</v>
      </c>
      <c r="E372" s="38" t="s">
        <v>205</v>
      </c>
      <c r="F372" s="132">
        <f>'13.HIDRO'!C389</f>
        <v>188.19</v>
      </c>
      <c r="G372" s="66">
        <v>11.38</v>
      </c>
      <c r="H372" s="194">
        <f t="shared" si="111"/>
        <v>14.66</v>
      </c>
      <c r="I372" s="194">
        <f t="shared" si="112"/>
        <v>2758.87</v>
      </c>
      <c r="L372" s="725">
        <f>I372/$I$604</f>
        <v>2.1021229264664158E-3</v>
      </c>
    </row>
    <row r="373" spans="1:12" ht="20.25" customHeight="1" outlineLevel="1" thickBot="1" x14ac:dyDescent="0.25">
      <c r="A373" s="1259" t="s">
        <v>1545</v>
      </c>
      <c r="B373" s="1266" t="s">
        <v>182</v>
      </c>
      <c r="C373" s="1260" t="s">
        <v>1567</v>
      </c>
      <c r="D373" s="1271" t="s">
        <v>1572</v>
      </c>
      <c r="E373" s="38" t="s">
        <v>739</v>
      </c>
      <c r="F373" s="132">
        <f>'13.HIDRO'!J395</f>
        <v>0.92</v>
      </c>
      <c r="G373" s="66">
        <v>785.4</v>
      </c>
      <c r="H373" s="194">
        <f t="shared" si="111"/>
        <v>1011.75</v>
      </c>
      <c r="I373" s="194">
        <f t="shared" si="112"/>
        <v>930.81</v>
      </c>
      <c r="L373" s="725">
        <f>I373/$I$604</f>
        <v>7.0923133064776692E-4</v>
      </c>
    </row>
    <row r="374" spans="1:12" ht="17.25" customHeight="1" outlineLevel="1" thickBot="1" x14ac:dyDescent="0.25">
      <c r="A374" s="847" t="s">
        <v>1522</v>
      </c>
      <c r="B374" s="848"/>
      <c r="C374" s="848"/>
      <c r="D374" s="849" t="s">
        <v>1574</v>
      </c>
      <c r="E374" s="849"/>
      <c r="F374" s="849"/>
      <c r="G374" s="849"/>
      <c r="H374" s="849"/>
      <c r="I374" s="850"/>
      <c r="L374" s="725"/>
    </row>
    <row r="375" spans="1:12" ht="33" customHeight="1" outlineLevel="1" x14ac:dyDescent="0.2">
      <c r="A375" s="1259" t="s">
        <v>1546</v>
      </c>
      <c r="B375" s="1266" t="s">
        <v>182</v>
      </c>
      <c r="C375" s="1260" t="s">
        <v>1090</v>
      </c>
      <c r="D375" s="1271" t="s">
        <v>1091</v>
      </c>
      <c r="E375" s="38" t="s">
        <v>328</v>
      </c>
      <c r="F375" s="132">
        <f>'13.HIDRO'!H402</f>
        <v>7.07</v>
      </c>
      <c r="G375" s="66">
        <v>27.74</v>
      </c>
      <c r="H375" s="194">
        <f t="shared" ref="H375:H380" si="113">ROUND((G375*$K$10),2)</f>
        <v>35.729999999999997</v>
      </c>
      <c r="I375" s="194">
        <f t="shared" ref="I375:I380" si="114">ROUND(((F375*H375)),2)</f>
        <v>252.61</v>
      </c>
      <c r="L375" s="725">
        <f t="shared" ref="L375:L380" si="115">I375/$I$604</f>
        <v>1.9247636621322548E-4</v>
      </c>
    </row>
    <row r="376" spans="1:12" ht="33.75" customHeight="1" outlineLevel="1" x14ac:dyDescent="0.2">
      <c r="A376" s="1259" t="s">
        <v>1547</v>
      </c>
      <c r="B376" s="1266" t="s">
        <v>183</v>
      </c>
      <c r="C376" s="1260" t="s">
        <v>1679</v>
      </c>
      <c r="D376" s="1271" t="s">
        <v>1680</v>
      </c>
      <c r="E376" s="38" t="s">
        <v>328</v>
      </c>
      <c r="F376" s="132">
        <f>'13.HIDRO'!C407</f>
        <v>7.07</v>
      </c>
      <c r="G376" s="66">
        <v>32.76</v>
      </c>
      <c r="H376" s="194">
        <f t="shared" si="113"/>
        <v>42.2</v>
      </c>
      <c r="I376" s="194">
        <f t="shared" si="114"/>
        <v>298.35000000000002</v>
      </c>
      <c r="L376" s="725">
        <f t="shared" si="115"/>
        <v>2.2732799121062439E-4</v>
      </c>
    </row>
    <row r="377" spans="1:12" ht="33.75" customHeight="1" outlineLevel="1" x14ac:dyDescent="0.2">
      <c r="A377" s="1259" t="s">
        <v>1548</v>
      </c>
      <c r="B377" s="1266" t="s">
        <v>183</v>
      </c>
      <c r="C377" s="1260" t="s">
        <v>684</v>
      </c>
      <c r="D377" s="1271" t="s">
        <v>685</v>
      </c>
      <c r="E377" s="38" t="s">
        <v>328</v>
      </c>
      <c r="F377" s="132">
        <f>'13.HIDRO'!C412</f>
        <v>7.07</v>
      </c>
      <c r="G377" s="66">
        <v>16.48</v>
      </c>
      <c r="H377" s="194">
        <f t="shared" si="113"/>
        <v>21.23</v>
      </c>
      <c r="I377" s="194">
        <f t="shared" si="114"/>
        <v>150.1</v>
      </c>
      <c r="L377" s="725">
        <f t="shared" si="115"/>
        <v>1.1436880000239556E-4</v>
      </c>
    </row>
    <row r="378" spans="1:12" ht="33.75" customHeight="1" outlineLevel="1" x14ac:dyDescent="0.2">
      <c r="A378" s="1259" t="s">
        <v>1549</v>
      </c>
      <c r="B378" s="1266" t="s">
        <v>183</v>
      </c>
      <c r="C378" s="1260" t="s">
        <v>1318</v>
      </c>
      <c r="D378" s="1271" t="s">
        <v>1319</v>
      </c>
      <c r="E378" s="38" t="s">
        <v>328</v>
      </c>
      <c r="F378" s="132">
        <f>'13.HIDRO'!C420</f>
        <v>12.58</v>
      </c>
      <c r="G378" s="66">
        <v>9.24</v>
      </c>
      <c r="H378" s="194">
        <f t="shared" si="113"/>
        <v>11.9</v>
      </c>
      <c r="I378" s="194">
        <f t="shared" si="114"/>
        <v>149.69999999999999</v>
      </c>
      <c r="L378" s="309">
        <f t="shared" si="115"/>
        <v>1.1406401972257572E-4</v>
      </c>
    </row>
    <row r="379" spans="1:12" ht="45.75" customHeight="1" outlineLevel="1" x14ac:dyDescent="0.2">
      <c r="A379" s="1259" t="s">
        <v>1550</v>
      </c>
      <c r="B379" s="1266" t="s">
        <v>183</v>
      </c>
      <c r="C379" s="1260" t="s">
        <v>1581</v>
      </c>
      <c r="D379" s="1271" t="s">
        <v>1582</v>
      </c>
      <c r="E379" s="38" t="s">
        <v>328</v>
      </c>
      <c r="F379" s="132">
        <f>'13.HIDRO'!C425</f>
        <v>12.58</v>
      </c>
      <c r="G379" s="66">
        <v>1.83</v>
      </c>
      <c r="H379" s="194">
        <f t="shared" si="113"/>
        <v>2.36</v>
      </c>
      <c r="I379" s="194">
        <f t="shared" si="114"/>
        <v>29.69</v>
      </c>
      <c r="L379" s="725">
        <f t="shared" si="115"/>
        <v>2.2622316269627744E-5</v>
      </c>
    </row>
    <row r="380" spans="1:12" ht="43.5" customHeight="1" outlineLevel="1" thickBot="1" x14ac:dyDescent="0.25">
      <c r="A380" s="1259" t="s">
        <v>1682</v>
      </c>
      <c r="B380" s="1266" t="s">
        <v>183</v>
      </c>
      <c r="C380" s="1260" t="s">
        <v>1583</v>
      </c>
      <c r="D380" s="1271" t="s">
        <v>1584</v>
      </c>
      <c r="E380" s="38" t="s">
        <v>328</v>
      </c>
      <c r="F380" s="132">
        <f>'13.HIDRO'!C430</f>
        <v>12.58</v>
      </c>
      <c r="G380" s="66">
        <v>13.42</v>
      </c>
      <c r="H380" s="194">
        <f t="shared" si="113"/>
        <v>17.29</v>
      </c>
      <c r="I380" s="194">
        <f t="shared" si="114"/>
        <v>217.51</v>
      </c>
      <c r="L380" s="725">
        <f t="shared" si="115"/>
        <v>1.6573189665903436E-4</v>
      </c>
    </row>
    <row r="381" spans="1:12" ht="17.25" customHeight="1" outlineLevel="1" thickBot="1" x14ac:dyDescent="0.25">
      <c r="A381" s="847" t="s">
        <v>1524</v>
      </c>
      <c r="B381" s="848"/>
      <c r="C381" s="848"/>
      <c r="D381" s="849" t="s">
        <v>1532</v>
      </c>
      <c r="E381" s="849"/>
      <c r="F381" s="849"/>
      <c r="G381" s="849"/>
      <c r="H381" s="849"/>
      <c r="I381" s="850"/>
      <c r="L381" s="725"/>
    </row>
    <row r="382" spans="1:12" ht="30" customHeight="1" outlineLevel="1" x14ac:dyDescent="0.2">
      <c r="A382" s="1259" t="s">
        <v>1551</v>
      </c>
      <c r="B382" s="1485" t="str">
        <f>COMPOSIÇÕES!A407</f>
        <v>COMPOSIÇÃO 39</v>
      </c>
      <c r="C382" s="1486"/>
      <c r="D382" s="1271" t="str">
        <f>COMPOSIÇÕES!C406</f>
        <v>CAIXA D'AGUA FIBRA DE VIDRO PARA 5000 LITROS, COM TAMPA, INCLUSO FUROS PARA CONEXÕES. FORNECIMENTO E INSTALAÇÃO.</v>
      </c>
      <c r="E382" s="1275" t="s">
        <v>219</v>
      </c>
      <c r="F382" s="132">
        <f>'13.HIDRO'!C435</f>
        <v>1</v>
      </c>
      <c r="G382" s="66">
        <f>COMPOSIÇÕES!M415</f>
        <v>2553.4499999999998</v>
      </c>
      <c r="H382" s="194">
        <f t="shared" ref="H382:H401" si="116">ROUND((G382*$K$10),2)</f>
        <v>3289.35</v>
      </c>
      <c r="I382" s="194">
        <f t="shared" ref="I382:I401" si="117">ROUND(((F382*H382)),2)</f>
        <v>3289.35</v>
      </c>
      <c r="L382" s="725">
        <f t="shared" ref="L382:L399" si="118">I382/$I$604</f>
        <v>2.5063225335634899E-3</v>
      </c>
    </row>
    <row r="383" spans="1:12" ht="21" customHeight="1" outlineLevel="1" x14ac:dyDescent="0.2">
      <c r="A383" s="1259" t="s">
        <v>1552</v>
      </c>
      <c r="B383" s="1266" t="s">
        <v>182</v>
      </c>
      <c r="C383" s="1260" t="s">
        <v>1585</v>
      </c>
      <c r="D383" s="1271" t="s">
        <v>1607</v>
      </c>
      <c r="E383" s="38" t="s">
        <v>218</v>
      </c>
      <c r="F383" s="132">
        <f>'13.HIDRO'!C439</f>
        <v>4.13</v>
      </c>
      <c r="G383" s="66">
        <v>412.93</v>
      </c>
      <c r="H383" s="194">
        <f t="shared" si="116"/>
        <v>531.94000000000005</v>
      </c>
      <c r="I383" s="194">
        <f t="shared" si="117"/>
        <v>2196.91</v>
      </c>
      <c r="L383" s="309">
        <f t="shared" si="118"/>
        <v>1.6739371113475205E-3</v>
      </c>
    </row>
    <row r="384" spans="1:12" ht="60" customHeight="1" outlineLevel="1" x14ac:dyDescent="0.2">
      <c r="A384" s="1259" t="s">
        <v>1553</v>
      </c>
      <c r="B384" s="1266" t="s">
        <v>183</v>
      </c>
      <c r="C384" s="1260" t="s">
        <v>1600</v>
      </c>
      <c r="D384" s="1271" t="s">
        <v>1601</v>
      </c>
      <c r="E384" s="38" t="s">
        <v>218</v>
      </c>
      <c r="F384" s="132">
        <f>'13.HIDRO'!C443</f>
        <v>8.2899999999999991</v>
      </c>
      <c r="G384" s="66">
        <v>469.55</v>
      </c>
      <c r="H384" s="194">
        <f t="shared" si="116"/>
        <v>604.87</v>
      </c>
      <c r="I384" s="194">
        <f t="shared" si="117"/>
        <v>5014.37</v>
      </c>
      <c r="L384" s="725">
        <f t="shared" si="118"/>
        <v>3.8207027293005479E-3</v>
      </c>
    </row>
    <row r="385" spans="1:12" ht="48" customHeight="1" outlineLevel="1" x14ac:dyDescent="0.2">
      <c r="A385" s="1259" t="s">
        <v>1554</v>
      </c>
      <c r="B385" s="1266" t="s">
        <v>183</v>
      </c>
      <c r="C385" s="1260" t="s">
        <v>1602</v>
      </c>
      <c r="D385" s="1271" t="s">
        <v>1603</v>
      </c>
      <c r="E385" s="38" t="s">
        <v>219</v>
      </c>
      <c r="F385" s="132">
        <f>'13.HIDRO'!C447</f>
        <v>2</v>
      </c>
      <c r="G385" s="66">
        <v>10.07</v>
      </c>
      <c r="H385" s="194">
        <f t="shared" si="116"/>
        <v>12.97</v>
      </c>
      <c r="I385" s="194">
        <f t="shared" si="117"/>
        <v>25.94</v>
      </c>
      <c r="L385" s="309">
        <f t="shared" si="118"/>
        <v>1.976500114631673E-5</v>
      </c>
    </row>
    <row r="386" spans="1:12" ht="20.25" customHeight="1" outlineLevel="1" x14ac:dyDescent="0.2">
      <c r="A386" s="1259" t="s">
        <v>1555</v>
      </c>
      <c r="B386" s="1266" t="s">
        <v>182</v>
      </c>
      <c r="C386" s="1260" t="s">
        <v>1604</v>
      </c>
      <c r="D386" s="1271" t="s">
        <v>1608</v>
      </c>
      <c r="E386" s="38" t="s">
        <v>219</v>
      </c>
      <c r="F386" s="132">
        <f>'13.HIDRO'!C451</f>
        <v>2</v>
      </c>
      <c r="G386" s="66">
        <v>22.69</v>
      </c>
      <c r="H386" s="194">
        <f t="shared" si="116"/>
        <v>29.23</v>
      </c>
      <c r="I386" s="194">
        <f t="shared" si="117"/>
        <v>58.46</v>
      </c>
      <c r="L386" s="725">
        <f t="shared" si="118"/>
        <v>4.454363789566985E-5</v>
      </c>
    </row>
    <row r="387" spans="1:12" ht="44.25" customHeight="1" outlineLevel="1" x14ac:dyDescent="0.2">
      <c r="A387" s="1259" t="s">
        <v>1556</v>
      </c>
      <c r="B387" s="1266" t="s">
        <v>183</v>
      </c>
      <c r="C387" s="1260" t="s">
        <v>1605</v>
      </c>
      <c r="D387" s="1271" t="s">
        <v>1606</v>
      </c>
      <c r="E387" s="38" t="s">
        <v>219</v>
      </c>
      <c r="F387" s="132">
        <f>'13.HIDRO'!C455</f>
        <v>2</v>
      </c>
      <c r="G387" s="66">
        <v>6.96</v>
      </c>
      <c r="H387" s="194">
        <f t="shared" si="116"/>
        <v>8.9700000000000006</v>
      </c>
      <c r="I387" s="194">
        <f t="shared" si="117"/>
        <v>17.940000000000001</v>
      </c>
      <c r="L387" s="725">
        <f t="shared" si="118"/>
        <v>1.3669395549919898E-5</v>
      </c>
    </row>
    <row r="388" spans="1:12" ht="31.5" customHeight="1" outlineLevel="1" x14ac:dyDescent="0.2">
      <c r="A388" s="1259" t="s">
        <v>1557</v>
      </c>
      <c r="B388" s="1266" t="s">
        <v>183</v>
      </c>
      <c r="C388" s="1260" t="s">
        <v>1615</v>
      </c>
      <c r="D388" s="1271" t="s">
        <v>1616</v>
      </c>
      <c r="E388" s="38" t="s">
        <v>219</v>
      </c>
      <c r="F388" s="132">
        <f>'13.HIDRO'!C459</f>
        <v>1</v>
      </c>
      <c r="G388" s="66">
        <v>37.82</v>
      </c>
      <c r="H388" s="194">
        <f t="shared" si="116"/>
        <v>48.72</v>
      </c>
      <c r="I388" s="194">
        <f t="shared" si="117"/>
        <v>48.72</v>
      </c>
      <c r="L388" s="309">
        <f t="shared" si="118"/>
        <v>3.7122238082056709E-5</v>
      </c>
    </row>
    <row r="389" spans="1:12" ht="20.25" customHeight="1" outlineLevel="1" x14ac:dyDescent="0.2">
      <c r="A389" s="1259" t="s">
        <v>1558</v>
      </c>
      <c r="B389" s="1266" t="s">
        <v>182</v>
      </c>
      <c r="C389" s="1260" t="s">
        <v>1617</v>
      </c>
      <c r="D389" s="1271" t="s">
        <v>1633</v>
      </c>
      <c r="E389" s="38" t="s">
        <v>219</v>
      </c>
      <c r="F389" s="132">
        <f>'13.HIDRO'!C463</f>
        <v>1</v>
      </c>
      <c r="G389" s="66">
        <v>31.76</v>
      </c>
      <c r="H389" s="194">
        <f t="shared" si="116"/>
        <v>40.909999999999997</v>
      </c>
      <c r="I389" s="194">
        <f t="shared" si="117"/>
        <v>40.909999999999997</v>
      </c>
      <c r="L389" s="725">
        <f t="shared" si="118"/>
        <v>3.1171403118574298E-5</v>
      </c>
    </row>
    <row r="390" spans="1:12" ht="20.25" customHeight="1" outlineLevel="1" x14ac:dyDescent="0.2">
      <c r="A390" s="1259" t="s">
        <v>1559</v>
      </c>
      <c r="B390" s="1266" t="s">
        <v>182</v>
      </c>
      <c r="C390" s="1260" t="s">
        <v>1618</v>
      </c>
      <c r="D390" s="1271" t="s">
        <v>1634</v>
      </c>
      <c r="E390" s="38" t="s">
        <v>219</v>
      </c>
      <c r="F390" s="132">
        <f>'13.HIDRO'!C467</f>
        <v>1</v>
      </c>
      <c r="G390" s="66">
        <v>51.37</v>
      </c>
      <c r="H390" s="194">
        <f t="shared" si="116"/>
        <v>66.17</v>
      </c>
      <c r="I390" s="194">
        <f t="shared" si="117"/>
        <v>66.17</v>
      </c>
      <c r="L390" s="725">
        <f t="shared" si="118"/>
        <v>5.0418277789197302E-5</v>
      </c>
    </row>
    <row r="391" spans="1:12" ht="45" customHeight="1" outlineLevel="1" x14ac:dyDescent="0.2">
      <c r="A391" s="1259" t="s">
        <v>1560</v>
      </c>
      <c r="B391" s="1266" t="s">
        <v>183</v>
      </c>
      <c r="C391" s="1260" t="s">
        <v>1619</v>
      </c>
      <c r="D391" s="1271" t="s">
        <v>1620</v>
      </c>
      <c r="E391" s="38" t="s">
        <v>219</v>
      </c>
      <c r="F391" s="132">
        <f>'13.HIDRO'!C471</f>
        <v>1</v>
      </c>
      <c r="G391" s="66">
        <v>162.88999999999999</v>
      </c>
      <c r="H391" s="194">
        <f t="shared" si="116"/>
        <v>209.83</v>
      </c>
      <c r="I391" s="194">
        <f t="shared" si="117"/>
        <v>209.83</v>
      </c>
      <c r="L391" s="309">
        <f t="shared" si="118"/>
        <v>1.5988011528649343E-4</v>
      </c>
    </row>
    <row r="392" spans="1:12" ht="57.75" customHeight="1" outlineLevel="1" x14ac:dyDescent="0.2">
      <c r="A392" s="1259" t="s">
        <v>1561</v>
      </c>
      <c r="B392" s="1266" t="s">
        <v>183</v>
      </c>
      <c r="C392" s="1260" t="s">
        <v>1621</v>
      </c>
      <c r="D392" s="1271" t="s">
        <v>1622</v>
      </c>
      <c r="E392" s="38" t="s">
        <v>219</v>
      </c>
      <c r="F392" s="132">
        <f>'13.HIDRO'!C475</f>
        <v>2</v>
      </c>
      <c r="G392" s="66">
        <v>12.79</v>
      </c>
      <c r="H392" s="194">
        <f t="shared" si="116"/>
        <v>16.48</v>
      </c>
      <c r="I392" s="194">
        <f t="shared" si="117"/>
        <v>32.96</v>
      </c>
      <c r="L392" s="725">
        <f t="shared" si="118"/>
        <v>2.5113895057154951E-5</v>
      </c>
    </row>
    <row r="393" spans="1:12" ht="45.75" customHeight="1" outlineLevel="1" x14ac:dyDescent="0.2">
      <c r="A393" s="1259" t="s">
        <v>1562</v>
      </c>
      <c r="B393" s="1266" t="s">
        <v>183</v>
      </c>
      <c r="C393" s="1260" t="s">
        <v>1623</v>
      </c>
      <c r="D393" s="1271" t="s">
        <v>1624</v>
      </c>
      <c r="E393" s="38" t="s">
        <v>219</v>
      </c>
      <c r="F393" s="132">
        <f>'13.HIDRO'!C479</f>
        <v>2</v>
      </c>
      <c r="G393" s="66">
        <v>29.08</v>
      </c>
      <c r="H393" s="194">
        <f t="shared" si="116"/>
        <v>37.46</v>
      </c>
      <c r="I393" s="194">
        <f t="shared" si="117"/>
        <v>74.92</v>
      </c>
      <c r="L393" s="725">
        <f t="shared" si="118"/>
        <v>5.7085346410256335E-5</v>
      </c>
    </row>
    <row r="394" spans="1:12" ht="20.25" customHeight="1" outlineLevel="1" x14ac:dyDescent="0.2">
      <c r="A394" s="1259" t="s">
        <v>1563</v>
      </c>
      <c r="B394" s="1485" t="str">
        <f>COMPOSIÇÕES!A419</f>
        <v>COMPOSIÇÃO 40</v>
      </c>
      <c r="C394" s="1486"/>
      <c r="D394" s="1271" t="str">
        <f>COMPOSIÇÕES!C418</f>
        <v>TE SOLDAVEL, PVC, 90 GRAUS, 50 MM. FORNECIMENTO E INSTALAÇÃO.</v>
      </c>
      <c r="E394" s="38" t="s">
        <v>219</v>
      </c>
      <c r="F394" s="132">
        <f>'13.HIDRO'!C483</f>
        <v>1</v>
      </c>
      <c r="G394" s="66">
        <f>COMPOSIÇÕES!M427</f>
        <v>49.24</v>
      </c>
      <c r="H394" s="194">
        <f t="shared" si="116"/>
        <v>63.43</v>
      </c>
      <c r="I394" s="194">
        <f t="shared" si="117"/>
        <v>63.43</v>
      </c>
      <c r="L394" s="309">
        <f t="shared" si="118"/>
        <v>4.8330532872431381E-5</v>
      </c>
    </row>
    <row r="395" spans="1:12" ht="44.25" customHeight="1" outlineLevel="1" x14ac:dyDescent="0.2">
      <c r="A395" s="1259" t="s">
        <v>1609</v>
      </c>
      <c r="B395" s="1266" t="s">
        <v>183</v>
      </c>
      <c r="C395" s="1260" t="s">
        <v>1602</v>
      </c>
      <c r="D395" s="1271" t="s">
        <v>2612</v>
      </c>
      <c r="E395" s="38" t="s">
        <v>219</v>
      </c>
      <c r="F395" s="132">
        <f>'13.HIDRO'!C487</f>
        <v>2</v>
      </c>
      <c r="G395" s="66">
        <v>10.07</v>
      </c>
      <c r="H395" s="194">
        <f t="shared" si="116"/>
        <v>12.97</v>
      </c>
      <c r="I395" s="194">
        <f t="shared" si="117"/>
        <v>25.94</v>
      </c>
      <c r="L395" s="725">
        <f t="shared" si="118"/>
        <v>1.976500114631673E-5</v>
      </c>
    </row>
    <row r="396" spans="1:12" ht="21" customHeight="1" outlineLevel="1" x14ac:dyDescent="0.2">
      <c r="A396" s="1259" t="s">
        <v>1610</v>
      </c>
      <c r="B396" s="1266" t="s">
        <v>182</v>
      </c>
      <c r="C396" s="1260" t="s">
        <v>1628</v>
      </c>
      <c r="D396" s="1271" t="s">
        <v>1635</v>
      </c>
      <c r="E396" s="38" t="s">
        <v>219</v>
      </c>
      <c r="F396" s="132">
        <f>'13.HIDRO'!C491</f>
        <v>1</v>
      </c>
      <c r="G396" s="66">
        <v>76.89</v>
      </c>
      <c r="H396" s="194">
        <f t="shared" si="116"/>
        <v>99.05</v>
      </c>
      <c r="I396" s="194">
        <f t="shared" si="117"/>
        <v>99.05</v>
      </c>
      <c r="L396" s="725">
        <f t="shared" si="118"/>
        <v>7.5471216790388277E-5</v>
      </c>
    </row>
    <row r="397" spans="1:12" ht="59.25" customHeight="1" outlineLevel="1" x14ac:dyDescent="0.2">
      <c r="A397" s="1259" t="s">
        <v>1611</v>
      </c>
      <c r="B397" s="1266" t="s">
        <v>183</v>
      </c>
      <c r="C397" s="1260" t="s">
        <v>1629</v>
      </c>
      <c r="D397" s="1271" t="s">
        <v>1630</v>
      </c>
      <c r="E397" s="38" t="s">
        <v>219</v>
      </c>
      <c r="F397" s="132">
        <f>'13.HIDRO'!C495</f>
        <v>2</v>
      </c>
      <c r="G397" s="66">
        <v>5.66</v>
      </c>
      <c r="H397" s="194">
        <f t="shared" si="116"/>
        <v>7.29</v>
      </c>
      <c r="I397" s="194">
        <f t="shared" si="117"/>
        <v>14.58</v>
      </c>
      <c r="L397" s="309">
        <f t="shared" si="118"/>
        <v>1.1109241199433227E-5</v>
      </c>
    </row>
    <row r="398" spans="1:12" ht="32.25" customHeight="1" outlineLevel="1" x14ac:dyDescent="0.2">
      <c r="A398" s="1259" t="s">
        <v>1612</v>
      </c>
      <c r="B398" s="1266" t="s">
        <v>183</v>
      </c>
      <c r="C398" s="1260" t="s">
        <v>1631</v>
      </c>
      <c r="D398" s="1271" t="s">
        <v>1632</v>
      </c>
      <c r="E398" s="38" t="s">
        <v>219</v>
      </c>
      <c r="F398" s="132">
        <f>'13.HIDRO'!C499</f>
        <v>1</v>
      </c>
      <c r="G398" s="66">
        <v>148.65</v>
      </c>
      <c r="H398" s="194">
        <f t="shared" si="116"/>
        <v>191.49</v>
      </c>
      <c r="I398" s="194">
        <f t="shared" si="117"/>
        <v>191.49</v>
      </c>
      <c r="L398" s="725">
        <f t="shared" si="118"/>
        <v>1.4590593945675368E-4</v>
      </c>
    </row>
    <row r="399" spans="1:12" ht="44.25" customHeight="1" outlineLevel="1" x14ac:dyDescent="0.2">
      <c r="A399" s="1259" t="s">
        <v>1686</v>
      </c>
      <c r="B399" s="1266" t="s">
        <v>183</v>
      </c>
      <c r="C399" s="1260" t="s">
        <v>1688</v>
      </c>
      <c r="D399" s="1271" t="s">
        <v>1689</v>
      </c>
      <c r="E399" s="38" t="s">
        <v>218</v>
      </c>
      <c r="F399" s="132">
        <f>'13.HIDRO'!C503</f>
        <v>21.14</v>
      </c>
      <c r="G399" s="66">
        <v>10.11</v>
      </c>
      <c r="H399" s="194">
        <f t="shared" si="116"/>
        <v>13.02</v>
      </c>
      <c r="I399" s="194">
        <f t="shared" si="117"/>
        <v>275.24</v>
      </c>
      <c r="L399" s="309">
        <f t="shared" si="118"/>
        <v>2.0971931054403301E-4</v>
      </c>
    </row>
    <row r="400" spans="1:12" ht="44.25" customHeight="1" outlineLevel="1" x14ac:dyDescent="0.2">
      <c r="A400" s="1259" t="s">
        <v>1687</v>
      </c>
      <c r="B400" s="1266" t="s">
        <v>183</v>
      </c>
      <c r="C400" s="1260" t="s">
        <v>1693</v>
      </c>
      <c r="D400" s="1271" t="s">
        <v>1694</v>
      </c>
      <c r="E400" s="38" t="s">
        <v>218</v>
      </c>
      <c r="F400" s="132">
        <f>'13.HIDRO'!C507</f>
        <v>14.8</v>
      </c>
      <c r="G400" s="66">
        <v>16.78</v>
      </c>
      <c r="H400" s="194">
        <f>ROUND((G400*$K$10),2)</f>
        <v>21.62</v>
      </c>
      <c r="I400" s="194">
        <f t="shared" si="117"/>
        <v>319.98</v>
      </c>
      <c r="L400" s="309"/>
    </row>
    <row r="401" spans="1:12" ht="48" customHeight="1" outlineLevel="1" x14ac:dyDescent="0.2">
      <c r="A401" s="1259" t="s">
        <v>1692</v>
      </c>
      <c r="B401" s="1266" t="s">
        <v>183</v>
      </c>
      <c r="C401" s="1260" t="s">
        <v>1690</v>
      </c>
      <c r="D401" s="1271" t="s">
        <v>1691</v>
      </c>
      <c r="E401" s="38" t="s">
        <v>218</v>
      </c>
      <c r="F401" s="132">
        <f>'13.HIDRO'!C511</f>
        <v>3.2</v>
      </c>
      <c r="G401" s="66">
        <v>25.97</v>
      </c>
      <c r="H401" s="194">
        <f t="shared" si="116"/>
        <v>33.450000000000003</v>
      </c>
      <c r="I401" s="194">
        <f t="shared" si="117"/>
        <v>107.04</v>
      </c>
      <c r="L401" s="725">
        <f>I401/$I$604</f>
        <v>8.1559202879789624E-5</v>
      </c>
    </row>
    <row r="402" spans="1:12" ht="12.75" customHeight="1" thickBot="1" x14ac:dyDescent="0.25">
      <c r="A402" s="1496" t="s">
        <v>856</v>
      </c>
      <c r="B402" s="1497"/>
      <c r="C402" s="1497"/>
      <c r="D402" s="1497"/>
      <c r="E402" s="1497"/>
      <c r="F402" s="1497"/>
      <c r="G402" s="1498"/>
      <c r="H402" s="676"/>
      <c r="I402" s="1214">
        <f>ROUND(SUM(I304:I401),2)</f>
        <v>85865.31</v>
      </c>
      <c r="L402" s="725"/>
    </row>
    <row r="403" spans="1:12" ht="16.5" customHeight="1" thickBot="1" x14ac:dyDescent="0.25">
      <c r="A403" s="1263">
        <v>14</v>
      </c>
      <c r="B403" s="1264"/>
      <c r="C403" s="1264"/>
      <c r="D403" s="154" t="s">
        <v>192</v>
      </c>
      <c r="E403" s="154"/>
      <c r="F403" s="154"/>
      <c r="G403" s="154"/>
      <c r="H403" s="154"/>
      <c r="I403" s="155"/>
      <c r="J403" s="724">
        <f>I428/$I$604</f>
        <v>3.9764210698661012E-2</v>
      </c>
      <c r="L403" s="725"/>
    </row>
    <row r="404" spans="1:12" ht="44.25" customHeight="1" outlineLevel="1" x14ac:dyDescent="0.2">
      <c r="A404" s="1029" t="s">
        <v>807</v>
      </c>
      <c r="B404" s="1266" t="s">
        <v>183</v>
      </c>
      <c r="C404" s="1029" t="s">
        <v>687</v>
      </c>
      <c r="D404" s="1268" t="s">
        <v>688</v>
      </c>
      <c r="E404" s="1275" t="s">
        <v>219</v>
      </c>
      <c r="F404" s="131">
        <f>'14.ACESS.'!C24</f>
        <v>7</v>
      </c>
      <c r="G404" s="677">
        <v>422.52</v>
      </c>
      <c r="H404" s="127">
        <f>ROUND((G404*$K$10),2)</f>
        <v>544.29</v>
      </c>
      <c r="I404" s="127">
        <f>ROUND(((F404*H404)),2)</f>
        <v>3810.03</v>
      </c>
      <c r="L404" s="725">
        <f t="shared" ref="L404:L412" si="119">I404/$I$604</f>
        <v>2.9030550238049778E-3</v>
      </c>
    </row>
    <row r="405" spans="1:12" ht="49.5" customHeight="1" outlineLevel="1" x14ac:dyDescent="0.2">
      <c r="A405" s="1029" t="s">
        <v>808</v>
      </c>
      <c r="B405" s="1260" t="s">
        <v>183</v>
      </c>
      <c r="C405" s="1259" t="s">
        <v>1348</v>
      </c>
      <c r="D405" s="1271" t="s">
        <v>1349</v>
      </c>
      <c r="E405" s="38" t="s">
        <v>739</v>
      </c>
      <c r="F405" s="132">
        <f>'14.ACESS.'!C38</f>
        <v>0.05</v>
      </c>
      <c r="G405" s="130">
        <v>783.65</v>
      </c>
      <c r="H405" s="127">
        <f t="shared" ref="H405:H427" si="120">ROUND((G405*$K$10),2)</f>
        <v>1009.5</v>
      </c>
      <c r="I405" s="127">
        <f t="shared" ref="I405:I427" si="121">ROUND(((F405*H405)),2)</f>
        <v>50.48</v>
      </c>
      <c r="L405" s="725">
        <f t="shared" si="119"/>
        <v>3.8463271313264011E-5</v>
      </c>
    </row>
    <row r="406" spans="1:12" ht="30" customHeight="1" outlineLevel="1" x14ac:dyDescent="0.2">
      <c r="A406" s="1029" t="s">
        <v>809</v>
      </c>
      <c r="B406" s="1260" t="s">
        <v>183</v>
      </c>
      <c r="C406" s="1259">
        <v>100849</v>
      </c>
      <c r="D406" s="2" t="s">
        <v>185</v>
      </c>
      <c r="E406" s="38" t="s">
        <v>219</v>
      </c>
      <c r="F406" s="132">
        <f>'14.ACESS.'!C51</f>
        <v>7</v>
      </c>
      <c r="G406" s="130">
        <v>33.99</v>
      </c>
      <c r="H406" s="127">
        <f t="shared" si="120"/>
        <v>43.79</v>
      </c>
      <c r="I406" s="127">
        <f t="shared" si="121"/>
        <v>306.52999999999997</v>
      </c>
      <c r="L406" s="725">
        <f t="shared" si="119"/>
        <v>2.3356074793294009E-4</v>
      </c>
    </row>
    <row r="407" spans="1:12" ht="18" customHeight="1" outlineLevel="1" x14ac:dyDescent="0.2">
      <c r="A407" s="1029" t="s">
        <v>810</v>
      </c>
      <c r="B407" s="1266" t="s">
        <v>182</v>
      </c>
      <c r="C407" s="1260">
        <v>190795</v>
      </c>
      <c r="D407" s="2" t="s">
        <v>691</v>
      </c>
      <c r="E407" s="38" t="s">
        <v>219</v>
      </c>
      <c r="F407" s="132">
        <f>'14.ACESS.'!C70</f>
        <v>13</v>
      </c>
      <c r="G407" s="66">
        <v>98.13</v>
      </c>
      <c r="H407" s="127">
        <f t="shared" si="120"/>
        <v>126.41</v>
      </c>
      <c r="I407" s="127">
        <f t="shared" si="121"/>
        <v>1643.33</v>
      </c>
      <c r="L407" s="725">
        <f t="shared" si="119"/>
        <v>1.2521364430908507E-3</v>
      </c>
    </row>
    <row r="408" spans="1:12" ht="29.25" customHeight="1" outlineLevel="1" x14ac:dyDescent="0.2">
      <c r="A408" s="1029" t="s">
        <v>811</v>
      </c>
      <c r="B408" s="1266" t="s">
        <v>183</v>
      </c>
      <c r="C408" s="1260" t="s">
        <v>689</v>
      </c>
      <c r="D408" s="2" t="s">
        <v>690</v>
      </c>
      <c r="E408" s="38" t="s">
        <v>219</v>
      </c>
      <c r="F408" s="132">
        <f>'14.ACESS.'!C75</f>
        <v>7</v>
      </c>
      <c r="G408" s="66">
        <v>49.17</v>
      </c>
      <c r="H408" s="127">
        <f t="shared" si="120"/>
        <v>63.34</v>
      </c>
      <c r="I408" s="127">
        <f t="shared" si="121"/>
        <v>443.38</v>
      </c>
      <c r="L408" s="725">
        <f t="shared" si="119"/>
        <v>3.3783370116630341E-4</v>
      </c>
    </row>
    <row r="409" spans="1:12" ht="17.25" customHeight="1" outlineLevel="1" x14ac:dyDescent="0.2">
      <c r="A409" s="1029" t="s">
        <v>812</v>
      </c>
      <c r="B409" s="1266" t="s">
        <v>182</v>
      </c>
      <c r="C409" s="1260" t="s">
        <v>829</v>
      </c>
      <c r="D409" s="2" t="s">
        <v>830</v>
      </c>
      <c r="E409" s="38" t="s">
        <v>219</v>
      </c>
      <c r="F409" s="132">
        <f>'14.ACESS.'!C89</f>
        <v>9</v>
      </c>
      <c r="G409" s="66">
        <v>178.3</v>
      </c>
      <c r="H409" s="127">
        <f t="shared" si="120"/>
        <v>229.69</v>
      </c>
      <c r="I409" s="127">
        <f t="shared" si="121"/>
        <v>2067.21</v>
      </c>
      <c r="L409" s="725">
        <f t="shared" si="119"/>
        <v>1.575112105615937E-3</v>
      </c>
    </row>
    <row r="410" spans="1:12" ht="17.25" customHeight="1" outlineLevel="1" x14ac:dyDescent="0.2">
      <c r="A410" s="1029" t="s">
        <v>813</v>
      </c>
      <c r="B410" s="1266" t="s">
        <v>182</v>
      </c>
      <c r="C410" s="1260" t="s">
        <v>560</v>
      </c>
      <c r="D410" s="2" t="s">
        <v>561</v>
      </c>
      <c r="E410" s="38" t="s">
        <v>218</v>
      </c>
      <c r="F410" s="132">
        <f>'14.ACESS.'!C106</f>
        <v>14.7</v>
      </c>
      <c r="G410" s="66">
        <v>281.64999999999998</v>
      </c>
      <c r="H410" s="127">
        <f t="shared" si="120"/>
        <v>362.82</v>
      </c>
      <c r="I410" s="127">
        <f t="shared" si="121"/>
        <v>5333.45</v>
      </c>
      <c r="L410" s="725">
        <f t="shared" si="119"/>
        <v>4.0638259585128352E-3</v>
      </c>
    </row>
    <row r="411" spans="1:12" ht="33" customHeight="1" outlineLevel="1" x14ac:dyDescent="0.2">
      <c r="A411" s="1029" t="s">
        <v>814</v>
      </c>
      <c r="B411" s="1266" t="s">
        <v>183</v>
      </c>
      <c r="C411" s="1260" t="s">
        <v>692</v>
      </c>
      <c r="D411" s="2" t="s">
        <v>693</v>
      </c>
      <c r="E411" s="38" t="s">
        <v>219</v>
      </c>
      <c r="F411" s="132">
        <f>'14.ACESS.'!C117</f>
        <v>10</v>
      </c>
      <c r="G411" s="130">
        <v>537.67999999999995</v>
      </c>
      <c r="H411" s="127">
        <f t="shared" si="120"/>
        <v>692.64</v>
      </c>
      <c r="I411" s="127">
        <f t="shared" si="121"/>
        <v>6926.4</v>
      </c>
      <c r="L411" s="725">
        <f t="shared" si="119"/>
        <v>5.2775753253603772E-3</v>
      </c>
    </row>
    <row r="412" spans="1:12" ht="54.75" customHeight="1" outlineLevel="1" x14ac:dyDescent="0.2">
      <c r="A412" s="1029" t="s">
        <v>815</v>
      </c>
      <c r="B412" s="1266" t="s">
        <v>183</v>
      </c>
      <c r="C412" s="1260">
        <v>86942</v>
      </c>
      <c r="D412" s="2" t="s">
        <v>307</v>
      </c>
      <c r="E412" s="38" t="s">
        <v>219</v>
      </c>
      <c r="F412" s="132">
        <f>'14.ACESS.'!C134</f>
        <v>11</v>
      </c>
      <c r="G412" s="130">
        <v>216.98</v>
      </c>
      <c r="H412" s="127">
        <f t="shared" si="120"/>
        <v>279.51</v>
      </c>
      <c r="I412" s="127">
        <f t="shared" si="121"/>
        <v>3074.61</v>
      </c>
      <c r="L412" s="725">
        <f t="shared" si="119"/>
        <v>2.3427012403422079E-3</v>
      </c>
    </row>
    <row r="413" spans="1:12" ht="19.5" customHeight="1" outlineLevel="1" x14ac:dyDescent="0.2">
      <c r="A413" s="1029" t="s">
        <v>816</v>
      </c>
      <c r="B413" s="1259" t="s">
        <v>182</v>
      </c>
      <c r="C413" s="1260" t="s">
        <v>352</v>
      </c>
      <c r="D413" s="2" t="s">
        <v>694</v>
      </c>
      <c r="E413" s="38" t="s">
        <v>219</v>
      </c>
      <c r="F413" s="132">
        <f>'14.ACESS.'!C139</f>
        <v>5</v>
      </c>
      <c r="G413" s="130">
        <v>156.69999999999999</v>
      </c>
      <c r="H413" s="127">
        <f t="shared" si="120"/>
        <v>201.86</v>
      </c>
      <c r="I413" s="127">
        <f t="shared" si="121"/>
        <v>1009.3</v>
      </c>
      <c r="L413" s="725"/>
    </row>
    <row r="414" spans="1:12" ht="32.25" customHeight="1" outlineLevel="1" x14ac:dyDescent="0.2">
      <c r="A414" s="1029" t="s">
        <v>817</v>
      </c>
      <c r="B414" s="1259" t="s">
        <v>183</v>
      </c>
      <c r="C414" s="1260" t="s">
        <v>697</v>
      </c>
      <c r="D414" s="2" t="s">
        <v>698</v>
      </c>
      <c r="E414" s="38" t="s">
        <v>219</v>
      </c>
      <c r="F414" s="132">
        <f>'14.ACESS.'!C146</f>
        <v>1</v>
      </c>
      <c r="G414" s="66">
        <v>86.43</v>
      </c>
      <c r="H414" s="127">
        <f t="shared" si="120"/>
        <v>111.34</v>
      </c>
      <c r="I414" s="127">
        <f t="shared" si="121"/>
        <v>111.34</v>
      </c>
      <c r="L414" s="725">
        <f t="shared" ref="L414:L427" si="122">I414/$I$604</f>
        <v>8.4835590887852912E-5</v>
      </c>
    </row>
    <row r="415" spans="1:12" ht="16.5" customHeight="1" outlineLevel="1" x14ac:dyDescent="0.2">
      <c r="A415" s="1029" t="s">
        <v>818</v>
      </c>
      <c r="B415" s="1259" t="s">
        <v>182</v>
      </c>
      <c r="C415" s="1260" t="s">
        <v>699</v>
      </c>
      <c r="D415" s="2" t="s">
        <v>700</v>
      </c>
      <c r="E415" s="38" t="s">
        <v>219</v>
      </c>
      <c r="F415" s="132">
        <f>'14.ACESS.'!C151</f>
        <v>1</v>
      </c>
      <c r="G415" s="66">
        <v>763.43</v>
      </c>
      <c r="H415" s="127">
        <f t="shared" si="120"/>
        <v>983.45</v>
      </c>
      <c r="I415" s="127">
        <f t="shared" si="121"/>
        <v>983.45</v>
      </c>
      <c r="L415" s="725">
        <f t="shared" si="122"/>
        <v>7.4934041547205816E-4</v>
      </c>
    </row>
    <row r="416" spans="1:12" ht="15.75" customHeight="1" outlineLevel="1" x14ac:dyDescent="0.2">
      <c r="A416" s="1029" t="s">
        <v>819</v>
      </c>
      <c r="B416" s="1266" t="s">
        <v>182</v>
      </c>
      <c r="C416" s="1259" t="s">
        <v>695</v>
      </c>
      <c r="D416" s="2" t="s">
        <v>696</v>
      </c>
      <c r="E416" s="38" t="s">
        <v>219</v>
      </c>
      <c r="F416" s="132">
        <f>'14.ACESS.'!C170</f>
        <v>14</v>
      </c>
      <c r="G416" s="66">
        <v>52.69</v>
      </c>
      <c r="H416" s="127">
        <f t="shared" si="120"/>
        <v>67.88</v>
      </c>
      <c r="I416" s="127">
        <f t="shared" si="121"/>
        <v>950.32</v>
      </c>
      <c r="L416" s="725">
        <f t="shared" si="122"/>
        <v>7.2409698879597969E-4</v>
      </c>
    </row>
    <row r="417" spans="1:12" ht="29.25" customHeight="1" outlineLevel="1" x14ac:dyDescent="0.2">
      <c r="A417" s="1029" t="s">
        <v>820</v>
      </c>
      <c r="B417" s="1485" t="str">
        <f>COMPOSIÇÕES!A431</f>
        <v>COMPOSIÇÃO 41</v>
      </c>
      <c r="C417" s="1486"/>
      <c r="D417" s="2" t="str">
        <f>COMPOSIÇÕES!C430</f>
        <v>TANQUE ACO INOXIDAVEL (ACO 304) COM ESFREGADOR, SIFÃO E VALVULA, DE *50 X 40 X 22* CM. FORNECIMENTO E INSTALAÇÃO.</v>
      </c>
      <c r="E417" s="38" t="s">
        <v>219</v>
      </c>
      <c r="F417" s="132">
        <f>'14.ACESS.'!C177</f>
        <v>1</v>
      </c>
      <c r="G417" s="66">
        <f>COMPOSIÇÕES!M438</f>
        <v>568.02</v>
      </c>
      <c r="H417" s="127">
        <f t="shared" si="120"/>
        <v>731.72</v>
      </c>
      <c r="I417" s="127">
        <f t="shared" si="121"/>
        <v>731.72</v>
      </c>
      <c r="L417" s="725">
        <f t="shared" si="122"/>
        <v>5.5753456587443622E-4</v>
      </c>
    </row>
    <row r="418" spans="1:12" ht="40.5" customHeight="1" outlineLevel="1" x14ac:dyDescent="0.2">
      <c r="A418" s="1029" t="s">
        <v>821</v>
      </c>
      <c r="B418" s="1259" t="s">
        <v>183</v>
      </c>
      <c r="C418" s="1260" t="s">
        <v>707</v>
      </c>
      <c r="D418" s="2" t="s">
        <v>708</v>
      </c>
      <c r="E418" s="38" t="s">
        <v>219</v>
      </c>
      <c r="F418" s="132">
        <f>'14.ACESS.'!C184</f>
        <v>1</v>
      </c>
      <c r="G418" s="66">
        <v>61.4</v>
      </c>
      <c r="H418" s="127">
        <f t="shared" si="120"/>
        <v>79.099999999999994</v>
      </c>
      <c r="I418" s="127">
        <f t="shared" si="121"/>
        <v>79.099999999999994</v>
      </c>
      <c r="L418" s="725">
        <f t="shared" si="122"/>
        <v>6.0270300334373674E-5</v>
      </c>
    </row>
    <row r="419" spans="1:12" ht="19.5" customHeight="1" outlineLevel="1" x14ac:dyDescent="0.2">
      <c r="A419" s="1029" t="s">
        <v>822</v>
      </c>
      <c r="B419" s="1259" t="s">
        <v>182</v>
      </c>
      <c r="C419" s="1260" t="s">
        <v>2028</v>
      </c>
      <c r="D419" s="2" t="s">
        <v>2029</v>
      </c>
      <c r="E419" s="38" t="s">
        <v>328</v>
      </c>
      <c r="F419" s="132">
        <f>'14.ACESS.'!C192</f>
        <v>5.3</v>
      </c>
      <c r="G419" s="66">
        <v>640.95000000000005</v>
      </c>
      <c r="H419" s="127">
        <f t="shared" si="120"/>
        <v>825.67</v>
      </c>
      <c r="I419" s="127">
        <f t="shared" si="121"/>
        <v>4376.05</v>
      </c>
      <c r="L419" s="725">
        <f t="shared" si="122"/>
        <v>3.3343343587640449E-3</v>
      </c>
    </row>
    <row r="420" spans="1:12" ht="43.5" customHeight="1" outlineLevel="1" x14ac:dyDescent="0.2">
      <c r="A420" s="1029" t="s">
        <v>823</v>
      </c>
      <c r="B420" s="1485" t="str">
        <f>COMPOSIÇÕES!G442</f>
        <v>COMPOSIÇÃO 42</v>
      </c>
      <c r="C420" s="1486"/>
      <c r="D420" s="539" t="str">
        <f>COMPOSIÇÕES!C441</f>
        <v>BANCADA EM GRANITO DE 265X60 CM, COM UMA CUBA DE INOX DE 56 X 33 X 12 CM, COM VALVULA, TORNEIRA, ENGATE FLEXÍVEL, SIFÃO, RODABANCA E SAIA. FORNECIMENTO E INSTALAÇÃO NO FRALDÁRIO.</v>
      </c>
      <c r="E420" s="38" t="s">
        <v>219</v>
      </c>
      <c r="F420" s="132">
        <f>'14.ACESS.'!C199</f>
        <v>1</v>
      </c>
      <c r="G420" s="66">
        <f>COMPOSIÇÕES!M459</f>
        <v>1445.57</v>
      </c>
      <c r="H420" s="127">
        <f t="shared" si="120"/>
        <v>1862.18</v>
      </c>
      <c r="I420" s="127">
        <f t="shared" si="121"/>
        <v>1862.18</v>
      </c>
      <c r="L420" s="725">
        <f t="shared" si="122"/>
        <v>1.4188893536872817E-3</v>
      </c>
    </row>
    <row r="421" spans="1:12" ht="56.25" customHeight="1" outlineLevel="1" x14ac:dyDescent="0.2">
      <c r="A421" s="1029" t="s">
        <v>824</v>
      </c>
      <c r="B421" s="1485" t="str">
        <f>COMPOSIÇÕES!G478</f>
        <v>COMPOSIÇÃO 43</v>
      </c>
      <c r="C421" s="1486"/>
      <c r="D421" s="539" t="str">
        <f>COMPOSIÇÕES!C477</f>
        <v>BANCADA EM "L" DE GRANITO NAS DIMENSÕES DE  265X60 CM, COM UMA CUBA DE INOX DE 40 X 34 X 12 CM, COM VALVULA, TORNEIRA, ENGATE FLEXÍVEL, SIFÃO, RODABANCA, SAIA E SÓCULO. FORNECIMENTO E INSTALAÇÃO.</v>
      </c>
      <c r="E421" s="38" t="s">
        <v>219</v>
      </c>
      <c r="F421" s="132">
        <f>'14.ACESS.'!C206</f>
        <v>1</v>
      </c>
      <c r="G421" s="66">
        <f>COMPOSIÇÕES!M501</f>
        <v>1699.51</v>
      </c>
      <c r="H421" s="127">
        <f t="shared" si="120"/>
        <v>2189.31</v>
      </c>
      <c r="I421" s="127">
        <f t="shared" si="121"/>
        <v>2189.31</v>
      </c>
      <c r="L421" s="725">
        <f t="shared" si="122"/>
        <v>1.6681462860309436E-3</v>
      </c>
    </row>
    <row r="422" spans="1:12" ht="45" customHeight="1" outlineLevel="1" x14ac:dyDescent="0.2">
      <c r="A422" s="1029" t="s">
        <v>825</v>
      </c>
      <c r="B422" s="1485" t="str">
        <f>COMPOSIÇÕES!G505</f>
        <v>COMPOSIÇÃO 44</v>
      </c>
      <c r="C422" s="1486"/>
      <c r="D422" s="539" t="str">
        <f>COMPOSIÇÕES!C504</f>
        <v>BANCADA EM GRANITO DE 245X60 CM, COM DUAS CUBA DE LOUÇA BRANCA OVAL, COM VALVULA, INCLUSO: ENGATE FLEXÍVEL, SIFÃO, RODABANCA E SAIA. FORNECIMENTO E INSTALAÇÃO.</v>
      </c>
      <c r="E422" s="38" t="s">
        <v>219</v>
      </c>
      <c r="F422" s="132">
        <f>'14.ACESS.'!C213</f>
        <v>1</v>
      </c>
      <c r="G422" s="66">
        <f>COMPOSIÇÕES!M520</f>
        <v>1339.98</v>
      </c>
      <c r="H422" s="127">
        <f t="shared" si="120"/>
        <v>1726.16</v>
      </c>
      <c r="I422" s="127">
        <f t="shared" si="121"/>
        <v>1726.16</v>
      </c>
      <c r="L422" s="725">
        <f t="shared" si="122"/>
        <v>1.3152488195345446E-3</v>
      </c>
    </row>
    <row r="423" spans="1:12" ht="31.5" customHeight="1" outlineLevel="1" x14ac:dyDescent="0.2">
      <c r="A423" s="1029" t="s">
        <v>826</v>
      </c>
      <c r="B423" s="1259" t="s">
        <v>183</v>
      </c>
      <c r="C423" s="1260" t="s">
        <v>758</v>
      </c>
      <c r="D423" s="2" t="s">
        <v>715</v>
      </c>
      <c r="E423" s="38" t="s">
        <v>219</v>
      </c>
      <c r="F423" s="132">
        <f>'14.ACESS.'!C220</f>
        <v>2</v>
      </c>
      <c r="G423" s="66">
        <v>52.46</v>
      </c>
      <c r="H423" s="127">
        <f t="shared" si="120"/>
        <v>67.58</v>
      </c>
      <c r="I423" s="127">
        <f t="shared" si="121"/>
        <v>135.16</v>
      </c>
      <c r="L423" s="725">
        <f t="shared" si="122"/>
        <v>1.0298525655112448E-4</v>
      </c>
    </row>
    <row r="424" spans="1:12" ht="43.5" customHeight="1" outlineLevel="1" x14ac:dyDescent="0.2">
      <c r="A424" s="1029" t="s">
        <v>827</v>
      </c>
      <c r="B424" s="1485" t="str">
        <f>COMPOSIÇÕES!A538</f>
        <v>COMPOSIÇÃO 45</v>
      </c>
      <c r="C424" s="1486"/>
      <c r="D424" s="2" t="str">
        <f>COMPOSIÇÕES!C537</f>
        <v>TRILHO PANTOGRAFICO CONCAVO, TIPO U, EM ALUMINIO, COM DIMENSOES DE APROX *35 X 35* MM, INCLUSO GANCHO ACESSÓRIO PARA CORTINA. FORNECIMENTO E INSTALAÇÃO.</v>
      </c>
      <c r="E424" s="38" t="s">
        <v>218</v>
      </c>
      <c r="F424" s="132">
        <f>'14.ACESS.'!C233</f>
        <v>16.63</v>
      </c>
      <c r="G424" s="66">
        <f>COMPOSIÇÕES!M545</f>
        <v>40.369999999999997</v>
      </c>
      <c r="H424" s="127">
        <f t="shared" si="120"/>
        <v>52</v>
      </c>
      <c r="I424" s="127">
        <f t="shared" si="121"/>
        <v>864.76</v>
      </c>
      <c r="L424" s="725">
        <f t="shared" si="122"/>
        <v>6.5890448694251558E-4</v>
      </c>
    </row>
    <row r="425" spans="1:12" ht="30.75" customHeight="1" outlineLevel="1" x14ac:dyDescent="0.2">
      <c r="A425" s="1029" t="s">
        <v>1721</v>
      </c>
      <c r="B425" s="1485" t="str">
        <f>COMPOSIÇÕES!A561</f>
        <v>COMPOSIÇÃO 46</v>
      </c>
      <c r="C425" s="1486"/>
      <c r="D425" s="2" t="str">
        <f>COMPOSIÇÕES!C560</f>
        <v>CORTINA HOSPITALAR PVC COM TELA 100% POLYESTER. FORNECIMENTO E INSTALAÇÃO.</v>
      </c>
      <c r="E425" s="38" t="s">
        <v>201</v>
      </c>
      <c r="F425" s="132">
        <f>'14.ACESS.'!C246</f>
        <v>26.6</v>
      </c>
      <c r="G425" s="66">
        <f>COMPOSIÇÕES!M566</f>
        <v>84.25</v>
      </c>
      <c r="H425" s="127">
        <f t="shared" si="120"/>
        <v>108.53</v>
      </c>
      <c r="I425" s="127">
        <f t="shared" si="121"/>
        <v>2886.9</v>
      </c>
      <c r="L425" s="725">
        <f t="shared" si="122"/>
        <v>2.1996754745297518E-3</v>
      </c>
    </row>
    <row r="426" spans="1:12" ht="21" customHeight="1" outlineLevel="1" x14ac:dyDescent="0.2">
      <c r="A426" s="1029" t="s">
        <v>2027</v>
      </c>
      <c r="B426" s="1259" t="s">
        <v>182</v>
      </c>
      <c r="C426" s="1260" t="s">
        <v>1722</v>
      </c>
      <c r="D426" s="2" t="s">
        <v>1723</v>
      </c>
      <c r="E426" s="38" t="s">
        <v>201</v>
      </c>
      <c r="F426" s="132">
        <f>'14.ACESS.'!C254</f>
        <v>14.4</v>
      </c>
      <c r="G426" s="66">
        <v>378.36</v>
      </c>
      <c r="H426" s="127">
        <f t="shared" si="120"/>
        <v>487.4</v>
      </c>
      <c r="I426" s="127">
        <f t="shared" si="121"/>
        <v>7018.56</v>
      </c>
      <c r="L426" s="725">
        <f t="shared" si="122"/>
        <v>5.3477967018308687E-3</v>
      </c>
    </row>
    <row r="427" spans="1:12" ht="33" customHeight="1" outlineLevel="1" x14ac:dyDescent="0.2">
      <c r="A427" s="1029" t="s">
        <v>2160</v>
      </c>
      <c r="B427" s="1259" t="s">
        <v>183</v>
      </c>
      <c r="C427" s="1260" t="s">
        <v>2047</v>
      </c>
      <c r="D427" s="2" t="s">
        <v>2048</v>
      </c>
      <c r="E427" s="38" t="s">
        <v>218</v>
      </c>
      <c r="F427" s="132">
        <f>'14.ACESS.'!C271</f>
        <v>34.49</v>
      </c>
      <c r="G427" s="66">
        <v>81.2</v>
      </c>
      <c r="H427" s="127">
        <f t="shared" si="120"/>
        <v>104.6</v>
      </c>
      <c r="I427" s="127">
        <f t="shared" si="121"/>
        <v>3607.65</v>
      </c>
      <c r="L427" s="725">
        <f t="shared" si="122"/>
        <v>2.7488514412301289E-3</v>
      </c>
    </row>
    <row r="428" spans="1:12" ht="12.75" customHeight="1" thickBot="1" x14ac:dyDescent="0.25">
      <c r="A428" s="1496" t="s">
        <v>857</v>
      </c>
      <c r="B428" s="1497"/>
      <c r="C428" s="1497"/>
      <c r="D428" s="1497"/>
      <c r="E428" s="1497"/>
      <c r="F428" s="1497"/>
      <c r="G428" s="1498"/>
      <c r="H428" s="676"/>
      <c r="I428" s="1214">
        <f>ROUND(SUM(I404:I427),2)</f>
        <v>52187.38</v>
      </c>
      <c r="L428" s="725"/>
    </row>
    <row r="429" spans="1:12" ht="16.5" customHeight="1" thickBot="1" x14ac:dyDescent="0.25">
      <c r="A429" s="1263">
        <v>15</v>
      </c>
      <c r="B429" s="1264"/>
      <c r="C429" s="1264"/>
      <c r="D429" s="154" t="s">
        <v>541</v>
      </c>
      <c r="E429" s="154"/>
      <c r="F429" s="154"/>
      <c r="G429" s="154"/>
      <c r="H429" s="154"/>
      <c r="I429" s="155"/>
      <c r="J429" s="724">
        <f>I437/$I$604</f>
        <v>1.0939402388503621E-3</v>
      </c>
      <c r="L429" s="725"/>
    </row>
    <row r="430" spans="1:12" ht="16.5" customHeight="1" outlineLevel="1" thickBot="1" x14ac:dyDescent="0.25">
      <c r="A430" s="647" t="s">
        <v>281</v>
      </c>
      <c r="B430" s="648"/>
      <c r="C430" s="648"/>
      <c r="D430" s="649" t="s">
        <v>1246</v>
      </c>
      <c r="E430" s="649"/>
      <c r="F430" s="649"/>
      <c r="G430" s="649"/>
      <c r="H430" s="649"/>
      <c r="I430" s="650"/>
      <c r="L430" s="725"/>
    </row>
    <row r="431" spans="1:12" ht="60" customHeight="1" outlineLevel="1" x14ac:dyDescent="0.2">
      <c r="A431" s="1029" t="s">
        <v>1247</v>
      </c>
      <c r="B431" s="1556" t="str">
        <f>COMPOSIÇÕES!G570</f>
        <v>COMPOSIÇÃO 47</v>
      </c>
      <c r="C431" s="1557"/>
      <c r="D431" s="772" t="str">
        <f>COMPOSIÇÕES!C569</f>
        <v>RESPIRO SUPERIOR/INFERIOR PARA SAUNA, INCLUSO RALO TIPO ABRE E FECHA PROPRIO PARA INSTALAÇÃO EM PAREDE E TUBULAÇÃO INSTALADA COM INCLINAÇÃO MINIMA, DE MODO A EVITAR GOTEJAMENTO. FORNECIMENTO E INSTALAÇÃO.</v>
      </c>
      <c r="E431" s="1275" t="s">
        <v>219</v>
      </c>
      <c r="F431" s="131">
        <f>'15.SAUNA'!C19</f>
        <v>2</v>
      </c>
      <c r="G431" s="127">
        <f>COMPOSIÇÕES!M580</f>
        <v>70</v>
      </c>
      <c r="H431" s="127">
        <f>ROUND((G431*$K$10),2)</f>
        <v>90.17</v>
      </c>
      <c r="I431" s="127">
        <f>ROUND(((F431*H431)),2)</f>
        <v>180.34</v>
      </c>
      <c r="L431" s="725">
        <f>I431/$I$604</f>
        <v>1.3741018915677558E-4</v>
      </c>
    </row>
    <row r="432" spans="1:12" ht="18" customHeight="1" outlineLevel="1" x14ac:dyDescent="0.2">
      <c r="A432" s="1029" t="s">
        <v>1248</v>
      </c>
      <c r="B432" s="1266" t="s">
        <v>182</v>
      </c>
      <c r="C432" s="1259" t="s">
        <v>1244</v>
      </c>
      <c r="D432" s="1271" t="s">
        <v>1245</v>
      </c>
      <c r="E432" s="1275" t="s">
        <v>219</v>
      </c>
      <c r="F432" s="132">
        <f>'15.SAUNA'!C26</f>
        <v>2</v>
      </c>
      <c r="G432" s="130">
        <v>130.57</v>
      </c>
      <c r="H432" s="127">
        <f t="shared" ref="H432:H433" si="123">ROUND((G432*$K$10),2)</f>
        <v>168.2</v>
      </c>
      <c r="I432" s="127">
        <f t="shared" ref="I432:I433" si="124">ROUND(((F432*H432)),2)</f>
        <v>336.4</v>
      </c>
      <c r="L432" s="725">
        <f>I432/$I$604</f>
        <v>2.563202153284868E-4</v>
      </c>
    </row>
    <row r="433" spans="1:12" ht="29.25" customHeight="1" outlineLevel="1" thickBot="1" x14ac:dyDescent="0.25">
      <c r="A433" s="1029" t="s">
        <v>1958</v>
      </c>
      <c r="B433" s="1266" t="s">
        <v>183</v>
      </c>
      <c r="C433" s="1259" t="s">
        <v>707</v>
      </c>
      <c r="D433" s="1271" t="s">
        <v>1959</v>
      </c>
      <c r="E433" s="1275" t="s">
        <v>219</v>
      </c>
      <c r="F433" s="132">
        <f>'15.SAUNA'!C33</f>
        <v>1</v>
      </c>
      <c r="G433" s="130">
        <v>61.4</v>
      </c>
      <c r="H433" s="127">
        <f t="shared" si="123"/>
        <v>79.099999999999994</v>
      </c>
      <c r="I433" s="127">
        <f t="shared" si="124"/>
        <v>79.099999999999994</v>
      </c>
      <c r="L433" s="725">
        <f>I433/$I$604</f>
        <v>6.0270300334373674E-5</v>
      </c>
    </row>
    <row r="434" spans="1:12" ht="16.5" customHeight="1" outlineLevel="1" thickBot="1" x14ac:dyDescent="0.25">
      <c r="A434" s="524" t="s">
        <v>452</v>
      </c>
      <c r="B434" s="525"/>
      <c r="C434" s="525"/>
      <c r="D434" s="526" t="s">
        <v>1249</v>
      </c>
      <c r="E434" s="526"/>
      <c r="F434" s="526"/>
      <c r="G434" s="526"/>
      <c r="H434" s="526"/>
      <c r="I434" s="527"/>
      <c r="L434" s="725"/>
    </row>
    <row r="435" spans="1:12" ht="32.25" customHeight="1" outlineLevel="1" x14ac:dyDescent="0.2">
      <c r="A435" s="1029" t="s">
        <v>1250</v>
      </c>
      <c r="B435" s="1266" t="s">
        <v>183</v>
      </c>
      <c r="C435" s="1259" t="s">
        <v>1290</v>
      </c>
      <c r="D435" s="1271" t="s">
        <v>1291</v>
      </c>
      <c r="E435" s="38" t="s">
        <v>200</v>
      </c>
      <c r="F435" s="132">
        <f>'15.SAUNA'!C55</f>
        <v>0.19</v>
      </c>
      <c r="G435" s="130">
        <v>3033.08</v>
      </c>
      <c r="H435" s="127">
        <f>ROUND((G435*$K$10),2)</f>
        <v>3907.21</v>
      </c>
      <c r="I435" s="127">
        <f>ROUND(((F435*H435)),2)</f>
        <v>742.37</v>
      </c>
      <c r="L435" s="725">
        <f>I435/$I$604</f>
        <v>5.6564934082463955E-4</v>
      </c>
    </row>
    <row r="436" spans="1:12" ht="57.75" customHeight="1" outlineLevel="1" x14ac:dyDescent="0.2">
      <c r="A436" s="1029" t="s">
        <v>1251</v>
      </c>
      <c r="B436" s="1260" t="s">
        <v>183</v>
      </c>
      <c r="C436" s="1259">
        <v>93393</v>
      </c>
      <c r="D436" s="2" t="s">
        <v>247</v>
      </c>
      <c r="E436" s="38" t="s">
        <v>201</v>
      </c>
      <c r="F436" s="132">
        <f>'15.SAUNA'!C63</f>
        <v>1.6</v>
      </c>
      <c r="G436" s="66">
        <v>47.31</v>
      </c>
      <c r="H436" s="127">
        <f>ROUND((G436*$K$10),2)</f>
        <v>60.94</v>
      </c>
      <c r="I436" s="127">
        <f>ROUND(((F436*H436)),2)</f>
        <v>97.5</v>
      </c>
      <c r="L436" s="725">
        <f>I436/$I$604</f>
        <v>7.4290193206086392E-5</v>
      </c>
    </row>
    <row r="437" spans="1:12" ht="12.75" customHeight="1" thickBot="1" x14ac:dyDescent="0.25">
      <c r="A437" s="1496" t="s">
        <v>858</v>
      </c>
      <c r="B437" s="1497"/>
      <c r="C437" s="1497"/>
      <c r="D437" s="1497"/>
      <c r="E437" s="1497"/>
      <c r="F437" s="1497"/>
      <c r="G437" s="1498"/>
      <c r="H437" s="676"/>
      <c r="I437" s="1214">
        <f>ROUND(SUM(I431:I436),2)</f>
        <v>1435.71</v>
      </c>
      <c r="L437" s="725"/>
    </row>
    <row r="438" spans="1:12" ht="18.75" customHeight="1" thickBot="1" x14ac:dyDescent="0.25">
      <c r="A438" s="1263">
        <v>16</v>
      </c>
      <c r="B438" s="1264"/>
      <c r="C438" s="1264"/>
      <c r="D438" s="154" t="s">
        <v>1359</v>
      </c>
      <c r="E438" s="154"/>
      <c r="F438" s="154"/>
      <c r="G438" s="154"/>
      <c r="H438" s="154"/>
      <c r="I438" s="155"/>
      <c r="J438" s="724">
        <f>I461/$I$604</f>
        <v>3.8954249485532791E-2</v>
      </c>
      <c r="L438" s="725"/>
    </row>
    <row r="439" spans="1:12" ht="20.25" customHeight="1" outlineLevel="1" thickBot="1" x14ac:dyDescent="0.25">
      <c r="A439" s="647" t="s">
        <v>453</v>
      </c>
      <c r="B439" s="648"/>
      <c r="C439" s="648"/>
      <c r="D439" s="649" t="s">
        <v>1323</v>
      </c>
      <c r="E439" s="649"/>
      <c r="F439" s="649"/>
      <c r="G439" s="649"/>
      <c r="H439" s="649"/>
      <c r="I439" s="650"/>
      <c r="L439" s="725"/>
    </row>
    <row r="440" spans="1:12" ht="32.25" customHeight="1" outlineLevel="1" x14ac:dyDescent="0.2">
      <c r="A440" s="1029" t="s">
        <v>1296</v>
      </c>
      <c r="B440" s="1266" t="s">
        <v>183</v>
      </c>
      <c r="C440" s="1029" t="s">
        <v>1324</v>
      </c>
      <c r="D440" s="666" t="s">
        <v>1325</v>
      </c>
      <c r="E440" s="1275" t="s">
        <v>739</v>
      </c>
      <c r="F440" s="131">
        <f>'16.MURO'!C31</f>
        <v>3.95</v>
      </c>
      <c r="G440" s="127">
        <v>44.52</v>
      </c>
      <c r="H440" s="127">
        <f>ROUND((G440*$K$10),2)</f>
        <v>57.35</v>
      </c>
      <c r="I440" s="127">
        <f>ROUND(((F440*H440)),2)</f>
        <v>226.53</v>
      </c>
      <c r="L440" s="725">
        <f>I440/$I$604</f>
        <v>1.7260469196897179E-4</v>
      </c>
    </row>
    <row r="441" spans="1:12" ht="31.5" customHeight="1" outlineLevel="1" x14ac:dyDescent="0.2">
      <c r="A441" s="1029" t="s">
        <v>1297</v>
      </c>
      <c r="B441" s="1270" t="s">
        <v>183</v>
      </c>
      <c r="C441" s="1259" t="s">
        <v>1326</v>
      </c>
      <c r="D441" s="1271" t="s">
        <v>1327</v>
      </c>
      <c r="E441" s="38" t="s">
        <v>739</v>
      </c>
      <c r="F441" s="132">
        <f>'16.MURO'!C39</f>
        <v>0.28000000000000003</v>
      </c>
      <c r="G441" s="130">
        <v>230.62</v>
      </c>
      <c r="H441" s="127">
        <f t="shared" ref="H441:H442" si="125">ROUND((G441*$K$10),2)</f>
        <v>297.08</v>
      </c>
      <c r="I441" s="127">
        <f t="shared" ref="I441:I442" si="126">ROUND(((F441*H441)),2)</f>
        <v>83.18</v>
      </c>
      <c r="L441" s="725">
        <f>I441/$I$604</f>
        <v>6.3379059188536062E-5</v>
      </c>
    </row>
    <row r="442" spans="1:12" ht="23.25" customHeight="1" outlineLevel="1" thickBot="1" x14ac:dyDescent="0.25">
      <c r="A442" s="1029" t="s">
        <v>1335</v>
      </c>
      <c r="B442" s="1270" t="s">
        <v>183</v>
      </c>
      <c r="C442" s="1259" t="s">
        <v>409</v>
      </c>
      <c r="D442" s="1271" t="s">
        <v>410</v>
      </c>
      <c r="E442" s="38" t="s">
        <v>328</v>
      </c>
      <c r="F442" s="132">
        <f>'16.MURO'!C47</f>
        <v>29.4</v>
      </c>
      <c r="G442" s="130">
        <v>2.4700000000000002</v>
      </c>
      <c r="H442" s="127">
        <f t="shared" si="125"/>
        <v>3.18</v>
      </c>
      <c r="I442" s="127">
        <f t="shared" si="126"/>
        <v>93.49</v>
      </c>
      <c r="L442" s="725">
        <f>I442/$I$604</f>
        <v>7.1234770900892481E-5</v>
      </c>
    </row>
    <row r="443" spans="1:12" ht="17.25" customHeight="1" outlineLevel="1" thickBot="1" x14ac:dyDescent="0.25">
      <c r="A443" s="524" t="s">
        <v>795</v>
      </c>
      <c r="B443" s="525"/>
      <c r="C443" s="525"/>
      <c r="D443" s="526" t="s">
        <v>1295</v>
      </c>
      <c r="E443" s="526"/>
      <c r="F443" s="526"/>
      <c r="G443" s="526"/>
      <c r="H443" s="526"/>
      <c r="I443" s="527"/>
      <c r="L443" s="725"/>
    </row>
    <row r="444" spans="1:12" ht="18.75" customHeight="1" outlineLevel="1" x14ac:dyDescent="0.2">
      <c r="A444" s="1029" t="s">
        <v>1298</v>
      </c>
      <c r="B444" s="1266" t="s">
        <v>182</v>
      </c>
      <c r="C444" s="1029" t="s">
        <v>1016</v>
      </c>
      <c r="D444" s="666" t="s">
        <v>1310</v>
      </c>
      <c r="E444" s="1275" t="s">
        <v>739</v>
      </c>
      <c r="F444" s="131">
        <f>'16.MURO'!C62</f>
        <v>0.39</v>
      </c>
      <c r="G444" s="127">
        <v>51.21</v>
      </c>
      <c r="H444" s="127">
        <f t="shared" ref="H444:H449" si="127">ROUND((G444*$K$10),2)</f>
        <v>65.97</v>
      </c>
      <c r="I444" s="127">
        <f t="shared" ref="I444:I449" si="128">ROUND(((F444*H444)),2)</f>
        <v>25.73</v>
      </c>
      <c r="L444" s="725">
        <f t="shared" ref="L444:L449" si="129">I444/$I$604</f>
        <v>1.9604991499411312E-5</v>
      </c>
    </row>
    <row r="445" spans="1:12" ht="30" customHeight="1" outlineLevel="1" x14ac:dyDescent="0.2">
      <c r="A445" s="1029" t="s">
        <v>1299</v>
      </c>
      <c r="B445" s="1270" t="s">
        <v>183</v>
      </c>
      <c r="C445" s="1259" t="s">
        <v>1345</v>
      </c>
      <c r="D445" s="1271" t="s">
        <v>1346</v>
      </c>
      <c r="E445" s="38" t="s">
        <v>328</v>
      </c>
      <c r="F445" s="132">
        <f>'16.MURO'!D70</f>
        <v>0.78</v>
      </c>
      <c r="G445" s="130">
        <v>29.94</v>
      </c>
      <c r="H445" s="127">
        <f t="shared" si="127"/>
        <v>38.57</v>
      </c>
      <c r="I445" s="127">
        <f t="shared" si="128"/>
        <v>30.08</v>
      </c>
      <c r="L445" s="725">
        <f t="shared" si="129"/>
        <v>2.2919477042452089E-5</v>
      </c>
    </row>
    <row r="446" spans="1:12" ht="29.25" customHeight="1" outlineLevel="1" x14ac:dyDescent="0.2">
      <c r="A446" s="1029" t="s">
        <v>1300</v>
      </c>
      <c r="B446" s="1270" t="s">
        <v>183</v>
      </c>
      <c r="C446" s="1259" t="s">
        <v>1018</v>
      </c>
      <c r="D446" s="1271" t="s">
        <v>204</v>
      </c>
      <c r="E446" s="38" t="s">
        <v>328</v>
      </c>
      <c r="F446" s="132">
        <f>'16.MURO'!C81</f>
        <v>21.35</v>
      </c>
      <c r="G446" s="130">
        <v>64.37</v>
      </c>
      <c r="H446" s="127">
        <f t="shared" si="127"/>
        <v>82.92</v>
      </c>
      <c r="I446" s="127">
        <f t="shared" si="128"/>
        <v>1770.34</v>
      </c>
      <c r="L446" s="725">
        <f t="shared" si="129"/>
        <v>1.348911801440646E-3</v>
      </c>
    </row>
    <row r="447" spans="1:12" ht="32.25" customHeight="1" outlineLevel="1" x14ac:dyDescent="0.2">
      <c r="A447" s="1029" t="s">
        <v>1301</v>
      </c>
      <c r="B447" s="1260" t="s">
        <v>183</v>
      </c>
      <c r="C447" s="1259" t="s">
        <v>1333</v>
      </c>
      <c r="D447" s="1271" t="s">
        <v>1334</v>
      </c>
      <c r="E447" s="38" t="s">
        <v>739</v>
      </c>
      <c r="F447" s="132">
        <f>'16.MURO'!C89</f>
        <v>0.23</v>
      </c>
      <c r="G447" s="66">
        <v>545.9</v>
      </c>
      <c r="H447" s="127">
        <f t="shared" si="127"/>
        <v>703.23</v>
      </c>
      <c r="I447" s="127">
        <f t="shared" si="128"/>
        <v>161.74</v>
      </c>
      <c r="L447" s="725">
        <f t="shared" si="129"/>
        <v>1.2323790614515297E-4</v>
      </c>
    </row>
    <row r="448" spans="1:12" ht="32.25" customHeight="1" outlineLevel="1" x14ac:dyDescent="0.2">
      <c r="A448" s="1029" t="s">
        <v>1302</v>
      </c>
      <c r="B448" s="1260" t="s">
        <v>182</v>
      </c>
      <c r="C448" s="1259" t="s">
        <v>1090</v>
      </c>
      <c r="D448" s="2" t="s">
        <v>1091</v>
      </c>
      <c r="E448" s="38" t="s">
        <v>328</v>
      </c>
      <c r="F448" s="132">
        <f>'16.MURO'!C101</f>
        <v>28.55</v>
      </c>
      <c r="G448" s="66">
        <v>27.74</v>
      </c>
      <c r="H448" s="127">
        <f t="shared" si="127"/>
        <v>35.729999999999997</v>
      </c>
      <c r="I448" s="127">
        <f t="shared" si="128"/>
        <v>1020.09</v>
      </c>
      <c r="L448" s="725">
        <f t="shared" si="129"/>
        <v>7.7725828910355562E-4</v>
      </c>
    </row>
    <row r="449" spans="1:13" ht="18.75" customHeight="1" outlineLevel="1" thickBot="1" x14ac:dyDescent="0.25">
      <c r="A449" s="1029" t="s">
        <v>1303</v>
      </c>
      <c r="B449" s="1235" t="s">
        <v>183</v>
      </c>
      <c r="C449" s="805" t="s">
        <v>1306</v>
      </c>
      <c r="D449" s="1267" t="s">
        <v>1307</v>
      </c>
      <c r="E449" s="1274" t="s">
        <v>739</v>
      </c>
      <c r="F449" s="315">
        <f>'16.MURO'!H106</f>
        <v>0.12</v>
      </c>
      <c r="G449" s="806">
        <v>40.99</v>
      </c>
      <c r="H449" s="127">
        <f t="shared" si="127"/>
        <v>52.8</v>
      </c>
      <c r="I449" s="127">
        <f t="shared" si="128"/>
        <v>6.34</v>
      </c>
      <c r="L449" s="725">
        <f t="shared" si="129"/>
        <v>4.8307674351444895E-6</v>
      </c>
    </row>
    <row r="450" spans="1:13" ht="16.5" customHeight="1" outlineLevel="1" thickBot="1" x14ac:dyDescent="0.25">
      <c r="A450" s="524" t="s">
        <v>796</v>
      </c>
      <c r="B450" s="525"/>
      <c r="C450" s="525"/>
      <c r="D450" s="526" t="s">
        <v>1392</v>
      </c>
      <c r="E450" s="526"/>
      <c r="F450" s="526"/>
      <c r="G450" s="526"/>
      <c r="H450" s="526"/>
      <c r="I450" s="527"/>
      <c r="L450" s="725"/>
      <c r="M450" s="742" t="e">
        <f>SUM(I444:I449,#REF!,I451:I451)</f>
        <v>#REF!</v>
      </c>
    </row>
    <row r="451" spans="1:13" ht="18" customHeight="1" outlineLevel="1" x14ac:dyDescent="0.2">
      <c r="A451" s="1029" t="s">
        <v>1304</v>
      </c>
      <c r="B451" s="1260" t="s">
        <v>182</v>
      </c>
      <c r="C451" s="1259">
        <v>260213</v>
      </c>
      <c r="D451" s="2" t="s">
        <v>1391</v>
      </c>
      <c r="E451" s="38" t="s">
        <v>218</v>
      </c>
      <c r="F451" s="132">
        <f>'16.MURO'!C115</f>
        <v>17.899999999999999</v>
      </c>
      <c r="G451" s="66">
        <v>581.19000000000005</v>
      </c>
      <c r="H451" s="127">
        <f t="shared" ref="H451:H456" si="130">ROUND((G451*$K$10),2)</f>
        <v>748.69</v>
      </c>
      <c r="I451" s="127">
        <f t="shared" ref="I451:I456" si="131">ROUND(((F451*H451)),2)</f>
        <v>13401.55</v>
      </c>
      <c r="L451" s="725">
        <f t="shared" ref="L451:L456" si="132">I451/$I$604</f>
        <v>1.0211320397548995E-2</v>
      </c>
    </row>
    <row r="452" spans="1:13" ht="33" customHeight="1" outlineLevel="1" x14ac:dyDescent="0.2">
      <c r="A452" s="1029" t="s">
        <v>1387</v>
      </c>
      <c r="B452" s="1260" t="s">
        <v>183</v>
      </c>
      <c r="C452" s="1259" t="s">
        <v>1316</v>
      </c>
      <c r="D452" s="2" t="s">
        <v>1317</v>
      </c>
      <c r="E452" s="38" t="s">
        <v>218</v>
      </c>
      <c r="F452" s="132">
        <f>'16.MURO'!C123</f>
        <v>17.899999999999999</v>
      </c>
      <c r="G452" s="66">
        <v>56.2</v>
      </c>
      <c r="H452" s="127">
        <f t="shared" si="130"/>
        <v>72.400000000000006</v>
      </c>
      <c r="I452" s="127">
        <f t="shared" si="131"/>
        <v>1295.96</v>
      </c>
      <c r="L452" s="725">
        <f t="shared" si="132"/>
        <v>9.8745762858830485E-4</v>
      </c>
    </row>
    <row r="453" spans="1:13" ht="33" customHeight="1" outlineLevel="1" x14ac:dyDescent="0.2">
      <c r="A453" s="1029" t="s">
        <v>1388</v>
      </c>
      <c r="B453" s="1485" t="str">
        <f>COMPOSIÇÕES!A36</f>
        <v>COMPOSIÇÃO 3</v>
      </c>
      <c r="C453" s="1486"/>
      <c r="D453" s="1271" t="str">
        <f>COMPOSIÇÕES!C35</f>
        <v>CHAPIM EM CONCRETO APARENTE COM  PINGADEIRA E ACABAMENTO DESEMPENADO 21 X 8 CM. FONECIMENTO E INSTALAÇÃO.</v>
      </c>
      <c r="E453" s="38" t="s">
        <v>218</v>
      </c>
      <c r="F453" s="132">
        <f>'16.MURO'!C133</f>
        <v>127.9</v>
      </c>
      <c r="G453" s="130">
        <f>COMPOSIÇÕES!M44</f>
        <v>48.97</v>
      </c>
      <c r="H453" s="127">
        <f t="shared" si="130"/>
        <v>63.08</v>
      </c>
      <c r="I453" s="127">
        <f t="shared" si="131"/>
        <v>8067.93</v>
      </c>
      <c r="L453" s="725">
        <f t="shared" si="132"/>
        <v>6.1473649074172366E-3</v>
      </c>
    </row>
    <row r="454" spans="1:13" ht="30.75" customHeight="1" outlineLevel="1" x14ac:dyDescent="0.2">
      <c r="A454" s="1029" t="s">
        <v>1389</v>
      </c>
      <c r="B454" s="1260" t="s">
        <v>183</v>
      </c>
      <c r="C454" s="1259" t="s">
        <v>1318</v>
      </c>
      <c r="D454" s="1271" t="s">
        <v>1319</v>
      </c>
      <c r="E454" s="38" t="s">
        <v>201</v>
      </c>
      <c r="F454" s="132">
        <f>'16.MURO'!C141</f>
        <v>220</v>
      </c>
      <c r="G454" s="66">
        <v>9.24</v>
      </c>
      <c r="H454" s="127">
        <f t="shared" si="130"/>
        <v>11.9</v>
      </c>
      <c r="I454" s="127">
        <f t="shared" si="131"/>
        <v>2618</v>
      </c>
      <c r="L454" s="725">
        <f t="shared" si="132"/>
        <v>1.9947869314208633E-3</v>
      </c>
    </row>
    <row r="455" spans="1:13" ht="31.5" customHeight="1" outlineLevel="1" x14ac:dyDescent="0.2">
      <c r="A455" s="1029" t="s">
        <v>1390</v>
      </c>
      <c r="B455" s="1270" t="s">
        <v>183</v>
      </c>
      <c r="C455" s="1259" t="s">
        <v>1321</v>
      </c>
      <c r="D455" s="1271" t="s">
        <v>1322</v>
      </c>
      <c r="E455" s="38" t="s">
        <v>201</v>
      </c>
      <c r="F455" s="132">
        <f>'16.MURO'!C146</f>
        <v>220</v>
      </c>
      <c r="G455" s="130">
        <v>2.2799999999999998</v>
      </c>
      <c r="H455" s="127">
        <f t="shared" si="130"/>
        <v>2.94</v>
      </c>
      <c r="I455" s="127">
        <f t="shared" si="131"/>
        <v>646.79999999999995</v>
      </c>
      <c r="L455" s="725">
        <f t="shared" si="132"/>
        <v>4.9282971246868384E-4</v>
      </c>
    </row>
    <row r="456" spans="1:13" ht="33.75" customHeight="1" outlineLevel="1" thickBot="1" x14ac:dyDescent="0.25">
      <c r="A456" s="1029" t="s">
        <v>1393</v>
      </c>
      <c r="B456" s="1260" t="s">
        <v>183</v>
      </c>
      <c r="C456" s="1259" t="s">
        <v>1320</v>
      </c>
      <c r="D456" s="2" t="s">
        <v>155</v>
      </c>
      <c r="E456" s="38" t="s">
        <v>201</v>
      </c>
      <c r="F456" s="132">
        <f>'16.MURO'!C151</f>
        <v>220</v>
      </c>
      <c r="G456" s="66">
        <v>13.57</v>
      </c>
      <c r="H456" s="127">
        <f t="shared" si="130"/>
        <v>17.48</v>
      </c>
      <c r="I456" s="127">
        <f t="shared" si="131"/>
        <v>3845.6</v>
      </c>
      <c r="L456" s="725">
        <f t="shared" si="132"/>
        <v>2.9301576101879571E-3</v>
      </c>
    </row>
    <row r="457" spans="1:13" ht="16.5" customHeight="1" outlineLevel="1" thickBot="1" x14ac:dyDescent="0.25">
      <c r="A457" s="524" t="s">
        <v>1294</v>
      </c>
      <c r="B457" s="525"/>
      <c r="C457" s="525"/>
      <c r="D457" s="526" t="s">
        <v>1305</v>
      </c>
      <c r="E457" s="526"/>
      <c r="F457" s="526"/>
      <c r="G457" s="526"/>
      <c r="H457" s="526"/>
      <c r="I457" s="527"/>
      <c r="L457" s="725"/>
    </row>
    <row r="458" spans="1:13" ht="62.25" customHeight="1" outlineLevel="1" x14ac:dyDescent="0.2">
      <c r="A458" s="1029" t="s">
        <v>1311</v>
      </c>
      <c r="B458" s="1270" t="s">
        <v>183</v>
      </c>
      <c r="C458" s="1259" t="s">
        <v>1308</v>
      </c>
      <c r="D458" s="1271" t="s">
        <v>1309</v>
      </c>
      <c r="E458" s="38" t="s">
        <v>201</v>
      </c>
      <c r="F458" s="132">
        <f>'16.MURO'!C162</f>
        <v>48.3</v>
      </c>
      <c r="G458" s="130">
        <v>206.45</v>
      </c>
      <c r="H458" s="127">
        <f t="shared" ref="H458:H460" si="133">ROUND((G458*$K$10),2)</f>
        <v>265.95</v>
      </c>
      <c r="I458" s="127">
        <f t="shared" ref="I458:I460" si="134">ROUND(((F458*H458)),2)</f>
        <v>12845.39</v>
      </c>
      <c r="L458" s="725">
        <f>I458/$I$604</f>
        <v>9.7875538964874876E-3</v>
      </c>
    </row>
    <row r="459" spans="1:13" ht="48.75" customHeight="1" outlineLevel="1" x14ac:dyDescent="0.2">
      <c r="A459" s="1029" t="s">
        <v>1312</v>
      </c>
      <c r="B459" s="1261" t="s">
        <v>183</v>
      </c>
      <c r="C459" s="1259" t="s">
        <v>1314</v>
      </c>
      <c r="D459" s="1271" t="s">
        <v>1315</v>
      </c>
      <c r="E459" s="38" t="s">
        <v>201</v>
      </c>
      <c r="F459" s="132">
        <f>'16.MURO'!C167</f>
        <v>48.3</v>
      </c>
      <c r="G459" s="130">
        <v>8.08</v>
      </c>
      <c r="H459" s="127">
        <f t="shared" si="133"/>
        <v>10.41</v>
      </c>
      <c r="I459" s="127">
        <f t="shared" si="134"/>
        <v>502.8</v>
      </c>
      <c r="L459" s="725"/>
    </row>
    <row r="460" spans="1:13" ht="35.25" customHeight="1" outlineLevel="1" x14ac:dyDescent="0.2">
      <c r="A460" s="1029" t="s">
        <v>1313</v>
      </c>
      <c r="B460" s="1487" t="str">
        <f>COMPOSIÇÕES!G584</f>
        <v>COMPOSIÇÃO 48</v>
      </c>
      <c r="C460" s="1488"/>
      <c r="D460" s="323" t="str">
        <f>COMPOSIÇÕES!C583</f>
        <v>PORTÃO TIPO GRADIL DE 2'',INCLUINDO: REQUADRO, FIXAÇÃO, FERROLHO, CADEADO E PINTURA ANTI CORROSIVA. FORNECIMENTO E INSTALAÇÃO.</v>
      </c>
      <c r="E460" s="38" t="s">
        <v>201</v>
      </c>
      <c r="F460" s="132">
        <f>'16.MURO'!C179</f>
        <v>13.1</v>
      </c>
      <c r="G460" s="130">
        <f>COMPOSIÇÕES!M600</f>
        <v>265.64</v>
      </c>
      <c r="H460" s="127">
        <f t="shared" si="133"/>
        <v>342.2</v>
      </c>
      <c r="I460" s="127">
        <f t="shared" si="134"/>
        <v>4482.82</v>
      </c>
      <c r="L460" s="725"/>
    </row>
    <row r="461" spans="1:13" ht="12.75" customHeight="1" thickBot="1" x14ac:dyDescent="0.25">
      <c r="A461" s="1496" t="s">
        <v>859</v>
      </c>
      <c r="B461" s="1497"/>
      <c r="C461" s="1497"/>
      <c r="D461" s="1497"/>
      <c r="E461" s="1497"/>
      <c r="F461" s="1497"/>
      <c r="G461" s="1498"/>
      <c r="H461" s="676"/>
      <c r="I461" s="1214">
        <f>ROUND(SUM(I440:I460),2)</f>
        <v>51124.37</v>
      </c>
      <c r="L461" s="725"/>
    </row>
    <row r="462" spans="1:13" ht="19.5" customHeight="1" thickBot="1" x14ac:dyDescent="0.25">
      <c r="A462" s="1263">
        <v>17</v>
      </c>
      <c r="B462" s="1264"/>
      <c r="C462" s="1264"/>
      <c r="D462" s="154" t="s">
        <v>1699</v>
      </c>
      <c r="E462" s="154"/>
      <c r="F462" s="154"/>
      <c r="G462" s="154"/>
      <c r="H462" s="154"/>
      <c r="I462" s="155"/>
      <c r="J462" s="724">
        <f>I481/$I$604</f>
        <v>6.3230250216914016E-3</v>
      </c>
      <c r="L462" s="725"/>
    </row>
    <row r="463" spans="1:13" ht="20.25" customHeight="1" outlineLevel="1" thickBot="1" x14ac:dyDescent="0.25">
      <c r="A463" s="647" t="s">
        <v>797</v>
      </c>
      <c r="B463" s="648"/>
      <c r="C463" s="648"/>
      <c r="D463" s="649" t="s">
        <v>1249</v>
      </c>
      <c r="E463" s="649"/>
      <c r="F463" s="649"/>
      <c r="G463" s="649"/>
      <c r="H463" s="649"/>
      <c r="I463" s="650"/>
      <c r="L463" s="725"/>
    </row>
    <row r="464" spans="1:13" ht="23.25" customHeight="1" outlineLevel="1" thickBot="1" x14ac:dyDescent="0.25">
      <c r="A464" s="1029" t="s">
        <v>1394</v>
      </c>
      <c r="B464" s="1266" t="s">
        <v>182</v>
      </c>
      <c r="C464" s="1029" t="s">
        <v>1374</v>
      </c>
      <c r="D464" s="666" t="s">
        <v>1375</v>
      </c>
      <c r="E464" s="1275" t="s">
        <v>219</v>
      </c>
      <c r="F464" s="131">
        <f>'17.PLAY'!C15</f>
        <v>1</v>
      </c>
      <c r="G464" s="127">
        <v>355.11</v>
      </c>
      <c r="H464" s="127">
        <f>ROUND((G464*$K$10),2)</f>
        <v>457.45</v>
      </c>
      <c r="I464" s="127">
        <f>ROUND(((F464*H464)),2)</f>
        <v>457.45</v>
      </c>
      <c r="L464" s="725">
        <f>I464/$I$604</f>
        <v>3.4855434750896637E-4</v>
      </c>
    </row>
    <row r="465" spans="1:12" ht="19.5" customHeight="1" outlineLevel="1" thickBot="1" x14ac:dyDescent="0.25">
      <c r="A465" s="524" t="s">
        <v>798</v>
      </c>
      <c r="B465" s="525"/>
      <c r="C465" s="525"/>
      <c r="D465" s="526" t="s">
        <v>1372</v>
      </c>
      <c r="E465" s="526"/>
      <c r="F465" s="526"/>
      <c r="G465" s="526"/>
      <c r="H465" s="526"/>
      <c r="I465" s="527"/>
      <c r="L465" s="725"/>
    </row>
    <row r="466" spans="1:12" ht="33" customHeight="1" outlineLevel="1" thickBot="1" x14ac:dyDescent="0.25">
      <c r="A466" s="1029" t="s">
        <v>1395</v>
      </c>
      <c r="B466" s="1556" t="str">
        <f>COMPOSIÇÕES!G604</f>
        <v>COMPOSIÇÃO 49</v>
      </c>
      <c r="C466" s="1557"/>
      <c r="D466" s="323" t="str">
        <f>COMPOSIÇÕES!C603</f>
        <v>BALANÇO COM ESCORREGA, INCLUSO FUNDAÇÃO EM CONCRETO CICLÓPICO. FORNECIMENTO E INSTALAÇÃO.</v>
      </c>
      <c r="E466" s="1275" t="s">
        <v>219</v>
      </c>
      <c r="F466" s="132">
        <f>'17.PLAY'!C20</f>
        <v>1</v>
      </c>
      <c r="G466" s="130">
        <f>COMPOSIÇÕES!M611</f>
        <v>3187.19</v>
      </c>
      <c r="H466" s="127">
        <f>ROUND((G466*$K$10),2)</f>
        <v>4105.7299999999996</v>
      </c>
      <c r="I466" s="127">
        <f>ROUND(((F466*H466)),2)</f>
        <v>4105.7299999999996</v>
      </c>
      <c r="L466" s="725">
        <f>I466/$I$604</f>
        <v>3.1283638456617953E-3</v>
      </c>
    </row>
    <row r="467" spans="1:12" ht="21.75" customHeight="1" outlineLevel="1" thickBot="1" x14ac:dyDescent="0.25">
      <c r="A467" s="524" t="s">
        <v>799</v>
      </c>
      <c r="B467" s="525"/>
      <c r="C467" s="525"/>
      <c r="D467" s="526" t="s">
        <v>1373</v>
      </c>
      <c r="E467" s="526"/>
      <c r="F467" s="526"/>
      <c r="G467" s="526"/>
      <c r="H467" s="526"/>
      <c r="I467" s="527"/>
      <c r="L467" s="725"/>
    </row>
    <row r="468" spans="1:12" ht="21.75" customHeight="1" outlineLevel="1" thickBot="1" x14ac:dyDescent="0.25">
      <c r="A468" s="847" t="s">
        <v>1396</v>
      </c>
      <c r="B468" s="848"/>
      <c r="C468" s="848"/>
      <c r="D468" s="849" t="s">
        <v>1700</v>
      </c>
      <c r="E468" s="849"/>
      <c r="F468" s="849"/>
      <c r="G468" s="849"/>
      <c r="H468" s="849"/>
      <c r="I468" s="850"/>
      <c r="L468" s="725"/>
    </row>
    <row r="469" spans="1:12" ht="21.75" customHeight="1" outlineLevel="1" x14ac:dyDescent="0.2">
      <c r="A469" s="1029" t="s">
        <v>1399</v>
      </c>
      <c r="B469" s="1266" t="s">
        <v>182</v>
      </c>
      <c r="C469" s="1259" t="s">
        <v>1016</v>
      </c>
      <c r="D469" s="1271" t="s">
        <v>1310</v>
      </c>
      <c r="E469" s="38" t="s">
        <v>739</v>
      </c>
      <c r="F469" s="132">
        <f>'17.PLAY'!C55</f>
        <v>13.45</v>
      </c>
      <c r="G469" s="130">
        <v>51.21</v>
      </c>
      <c r="H469" s="127">
        <f>ROUND((G469*$K$10),2)</f>
        <v>65.97</v>
      </c>
      <c r="I469" s="127">
        <f>ROUND(((F469*H469)),2)</f>
        <v>887.3</v>
      </c>
      <c r="L469" s="725">
        <f>I469/$I$604</f>
        <v>6.7607885571036356E-4</v>
      </c>
    </row>
    <row r="470" spans="1:12" ht="32.25" customHeight="1" outlineLevel="1" x14ac:dyDescent="0.2">
      <c r="A470" s="1029" t="s">
        <v>1400</v>
      </c>
      <c r="B470" s="1266" t="s">
        <v>183</v>
      </c>
      <c r="C470" s="1259" t="s">
        <v>1345</v>
      </c>
      <c r="D470" s="1271" t="s">
        <v>1346</v>
      </c>
      <c r="E470" s="38" t="s">
        <v>328</v>
      </c>
      <c r="F470" s="132">
        <f>'17.PLAY'!C64</f>
        <v>5.38</v>
      </c>
      <c r="G470" s="66">
        <v>29.94</v>
      </c>
      <c r="H470" s="127">
        <f t="shared" ref="H470:H472" si="135">ROUND((G470*$K$10),2)</f>
        <v>38.57</v>
      </c>
      <c r="I470" s="127">
        <f t="shared" ref="I470:I472" si="136">ROUND(((F470*H470)),2)</f>
        <v>207.51</v>
      </c>
      <c r="L470" s="725">
        <f>I470/$I$604</f>
        <v>1.5811238966353833E-4</v>
      </c>
    </row>
    <row r="471" spans="1:12" ht="30" customHeight="1" outlineLevel="1" x14ac:dyDescent="0.2">
      <c r="A471" s="1029" t="s">
        <v>1401</v>
      </c>
      <c r="B471" s="1266" t="s">
        <v>183</v>
      </c>
      <c r="C471" s="1259" t="s">
        <v>1704</v>
      </c>
      <c r="D471" s="1271" t="s">
        <v>1705</v>
      </c>
      <c r="E471" s="38" t="s">
        <v>328</v>
      </c>
      <c r="F471" s="132">
        <f>'17.PLAY'!C71</f>
        <v>13.45</v>
      </c>
      <c r="G471" s="130">
        <v>4.95</v>
      </c>
      <c r="H471" s="127">
        <f t="shared" si="135"/>
        <v>6.38</v>
      </c>
      <c r="I471" s="127">
        <f t="shared" si="136"/>
        <v>85.81</v>
      </c>
      <c r="L471" s="725">
        <f>I471/$I$604</f>
        <v>6.5382989528351516E-5</v>
      </c>
    </row>
    <row r="472" spans="1:12" ht="46.5" customHeight="1" outlineLevel="1" thickBot="1" x14ac:dyDescent="0.25">
      <c r="A472" s="1029" t="s">
        <v>1701</v>
      </c>
      <c r="B472" s="1518" t="str">
        <f>COMPOSIÇÕES!G615</f>
        <v>COMPOSIÇÃO 50</v>
      </c>
      <c r="C472" s="1519"/>
      <c r="D472" s="323" t="str">
        <f>COMPOSIÇÕES!C614</f>
        <v>CAIBRO APARELHADO 6 X 8 CM, EM MACARANDUBA, ANGELIM OU EQUIVALENTE DA REGIÃO, PARA DEMARCAÇÃO DE PISO SENSORIAL. FORNECIMENTO E INSTALAÇÃO.</v>
      </c>
      <c r="E472" s="38" t="s">
        <v>218</v>
      </c>
      <c r="F472" s="132">
        <f>'17.PLAY'!C85</f>
        <v>44.76</v>
      </c>
      <c r="G472" s="130">
        <f>COMPOSIÇÕES!M620</f>
        <v>26.67</v>
      </c>
      <c r="H472" s="127">
        <f t="shared" si="135"/>
        <v>34.36</v>
      </c>
      <c r="I472" s="127">
        <f t="shared" si="136"/>
        <v>1537.95</v>
      </c>
      <c r="L472" s="725">
        <f>I472/$I$604</f>
        <v>1.1718420783723136E-3</v>
      </c>
    </row>
    <row r="473" spans="1:12" ht="21.75" customHeight="1" outlineLevel="1" thickBot="1" x14ac:dyDescent="0.25">
      <c r="A473" s="847" t="s">
        <v>1397</v>
      </c>
      <c r="B473" s="848"/>
      <c r="C473" s="848"/>
      <c r="D473" s="849" t="s">
        <v>1407</v>
      </c>
      <c r="E473" s="849"/>
      <c r="F473" s="849"/>
      <c r="G473" s="849"/>
      <c r="H473" s="849"/>
      <c r="I473" s="850"/>
      <c r="L473" s="725"/>
    </row>
    <row r="474" spans="1:12" ht="18" customHeight="1" outlineLevel="1" x14ac:dyDescent="0.2">
      <c r="A474" s="1029" t="s">
        <v>1402</v>
      </c>
      <c r="B474" s="1266" t="s">
        <v>182</v>
      </c>
      <c r="C474" s="1259" t="s">
        <v>1411</v>
      </c>
      <c r="D474" s="1271" t="s">
        <v>1425</v>
      </c>
      <c r="E474" s="38" t="s">
        <v>739</v>
      </c>
      <c r="F474" s="132">
        <f>'17.PLAY'!C96</f>
        <v>0.12</v>
      </c>
      <c r="G474" s="130">
        <v>180.68</v>
      </c>
      <c r="H474" s="127">
        <f>ROUND((G474*$K$10),2)</f>
        <v>232.75</v>
      </c>
      <c r="I474" s="127">
        <f>ROUND(((F474*H474)),2)</f>
        <v>27.93</v>
      </c>
      <c r="L474" s="725">
        <f>I474/$I$604</f>
        <v>2.1281283038420441E-5</v>
      </c>
    </row>
    <row r="475" spans="1:12" ht="17.25" customHeight="1" outlineLevel="1" x14ac:dyDescent="0.2">
      <c r="A475" s="1029" t="s">
        <v>1403</v>
      </c>
      <c r="B475" s="1260" t="s">
        <v>182</v>
      </c>
      <c r="C475" s="1259" t="s">
        <v>1412</v>
      </c>
      <c r="D475" s="2" t="s">
        <v>1426</v>
      </c>
      <c r="E475" s="38" t="s">
        <v>328</v>
      </c>
      <c r="F475" s="132">
        <f>'17.PLAY'!C106</f>
        <v>1.47</v>
      </c>
      <c r="G475" s="66">
        <v>22.35</v>
      </c>
      <c r="H475" s="127">
        <f t="shared" ref="H475:H478" si="137">ROUND((G475*$K$10),2)</f>
        <v>28.79</v>
      </c>
      <c r="I475" s="127">
        <f t="shared" ref="I475:I478" si="138">ROUND(((F475*H475)),2)</f>
        <v>42.32</v>
      </c>
      <c r="L475" s="725">
        <f>I475/$I$604</f>
        <v>3.2245753604939242E-5</v>
      </c>
    </row>
    <row r="476" spans="1:12" ht="30" customHeight="1" outlineLevel="1" x14ac:dyDescent="0.2">
      <c r="A476" s="1029" t="s">
        <v>1404</v>
      </c>
      <c r="B476" s="1266" t="s">
        <v>183</v>
      </c>
      <c r="C476" s="1259" t="s">
        <v>1413</v>
      </c>
      <c r="D476" s="1271" t="s">
        <v>1414</v>
      </c>
      <c r="E476" s="38" t="s">
        <v>739</v>
      </c>
      <c r="F476" s="132">
        <f>'17.PLAY'!C116</f>
        <v>0.12</v>
      </c>
      <c r="G476" s="130">
        <v>78.27</v>
      </c>
      <c r="H476" s="127">
        <f t="shared" si="137"/>
        <v>100.83</v>
      </c>
      <c r="I476" s="127">
        <f t="shared" si="138"/>
        <v>12.1</v>
      </c>
      <c r="L476" s="725">
        <f>I476/$I$604</f>
        <v>9.2196034645502077E-6</v>
      </c>
    </row>
    <row r="477" spans="1:12" ht="42.75" customHeight="1" outlineLevel="1" x14ac:dyDescent="0.2">
      <c r="A477" s="1029" t="s">
        <v>1405</v>
      </c>
      <c r="B477" s="1485" t="str">
        <f>COMPOSIÇÕES!G624</f>
        <v>COMPOSIÇÃO 51</v>
      </c>
      <c r="C477" s="1486"/>
      <c r="D477" s="323" t="str">
        <f>COMPOSIÇÕES!C623</f>
        <v>PISO EM MADEIRA ROLICA TRATADA, D = 12 A 15 CM, H = 3,00 M, EM EUCALIPTO OU EQUIVALENTE DA REGIAO, FIXADO COM COLA BASE DE PVA. FORNECIMENTO E INSTALAÇÃO</v>
      </c>
      <c r="E477" s="38" t="s">
        <v>328</v>
      </c>
      <c r="F477" s="132">
        <f>'17.PLAY'!C126</f>
        <v>1.47</v>
      </c>
      <c r="G477" s="130">
        <f>COMPOSIÇÕES!M630</f>
        <v>36.11</v>
      </c>
      <c r="H477" s="127">
        <f t="shared" si="137"/>
        <v>46.52</v>
      </c>
      <c r="I477" s="127">
        <f t="shared" si="138"/>
        <v>68.38</v>
      </c>
      <c r="L477" s="725">
        <f>I477/$I$604</f>
        <v>5.2102188835201921E-5</v>
      </c>
    </row>
    <row r="478" spans="1:12" ht="32.25" customHeight="1" outlineLevel="1" thickBot="1" x14ac:dyDescent="0.25">
      <c r="A478" s="1029" t="s">
        <v>1406</v>
      </c>
      <c r="B478" s="1260" t="s">
        <v>183</v>
      </c>
      <c r="C478" s="1259" t="s">
        <v>1423</v>
      </c>
      <c r="D478" s="2" t="s">
        <v>1424</v>
      </c>
      <c r="E478" s="38" t="s">
        <v>328</v>
      </c>
      <c r="F478" s="132">
        <f>'17.PLAY'!C136</f>
        <v>1.47</v>
      </c>
      <c r="G478" s="66">
        <v>63.2</v>
      </c>
      <c r="H478" s="127">
        <f t="shared" si="137"/>
        <v>81.41</v>
      </c>
      <c r="I478" s="127">
        <f t="shared" si="138"/>
        <v>119.67</v>
      </c>
      <c r="L478" s="725">
        <f>I478/$I$604</f>
        <v>9.1182640215101116E-5</v>
      </c>
    </row>
    <row r="479" spans="1:12" ht="21.75" customHeight="1" outlineLevel="1" thickBot="1" x14ac:dyDescent="0.25">
      <c r="A479" s="847" t="s">
        <v>1398</v>
      </c>
      <c r="B479" s="848"/>
      <c r="C479" s="848"/>
      <c r="D479" s="849" t="s">
        <v>1408</v>
      </c>
      <c r="E479" s="849"/>
      <c r="F479" s="849"/>
      <c r="G479" s="849"/>
      <c r="H479" s="849"/>
      <c r="I479" s="850"/>
      <c r="L479" s="725"/>
    </row>
    <row r="480" spans="1:12" ht="48" customHeight="1" outlineLevel="1" x14ac:dyDescent="0.2">
      <c r="A480" s="1029" t="s">
        <v>1409</v>
      </c>
      <c r="B480" s="1556" t="str">
        <f>COMPOSIÇÕES!G634</f>
        <v>COMPOSIÇÃO 52</v>
      </c>
      <c r="C480" s="1557"/>
      <c r="D480" s="323" t="str">
        <f>COMPOSIÇÕES!C633</f>
        <v>MOLDURA EM MADEIRA, FEITO COM RIPAS APARELHADAS DE 1,50 X 5 CM EM MAÇARANDUBA, ANGELIM OU EQUIVALENTE DA REGIÃO, FIXADO NA ALVENARIA. FORNECIMENTO E INSTALAÇÃO.</v>
      </c>
      <c r="E480" s="1029" t="s">
        <v>218</v>
      </c>
      <c r="F480" s="132">
        <f>'17.PLAY'!C151</f>
        <v>30.4</v>
      </c>
      <c r="G480" s="130">
        <f>COMPOSIÇÕES!M641</f>
        <v>19.059999999999999</v>
      </c>
      <c r="H480" s="127">
        <f>ROUND((G480*$K$10),2)</f>
        <v>24.55</v>
      </c>
      <c r="I480" s="127">
        <f>ROUND(((F480*H480)),2)</f>
        <v>746.32</v>
      </c>
      <c r="L480" s="725">
        <f>I480/$I$604</f>
        <v>5.6865904608786053E-4</v>
      </c>
    </row>
    <row r="481" spans="1:12" ht="16.5" customHeight="1" thickBot="1" x14ac:dyDescent="0.25">
      <c r="A481" s="1496" t="s">
        <v>800</v>
      </c>
      <c r="B481" s="1497"/>
      <c r="C481" s="1497"/>
      <c r="D481" s="1497"/>
      <c r="E481" s="1497"/>
      <c r="F481" s="1497"/>
      <c r="G481" s="1498"/>
      <c r="H481" s="676"/>
      <c r="I481" s="1214">
        <f>ROUND(SUM(I464:I480),2)</f>
        <v>8298.4699999999993</v>
      </c>
      <c r="L481" s="725"/>
    </row>
    <row r="482" spans="1:12" ht="19.5" customHeight="1" thickBot="1" x14ac:dyDescent="0.25">
      <c r="A482" s="1263">
        <v>18</v>
      </c>
      <c r="B482" s="1264"/>
      <c r="C482" s="1264"/>
      <c r="D482" s="154" t="s">
        <v>1695</v>
      </c>
      <c r="E482" s="154"/>
      <c r="F482" s="154"/>
      <c r="G482" s="154"/>
      <c r="H482" s="154"/>
      <c r="I482" s="155"/>
      <c r="J482" s="724">
        <f>I584/$I$604</f>
        <v>5.5233524288591969E-2</v>
      </c>
      <c r="L482" s="725"/>
    </row>
    <row r="483" spans="1:12" ht="16.5" customHeight="1" outlineLevel="1" thickBot="1" x14ac:dyDescent="0.25">
      <c r="A483" s="647" t="s">
        <v>801</v>
      </c>
      <c r="B483" s="648"/>
      <c r="C483" s="648"/>
      <c r="D483" s="649" t="s">
        <v>872</v>
      </c>
      <c r="E483" s="649"/>
      <c r="F483" s="649"/>
      <c r="G483" s="649"/>
      <c r="H483" s="649"/>
      <c r="I483" s="650"/>
      <c r="L483" s="725"/>
    </row>
    <row r="484" spans="1:12" ht="16.5" customHeight="1" outlineLevel="1" thickBot="1" x14ac:dyDescent="0.25">
      <c r="A484" s="847" t="s">
        <v>1724</v>
      </c>
      <c r="B484" s="848"/>
      <c r="C484" s="848"/>
      <c r="D484" s="849" t="s">
        <v>1531</v>
      </c>
      <c r="E484" s="849"/>
      <c r="F484" s="849"/>
      <c r="G484" s="849"/>
      <c r="H484" s="849"/>
      <c r="I484" s="850"/>
      <c r="L484" s="725"/>
    </row>
    <row r="485" spans="1:12" ht="18" customHeight="1" outlineLevel="1" x14ac:dyDescent="0.2">
      <c r="A485" s="1029" t="s">
        <v>1917</v>
      </c>
      <c r="B485" s="1266" t="s">
        <v>182</v>
      </c>
      <c r="C485" s="1029" t="s">
        <v>1016</v>
      </c>
      <c r="D485" s="666" t="s">
        <v>1017</v>
      </c>
      <c r="E485" s="1275" t="s">
        <v>739</v>
      </c>
      <c r="F485" s="131">
        <f>'18.PISC'!C33</f>
        <v>34.65</v>
      </c>
      <c r="G485" s="127">
        <v>51.21</v>
      </c>
      <c r="H485" s="127">
        <f>ROUND((G485*$K$10),2)</f>
        <v>65.97</v>
      </c>
      <c r="I485" s="127">
        <f>ROUND(((F485*H485)),2)</f>
        <v>2285.86</v>
      </c>
      <c r="L485" s="725">
        <f t="shared" ref="L485:L494" si="139">I485/$I$604</f>
        <v>1.7417126260724578E-3</v>
      </c>
    </row>
    <row r="486" spans="1:12" ht="44.25" customHeight="1" outlineLevel="1" x14ac:dyDescent="0.2">
      <c r="A486" s="1029" t="s">
        <v>1918</v>
      </c>
      <c r="B486" s="1266" t="s">
        <v>183</v>
      </c>
      <c r="C486" s="1259" t="s">
        <v>2603</v>
      </c>
      <c r="D486" s="1271" t="s">
        <v>2604</v>
      </c>
      <c r="E486" s="38" t="s">
        <v>328</v>
      </c>
      <c r="F486" s="132">
        <f>'18.PISC'!C40</f>
        <v>31.5</v>
      </c>
      <c r="G486" s="130">
        <v>0.56000000000000005</v>
      </c>
      <c r="H486" s="127">
        <f t="shared" ref="H486:H495" si="140">ROUND((G486*$K$10),2)</f>
        <v>0.72</v>
      </c>
      <c r="I486" s="127">
        <f t="shared" ref="I486:I495" si="141">ROUND(((F486*H486)),2)</f>
        <v>22.68</v>
      </c>
      <c r="L486" s="725">
        <f t="shared" si="139"/>
        <v>1.7281041865785018E-5</v>
      </c>
    </row>
    <row r="487" spans="1:12" ht="29.25" customHeight="1" outlineLevel="1" x14ac:dyDescent="0.2">
      <c r="A487" s="1029" t="s">
        <v>1919</v>
      </c>
      <c r="B487" s="1266" t="s">
        <v>183</v>
      </c>
      <c r="C487" s="1259" t="s">
        <v>1836</v>
      </c>
      <c r="D487" s="1271" t="s">
        <v>1837</v>
      </c>
      <c r="E487" s="38" t="s">
        <v>328</v>
      </c>
      <c r="F487" s="132">
        <f>'18.PISC'!C47</f>
        <v>31.5</v>
      </c>
      <c r="G487" s="130">
        <v>17.96</v>
      </c>
      <c r="H487" s="127">
        <f t="shared" si="140"/>
        <v>23.14</v>
      </c>
      <c r="I487" s="127">
        <f t="shared" si="141"/>
        <v>728.91</v>
      </c>
      <c r="L487" s="725">
        <f t="shared" si="139"/>
        <v>5.5539348440870179E-4</v>
      </c>
    </row>
    <row r="488" spans="1:12" ht="33.75" customHeight="1" outlineLevel="1" x14ac:dyDescent="0.2">
      <c r="A488" s="1029" t="s">
        <v>1920</v>
      </c>
      <c r="B488" s="1260" t="s">
        <v>182</v>
      </c>
      <c r="C488" s="1259" t="s">
        <v>1019</v>
      </c>
      <c r="D488" s="2" t="s">
        <v>1020</v>
      </c>
      <c r="E488" s="38" t="s">
        <v>328</v>
      </c>
      <c r="F488" s="132">
        <f>'18.PISC'!C56</f>
        <v>3.45</v>
      </c>
      <c r="G488" s="66">
        <v>64.709999999999994</v>
      </c>
      <c r="H488" s="127">
        <f t="shared" si="140"/>
        <v>83.36</v>
      </c>
      <c r="I488" s="127">
        <f t="shared" si="141"/>
        <v>287.58999999999997</v>
      </c>
      <c r="L488" s="725">
        <f t="shared" si="139"/>
        <v>2.1912940168347059E-4</v>
      </c>
    </row>
    <row r="489" spans="1:12" ht="43.5" customHeight="1" outlineLevel="1" x14ac:dyDescent="0.2">
      <c r="A489" s="1029" t="s">
        <v>1921</v>
      </c>
      <c r="B489" s="1266" t="s">
        <v>183</v>
      </c>
      <c r="C489" s="1259" t="s">
        <v>1838</v>
      </c>
      <c r="D489" s="1271" t="s">
        <v>1839</v>
      </c>
      <c r="E489" s="38" t="s">
        <v>328</v>
      </c>
      <c r="F489" s="132">
        <f>'18.PISC'!C74</f>
        <v>69.72</v>
      </c>
      <c r="G489" s="130">
        <v>32.93</v>
      </c>
      <c r="H489" s="127">
        <f t="shared" si="140"/>
        <v>42.42</v>
      </c>
      <c r="I489" s="127">
        <f t="shared" si="141"/>
        <v>2957.52</v>
      </c>
      <c r="L489" s="725">
        <f t="shared" si="139"/>
        <v>2.2534844329319447E-3</v>
      </c>
    </row>
    <row r="490" spans="1:12" ht="47.25" customHeight="1" outlineLevel="1" x14ac:dyDescent="0.2">
      <c r="A490" s="1029" t="s">
        <v>1922</v>
      </c>
      <c r="B490" s="1260" t="s">
        <v>183</v>
      </c>
      <c r="C490" s="1259" t="s">
        <v>1840</v>
      </c>
      <c r="D490" s="2" t="s">
        <v>1841</v>
      </c>
      <c r="E490" s="38" t="s">
        <v>205</v>
      </c>
      <c r="F490" s="132">
        <f>'18.PISC'!C89</f>
        <v>158.22</v>
      </c>
      <c r="G490" s="66">
        <v>14.83</v>
      </c>
      <c r="H490" s="127">
        <f t="shared" si="140"/>
        <v>19.100000000000001</v>
      </c>
      <c r="I490" s="127">
        <f t="shared" si="141"/>
        <v>3022</v>
      </c>
      <c r="L490" s="725">
        <f t="shared" si="139"/>
        <v>2.3026150140389033E-3</v>
      </c>
    </row>
    <row r="491" spans="1:12" ht="45.75" customHeight="1" outlineLevel="1" x14ac:dyDescent="0.2">
      <c r="A491" s="1029" t="s">
        <v>1923</v>
      </c>
      <c r="B491" s="1266" t="s">
        <v>183</v>
      </c>
      <c r="C491" s="1259" t="s">
        <v>1842</v>
      </c>
      <c r="D491" s="1271" t="s">
        <v>1843</v>
      </c>
      <c r="E491" s="38" t="s">
        <v>205</v>
      </c>
      <c r="F491" s="132">
        <f>'18.PISC'!C102</f>
        <v>59.81</v>
      </c>
      <c r="G491" s="130">
        <v>13.94</v>
      </c>
      <c r="H491" s="127">
        <f t="shared" si="140"/>
        <v>17.96</v>
      </c>
      <c r="I491" s="127">
        <f t="shared" si="141"/>
        <v>1074.19</v>
      </c>
      <c r="L491" s="725">
        <f t="shared" si="139"/>
        <v>8.1847982194918915E-4</v>
      </c>
    </row>
    <row r="492" spans="1:12" ht="46.5" customHeight="1" outlineLevel="1" x14ac:dyDescent="0.2">
      <c r="A492" s="1029" t="s">
        <v>1924</v>
      </c>
      <c r="B492" s="1260" t="s">
        <v>183</v>
      </c>
      <c r="C492" s="1259" t="s">
        <v>1844</v>
      </c>
      <c r="D492" s="2" t="s">
        <v>1845</v>
      </c>
      <c r="E492" s="38" t="s">
        <v>205</v>
      </c>
      <c r="F492" s="132">
        <f>'18.PISC'!C111</f>
        <v>355.99</v>
      </c>
      <c r="G492" s="66">
        <v>12.46</v>
      </c>
      <c r="H492" s="127">
        <f t="shared" si="140"/>
        <v>16.05</v>
      </c>
      <c r="I492" s="127">
        <f t="shared" si="141"/>
        <v>5713.64</v>
      </c>
      <c r="L492" s="725">
        <f t="shared" si="139"/>
        <v>4.3535119949746001E-3</v>
      </c>
    </row>
    <row r="493" spans="1:12" ht="45" customHeight="1" outlineLevel="1" x14ac:dyDescent="0.2">
      <c r="A493" s="1029" t="s">
        <v>1925</v>
      </c>
      <c r="B493" s="1266" t="s">
        <v>183</v>
      </c>
      <c r="C493" s="1259" t="s">
        <v>1846</v>
      </c>
      <c r="D493" s="1271" t="s">
        <v>1847</v>
      </c>
      <c r="E493" s="38" t="s">
        <v>205</v>
      </c>
      <c r="F493" s="132">
        <f>'18.PISC'!C119</f>
        <v>4.88</v>
      </c>
      <c r="G493" s="130">
        <v>15.67</v>
      </c>
      <c r="H493" s="127">
        <f t="shared" si="140"/>
        <v>20.190000000000001</v>
      </c>
      <c r="I493" s="127">
        <f t="shared" si="141"/>
        <v>98.53</v>
      </c>
      <c r="L493" s="725">
        <f t="shared" si="139"/>
        <v>7.5075002426622483E-5</v>
      </c>
    </row>
    <row r="494" spans="1:12" ht="20.25" customHeight="1" outlineLevel="1" x14ac:dyDescent="0.2">
      <c r="A494" s="1029" t="s">
        <v>1926</v>
      </c>
      <c r="B494" s="1260" t="s">
        <v>182</v>
      </c>
      <c r="C494" s="1259" t="s">
        <v>1848</v>
      </c>
      <c r="D494" s="2" t="s">
        <v>1849</v>
      </c>
      <c r="E494" s="38" t="s">
        <v>739</v>
      </c>
      <c r="F494" s="132">
        <f>'18.PISC'!C136</f>
        <v>10.34</v>
      </c>
      <c r="G494" s="66">
        <v>812.89</v>
      </c>
      <c r="H494" s="127">
        <f t="shared" si="140"/>
        <v>1047.1600000000001</v>
      </c>
      <c r="I494" s="127">
        <f t="shared" si="141"/>
        <v>10827.63</v>
      </c>
      <c r="L494" s="725">
        <f t="shared" si="139"/>
        <v>8.2501202529642777E-3</v>
      </c>
    </row>
    <row r="495" spans="1:12" ht="33.75" customHeight="1" outlineLevel="1" x14ac:dyDescent="0.2">
      <c r="A495" s="1029" t="s">
        <v>1927</v>
      </c>
      <c r="B495" s="1260" t="s">
        <v>182</v>
      </c>
      <c r="C495" s="1259" t="s">
        <v>1090</v>
      </c>
      <c r="D495" s="2" t="s">
        <v>1091</v>
      </c>
      <c r="E495" s="38" t="s">
        <v>328</v>
      </c>
      <c r="F495" s="132">
        <f>'18.PISC'!C148</f>
        <v>28.32</v>
      </c>
      <c r="G495" s="66">
        <v>27.74</v>
      </c>
      <c r="H495" s="127">
        <f t="shared" si="140"/>
        <v>35.729999999999997</v>
      </c>
      <c r="I495" s="127">
        <f t="shared" si="141"/>
        <v>1011.87</v>
      </c>
      <c r="L495" s="725"/>
    </row>
    <row r="496" spans="1:12" ht="20.25" customHeight="1" outlineLevel="1" thickBot="1" x14ac:dyDescent="0.25">
      <c r="A496" s="1029" t="s">
        <v>1928</v>
      </c>
      <c r="B496" s="1260" t="s">
        <v>183</v>
      </c>
      <c r="C496" s="1259" t="s">
        <v>1306</v>
      </c>
      <c r="D496" s="2" t="s">
        <v>1307</v>
      </c>
      <c r="E496" s="38" t="s">
        <v>739</v>
      </c>
      <c r="F496" s="132">
        <f>'18.PISC'!H163</f>
        <v>26.48</v>
      </c>
      <c r="G496" s="66">
        <v>40.99</v>
      </c>
      <c r="H496" s="127">
        <f>ROUND((G496*$K$10),2)</f>
        <v>52.8</v>
      </c>
      <c r="I496" s="127">
        <f>ROUND(((F496*H496)),2)</f>
        <v>1398.14</v>
      </c>
      <c r="L496" s="725">
        <f>I496/$I$604</f>
        <v>1.0653137510682835E-3</v>
      </c>
    </row>
    <row r="497" spans="1:12" ht="16.5" customHeight="1" outlineLevel="1" thickBot="1" x14ac:dyDescent="0.25">
      <c r="A497" s="847" t="s">
        <v>1725</v>
      </c>
      <c r="B497" s="848"/>
      <c r="C497" s="848"/>
      <c r="D497" s="849" t="s">
        <v>1951</v>
      </c>
      <c r="E497" s="849"/>
      <c r="F497" s="849"/>
      <c r="G497" s="849"/>
      <c r="H497" s="849"/>
      <c r="I497" s="850"/>
      <c r="L497" s="725"/>
    </row>
    <row r="498" spans="1:12" ht="18" customHeight="1" outlineLevel="1" x14ac:dyDescent="0.2">
      <c r="A498" s="1029" t="s">
        <v>1930</v>
      </c>
      <c r="B498" s="1260" t="s">
        <v>182</v>
      </c>
      <c r="C498" s="1259" t="s">
        <v>1410</v>
      </c>
      <c r="D498" s="2" t="s">
        <v>1434</v>
      </c>
      <c r="E498" s="38" t="s">
        <v>328</v>
      </c>
      <c r="F498" s="132">
        <f>'18.PISC'!C176</f>
        <v>28.12</v>
      </c>
      <c r="G498" s="66">
        <v>35.53</v>
      </c>
      <c r="H498" s="127">
        <f t="shared" ref="H498:H502" si="142">ROUND((G498*$K$10),2)</f>
        <v>45.77</v>
      </c>
      <c r="I498" s="127">
        <f t="shared" ref="I498:I502" si="143">ROUND(((F498*H498)),2)</f>
        <v>1287.05</v>
      </c>
      <c r="L498" s="725">
        <f>I498/$I$604</f>
        <v>9.8066864785531786E-4</v>
      </c>
    </row>
    <row r="499" spans="1:12" ht="32.25" customHeight="1" outlineLevel="1" x14ac:dyDescent="0.2">
      <c r="A499" s="1029" t="s">
        <v>1931</v>
      </c>
      <c r="B499" s="1266" t="s">
        <v>183</v>
      </c>
      <c r="C499" s="1259" t="s">
        <v>1948</v>
      </c>
      <c r="D499" s="1271" t="s">
        <v>1949</v>
      </c>
      <c r="E499" s="38" t="s">
        <v>328</v>
      </c>
      <c r="F499" s="132">
        <f>'18.PISC'!C183</f>
        <v>20.8</v>
      </c>
      <c r="G499" s="130">
        <v>23.46</v>
      </c>
      <c r="H499" s="127">
        <f t="shared" si="142"/>
        <v>30.22</v>
      </c>
      <c r="I499" s="127">
        <f t="shared" si="143"/>
        <v>628.58000000000004</v>
      </c>
      <c r="L499" s="725">
        <f>I499/$I$604</f>
        <v>4.7894697072289015E-4</v>
      </c>
    </row>
    <row r="500" spans="1:12" ht="72.75" customHeight="1" outlineLevel="1" x14ac:dyDescent="0.2">
      <c r="A500" s="1029" t="s">
        <v>1932</v>
      </c>
      <c r="B500" s="1266" t="s">
        <v>183</v>
      </c>
      <c r="C500" s="1259" t="s">
        <v>1956</v>
      </c>
      <c r="D500" s="1271" t="s">
        <v>1957</v>
      </c>
      <c r="E500" s="38" t="s">
        <v>328</v>
      </c>
      <c r="F500" s="132">
        <f>'18.PISC'!C190</f>
        <v>20.8</v>
      </c>
      <c r="G500" s="66">
        <v>45.42</v>
      </c>
      <c r="H500" s="127">
        <f t="shared" si="142"/>
        <v>58.51</v>
      </c>
      <c r="I500" s="127">
        <f t="shared" si="143"/>
        <v>1217.01</v>
      </c>
      <c r="L500" s="725">
        <f>I500/$I$604</f>
        <v>9.2730162085886362E-4</v>
      </c>
    </row>
    <row r="501" spans="1:12" ht="17.25" customHeight="1" outlineLevel="1" x14ac:dyDescent="0.2">
      <c r="A501" s="1029" t="s">
        <v>1933</v>
      </c>
      <c r="B501" s="1260" t="s">
        <v>182</v>
      </c>
      <c r="C501" s="1259" t="s">
        <v>1941</v>
      </c>
      <c r="D501" s="2" t="s">
        <v>1942</v>
      </c>
      <c r="E501" s="38" t="s">
        <v>328</v>
      </c>
      <c r="F501" s="132">
        <f>'18.PISC'!C196</f>
        <v>20.8</v>
      </c>
      <c r="G501" s="130">
        <v>117.66</v>
      </c>
      <c r="H501" s="127">
        <f t="shared" si="142"/>
        <v>151.57</v>
      </c>
      <c r="I501" s="127">
        <f t="shared" si="143"/>
        <v>3152.66</v>
      </c>
      <c r="L501" s="725">
        <f>I501/$I$604</f>
        <v>2.4021714924420544E-3</v>
      </c>
    </row>
    <row r="502" spans="1:12" ht="44.25" customHeight="1" outlineLevel="1" thickBot="1" x14ac:dyDescent="0.25">
      <c r="A502" s="1029" t="s">
        <v>1934</v>
      </c>
      <c r="B502" s="1260" t="s">
        <v>183</v>
      </c>
      <c r="C502" s="1259" t="s">
        <v>1943</v>
      </c>
      <c r="D502" s="2" t="s">
        <v>1944</v>
      </c>
      <c r="E502" s="38" t="s">
        <v>328</v>
      </c>
      <c r="F502" s="132">
        <f>'18.PISC'!C206</f>
        <v>7.32</v>
      </c>
      <c r="G502" s="66">
        <v>55.43</v>
      </c>
      <c r="H502" s="127">
        <f t="shared" si="142"/>
        <v>71.400000000000006</v>
      </c>
      <c r="I502" s="127">
        <f t="shared" si="143"/>
        <v>522.65</v>
      </c>
      <c r="L502" s="725">
        <f>I502/$I$604</f>
        <v>3.982335331196005E-4</v>
      </c>
    </row>
    <row r="503" spans="1:12" ht="16.5" customHeight="1" outlineLevel="1" thickBot="1" x14ac:dyDescent="0.25">
      <c r="A503" s="847" t="s">
        <v>1726</v>
      </c>
      <c r="B503" s="848"/>
      <c r="C503" s="848"/>
      <c r="D503" s="849" t="s">
        <v>1945</v>
      </c>
      <c r="E503" s="849"/>
      <c r="F503" s="849"/>
      <c r="G503" s="849"/>
      <c r="H503" s="849"/>
      <c r="I503" s="850"/>
      <c r="L503" s="725"/>
    </row>
    <row r="504" spans="1:12" ht="45" customHeight="1" outlineLevel="1" x14ac:dyDescent="0.2">
      <c r="A504" s="1029" t="s">
        <v>1935</v>
      </c>
      <c r="B504" s="1260" t="s">
        <v>183</v>
      </c>
      <c r="C504" s="1259" t="s">
        <v>1952</v>
      </c>
      <c r="D504" s="2" t="s">
        <v>1953</v>
      </c>
      <c r="E504" s="38" t="s">
        <v>328</v>
      </c>
      <c r="F504" s="132">
        <f>'18.PISC'!F243</f>
        <v>34.08</v>
      </c>
      <c r="G504" s="66">
        <v>6.44</v>
      </c>
      <c r="H504" s="127">
        <f t="shared" ref="H504:H509" si="144">ROUND((G504*$K$10),2)</f>
        <v>8.3000000000000007</v>
      </c>
      <c r="I504" s="127">
        <f t="shared" ref="I504:I509" si="145">ROUND(((F504*H504)),2)</f>
        <v>282.86</v>
      </c>
      <c r="L504" s="725">
        <f t="shared" ref="L504:L509" si="146">I504/$I$604</f>
        <v>2.15525374874601E-4</v>
      </c>
    </row>
    <row r="505" spans="1:12" ht="46.5" customHeight="1" outlineLevel="1" x14ac:dyDescent="0.2">
      <c r="A505" s="1029" t="s">
        <v>1936</v>
      </c>
      <c r="B505" s="1266" t="s">
        <v>183</v>
      </c>
      <c r="C505" s="1259" t="s">
        <v>1954</v>
      </c>
      <c r="D505" s="1271" t="s">
        <v>1955</v>
      </c>
      <c r="E505" s="38" t="s">
        <v>328</v>
      </c>
      <c r="F505" s="132">
        <f>'18.PISC'!C248</f>
        <v>34.08</v>
      </c>
      <c r="G505" s="130">
        <v>42.27</v>
      </c>
      <c r="H505" s="127">
        <f t="shared" si="144"/>
        <v>54.45</v>
      </c>
      <c r="I505" s="127">
        <f t="shared" si="145"/>
        <v>1855.66</v>
      </c>
      <c r="L505" s="725">
        <f t="shared" si="146"/>
        <v>1.4139214351262183E-3</v>
      </c>
    </row>
    <row r="506" spans="1:12" ht="33.75" customHeight="1" outlineLevel="1" x14ac:dyDescent="0.2">
      <c r="A506" s="1029" t="s">
        <v>1937</v>
      </c>
      <c r="B506" s="1266" t="s">
        <v>183</v>
      </c>
      <c r="C506" s="1259" t="s">
        <v>1948</v>
      </c>
      <c r="D506" s="1271" t="s">
        <v>1949</v>
      </c>
      <c r="E506" s="38" t="s">
        <v>328</v>
      </c>
      <c r="F506" s="132">
        <f>'18.PISC'!C258</f>
        <v>23.28</v>
      </c>
      <c r="G506" s="66">
        <v>23.46</v>
      </c>
      <c r="H506" s="127">
        <f t="shared" si="144"/>
        <v>30.22</v>
      </c>
      <c r="I506" s="127">
        <f t="shared" si="145"/>
        <v>703.52</v>
      </c>
      <c r="L506" s="725">
        <f t="shared" si="146"/>
        <v>5.3604755614713746E-4</v>
      </c>
    </row>
    <row r="507" spans="1:12" ht="18" customHeight="1" outlineLevel="1" x14ac:dyDescent="0.2">
      <c r="A507" s="1029" t="s">
        <v>1938</v>
      </c>
      <c r="B507" s="1266" t="s">
        <v>182</v>
      </c>
      <c r="C507" s="1259" t="s">
        <v>1961</v>
      </c>
      <c r="D507" s="1271" t="s">
        <v>1962</v>
      </c>
      <c r="E507" s="38" t="s">
        <v>328</v>
      </c>
      <c r="F507" s="132">
        <f>'18.PISC'!C263</f>
        <v>23.28</v>
      </c>
      <c r="G507" s="130">
        <v>43.99</v>
      </c>
      <c r="H507" s="127">
        <f t="shared" si="144"/>
        <v>56.67</v>
      </c>
      <c r="I507" s="127">
        <f t="shared" si="145"/>
        <v>1319.28</v>
      </c>
      <c r="L507" s="725">
        <f t="shared" si="146"/>
        <v>1.0052263189018016E-3</v>
      </c>
    </row>
    <row r="508" spans="1:12" ht="17.25" customHeight="1" outlineLevel="1" x14ac:dyDescent="0.2">
      <c r="A508" s="1029" t="s">
        <v>1939</v>
      </c>
      <c r="B508" s="1260" t="s">
        <v>182</v>
      </c>
      <c r="C508" s="1259" t="s">
        <v>1941</v>
      </c>
      <c r="D508" s="2" t="s">
        <v>1942</v>
      </c>
      <c r="E508" s="38" t="s">
        <v>328</v>
      </c>
      <c r="F508" s="132">
        <f>'18.PISC'!C268</f>
        <v>23.28</v>
      </c>
      <c r="G508" s="66">
        <v>117.66</v>
      </c>
      <c r="H508" s="127">
        <f t="shared" si="144"/>
        <v>151.57</v>
      </c>
      <c r="I508" s="127">
        <f t="shared" si="145"/>
        <v>3528.55</v>
      </c>
      <c r="L508" s="725">
        <f t="shared" si="146"/>
        <v>2.6885811408957553E-3</v>
      </c>
    </row>
    <row r="509" spans="1:12" ht="57" customHeight="1" outlineLevel="1" thickBot="1" x14ac:dyDescent="0.25">
      <c r="A509" s="1029" t="s">
        <v>1940</v>
      </c>
      <c r="B509" s="1266" t="s">
        <v>183</v>
      </c>
      <c r="C509" s="1259" t="s">
        <v>1913</v>
      </c>
      <c r="D509" s="1271" t="s">
        <v>1914</v>
      </c>
      <c r="E509" s="38" t="s">
        <v>328</v>
      </c>
      <c r="F509" s="132">
        <f>'18.PISC'!F300</f>
        <v>10.8</v>
      </c>
      <c r="G509" s="130">
        <v>47.31</v>
      </c>
      <c r="H509" s="127">
        <f t="shared" si="144"/>
        <v>60.94</v>
      </c>
      <c r="I509" s="127">
        <f t="shared" si="145"/>
        <v>658.15</v>
      </c>
      <c r="L509" s="725">
        <f t="shared" si="146"/>
        <v>5.0147785290857185E-4</v>
      </c>
    </row>
    <row r="510" spans="1:12" ht="16.5" customHeight="1" outlineLevel="1" thickBot="1" x14ac:dyDescent="0.25">
      <c r="A510" s="847" t="s">
        <v>1727</v>
      </c>
      <c r="B510" s="848"/>
      <c r="C510" s="848"/>
      <c r="D510" s="849" t="s">
        <v>1748</v>
      </c>
      <c r="E510" s="849"/>
      <c r="F510" s="849"/>
      <c r="G510" s="849"/>
      <c r="H510" s="849"/>
      <c r="I510" s="850"/>
      <c r="L510" s="725"/>
    </row>
    <row r="511" spans="1:12" ht="18" customHeight="1" outlineLevel="1" x14ac:dyDescent="0.2">
      <c r="A511" s="1029" t="s">
        <v>1946</v>
      </c>
      <c r="B511" s="1260" t="s">
        <v>182</v>
      </c>
      <c r="C511" s="1259" t="s">
        <v>560</v>
      </c>
      <c r="D511" s="2" t="s">
        <v>561</v>
      </c>
      <c r="E511" s="38" t="s">
        <v>218</v>
      </c>
      <c r="F511" s="132">
        <f>'18.PISC'!C309</f>
        <v>3.2</v>
      </c>
      <c r="G511" s="66">
        <v>281.64999999999998</v>
      </c>
      <c r="H511" s="127">
        <f t="shared" ref="H511:H512" si="147">ROUND((G511*$K$10),2)</f>
        <v>362.82</v>
      </c>
      <c r="I511" s="127">
        <f t="shared" ref="I511:I512" si="148">ROUND(((F511*H511)),2)</f>
        <v>1161.02</v>
      </c>
      <c r="L511" s="725">
        <f>I511/$I$604</f>
        <v>8.8464000119108121E-4</v>
      </c>
    </row>
    <row r="512" spans="1:12" ht="48" customHeight="1" outlineLevel="1" thickBot="1" x14ac:dyDescent="0.25">
      <c r="A512" s="1029" t="s">
        <v>1947</v>
      </c>
      <c r="B512" s="1485" t="str">
        <f>COMPOSIÇÕES!G667</f>
        <v>COMPOSIÇÃO 53</v>
      </c>
      <c r="C512" s="1486"/>
      <c r="D512" s="323" t="str">
        <f>COMPOSIÇÕES!C666</f>
        <v>ESCADA PARA PISCINA 5 DEGRAUS EM AÇO INOX, INCLUSO FURO DE INSTALAÇÃO E FIXAÇÃO DOS CHUMBADORES. FORNECIMENTO E INSTALAÇÃO.</v>
      </c>
      <c r="E512" s="38" t="s">
        <v>219</v>
      </c>
      <c r="F512" s="132">
        <f>'18.PISC'!C313</f>
        <v>2</v>
      </c>
      <c r="G512" s="130">
        <f>COMPOSIÇÕES!M674</f>
        <v>1106.9100000000001</v>
      </c>
      <c r="H512" s="127">
        <f t="shared" si="147"/>
        <v>1425.92</v>
      </c>
      <c r="I512" s="127">
        <f t="shared" si="148"/>
        <v>2851.84</v>
      </c>
      <c r="L512" s="725">
        <f>I512/$I$604</f>
        <v>2.1729614830035427E-3</v>
      </c>
    </row>
    <row r="513" spans="1:12" ht="16.5" customHeight="1" outlineLevel="1" thickBot="1" x14ac:dyDescent="0.25">
      <c r="A513" s="524" t="s">
        <v>802</v>
      </c>
      <c r="B513" s="525"/>
      <c r="C513" s="525"/>
      <c r="D513" s="526" t="s">
        <v>1915</v>
      </c>
      <c r="E513" s="526"/>
      <c r="F513" s="526"/>
      <c r="G513" s="526"/>
      <c r="H513" s="526"/>
      <c r="I513" s="527"/>
      <c r="L513" s="725"/>
    </row>
    <row r="514" spans="1:12" ht="18.75" customHeight="1" outlineLevel="1" thickBot="1" x14ac:dyDescent="0.25">
      <c r="A514" s="847" t="s">
        <v>1728</v>
      </c>
      <c r="B514" s="848"/>
      <c r="C514" s="848"/>
      <c r="D514" s="849" t="s">
        <v>1295</v>
      </c>
      <c r="E514" s="849"/>
      <c r="F514" s="849"/>
      <c r="G514" s="849"/>
      <c r="H514" s="849"/>
      <c r="I514" s="850"/>
      <c r="L514" s="725"/>
    </row>
    <row r="515" spans="1:12" ht="18" customHeight="1" outlineLevel="1" x14ac:dyDescent="0.2">
      <c r="A515" s="1029" t="s">
        <v>1903</v>
      </c>
      <c r="B515" s="1266" t="s">
        <v>182</v>
      </c>
      <c r="C515" s="1029" t="s">
        <v>1016</v>
      </c>
      <c r="D515" s="666" t="s">
        <v>1017</v>
      </c>
      <c r="E515" s="1275" t="s">
        <v>739</v>
      </c>
      <c r="F515" s="131">
        <f>'18.PISC'!C324</f>
        <v>0.42</v>
      </c>
      <c r="G515" s="127">
        <v>51.21</v>
      </c>
      <c r="H515" s="127">
        <f t="shared" ref="H515:H520" si="149">ROUND((G515*$K$10),2)</f>
        <v>65.97</v>
      </c>
      <c r="I515" s="127">
        <f t="shared" ref="I515:I520" si="150">ROUND(((F515*H515)),2)</f>
        <v>27.71</v>
      </c>
      <c r="L515" s="725">
        <f t="shared" ref="L515:L520" si="151">I515/$I$604</f>
        <v>2.1113653884519528E-5</v>
      </c>
    </row>
    <row r="516" spans="1:12" ht="32.25" customHeight="1" outlineLevel="1" x14ac:dyDescent="0.2">
      <c r="A516" s="1029" t="s">
        <v>1904</v>
      </c>
      <c r="B516" s="1266" t="s">
        <v>183</v>
      </c>
      <c r="C516" s="1259" t="s">
        <v>1836</v>
      </c>
      <c r="D516" s="1271" t="s">
        <v>1837</v>
      </c>
      <c r="E516" s="38" t="s">
        <v>328</v>
      </c>
      <c r="F516" s="132">
        <f>'18.PISC'!C332</f>
        <v>1.84</v>
      </c>
      <c r="G516" s="130">
        <v>17.96</v>
      </c>
      <c r="H516" s="127">
        <f t="shared" si="149"/>
        <v>23.14</v>
      </c>
      <c r="I516" s="127">
        <f t="shared" si="150"/>
        <v>42.58</v>
      </c>
      <c r="L516" s="725">
        <f t="shared" si="151"/>
        <v>3.2443860786822139E-5</v>
      </c>
    </row>
    <row r="517" spans="1:12" ht="33.75" customHeight="1" outlineLevel="1" x14ac:dyDescent="0.2">
      <c r="A517" s="1029" t="s">
        <v>1905</v>
      </c>
      <c r="B517" s="1260" t="s">
        <v>183</v>
      </c>
      <c r="C517" s="1259" t="s">
        <v>1018</v>
      </c>
      <c r="D517" s="2" t="s">
        <v>204</v>
      </c>
      <c r="E517" s="38" t="s">
        <v>328</v>
      </c>
      <c r="F517" s="132">
        <f>'18.PISC'!C342</f>
        <v>1.64</v>
      </c>
      <c r="G517" s="66">
        <v>64.37</v>
      </c>
      <c r="H517" s="127">
        <f t="shared" si="149"/>
        <v>82.92</v>
      </c>
      <c r="I517" s="127">
        <f t="shared" si="150"/>
        <v>135.99</v>
      </c>
      <c r="L517" s="725">
        <f t="shared" si="151"/>
        <v>1.0361767563175065E-4</v>
      </c>
    </row>
    <row r="518" spans="1:12" ht="31.5" customHeight="1" outlineLevel="1" x14ac:dyDescent="0.2">
      <c r="A518" s="1029" t="s">
        <v>1906</v>
      </c>
      <c r="B518" s="1266" t="s">
        <v>183</v>
      </c>
      <c r="C518" s="1259" t="s">
        <v>1333</v>
      </c>
      <c r="D518" s="1271" t="s">
        <v>1334</v>
      </c>
      <c r="E518" s="38" t="s">
        <v>739</v>
      </c>
      <c r="F518" s="132">
        <f>'18.PISC'!C350</f>
        <v>0.28000000000000003</v>
      </c>
      <c r="G518" s="130">
        <v>545.9</v>
      </c>
      <c r="H518" s="127">
        <f t="shared" si="149"/>
        <v>703.23</v>
      </c>
      <c r="I518" s="127">
        <f t="shared" si="150"/>
        <v>196.9</v>
      </c>
      <c r="L518" s="725">
        <f t="shared" si="151"/>
        <v>1.5002809274131703E-4</v>
      </c>
    </row>
    <row r="519" spans="1:12" ht="31.5" customHeight="1" outlineLevel="1" x14ac:dyDescent="0.2">
      <c r="A519" s="1029" t="s">
        <v>1907</v>
      </c>
      <c r="B519" s="1260" t="s">
        <v>182</v>
      </c>
      <c r="C519" s="1259" t="s">
        <v>1090</v>
      </c>
      <c r="D519" s="2" t="s">
        <v>1091</v>
      </c>
      <c r="E519" s="38" t="s">
        <v>328</v>
      </c>
      <c r="F519" s="132">
        <f>'18.PISC'!C355</f>
        <v>1.64</v>
      </c>
      <c r="G519" s="66">
        <v>27.74</v>
      </c>
      <c r="H519" s="127">
        <f t="shared" si="149"/>
        <v>35.729999999999997</v>
      </c>
      <c r="I519" s="127">
        <f t="shared" si="150"/>
        <v>58.6</v>
      </c>
      <c r="L519" s="725">
        <f t="shared" si="151"/>
        <v>4.4650310993606797E-5</v>
      </c>
    </row>
    <row r="520" spans="1:12" ht="18" customHeight="1" outlineLevel="1" thickBot="1" x14ac:dyDescent="0.25">
      <c r="A520" s="1029" t="s">
        <v>1908</v>
      </c>
      <c r="B520" s="1266" t="s">
        <v>183</v>
      </c>
      <c r="C520" s="1259" t="s">
        <v>1306</v>
      </c>
      <c r="D520" s="1271" t="s">
        <v>1307</v>
      </c>
      <c r="E520" s="38" t="s">
        <v>739</v>
      </c>
      <c r="F520" s="132">
        <f>'18.PISC'!H360</f>
        <v>0.08</v>
      </c>
      <c r="G520" s="130">
        <v>40.99</v>
      </c>
      <c r="H520" s="127">
        <f t="shared" si="149"/>
        <v>52.8</v>
      </c>
      <c r="I520" s="127">
        <f t="shared" si="150"/>
        <v>4.22</v>
      </c>
      <c r="L520" s="725">
        <f t="shared" si="151"/>
        <v>3.2154319520993286E-6</v>
      </c>
    </row>
    <row r="521" spans="1:12" ht="16.5" customHeight="1" outlineLevel="1" thickBot="1" x14ac:dyDescent="0.25">
      <c r="A521" s="847" t="s">
        <v>1729</v>
      </c>
      <c r="B521" s="848"/>
      <c r="C521" s="848"/>
      <c r="D521" s="849" t="s">
        <v>1912</v>
      </c>
      <c r="E521" s="849"/>
      <c r="F521" s="849"/>
      <c r="G521" s="849"/>
      <c r="H521" s="849"/>
      <c r="I521" s="850"/>
      <c r="L521" s="725"/>
    </row>
    <row r="522" spans="1:12" ht="31.5" customHeight="1" outlineLevel="1" x14ac:dyDescent="0.2">
      <c r="A522" s="1029" t="s">
        <v>1909</v>
      </c>
      <c r="B522" s="1266" t="s">
        <v>183</v>
      </c>
      <c r="C522" s="1259" t="s">
        <v>1878</v>
      </c>
      <c r="D522" s="1271" t="s">
        <v>1879</v>
      </c>
      <c r="E522" s="38" t="s">
        <v>739</v>
      </c>
      <c r="F522" s="132">
        <f>'18.PISC'!C370</f>
        <v>0.28999999999999998</v>
      </c>
      <c r="G522" s="66">
        <v>3079.33</v>
      </c>
      <c r="H522" s="127">
        <f t="shared" ref="H522:H527" si="152">ROUND((G522*$K$10),2)</f>
        <v>3966.79</v>
      </c>
      <c r="I522" s="127">
        <f t="shared" ref="I522:I527" si="153">ROUND(((F522*H522)),2)</f>
        <v>1150.3699999999999</v>
      </c>
      <c r="L522" s="725">
        <f t="shared" ref="L522:L527" si="154">I522/$I$604</f>
        <v>8.7652522624087788E-4</v>
      </c>
    </row>
    <row r="523" spans="1:12" ht="45.75" customHeight="1" outlineLevel="1" x14ac:dyDescent="0.2">
      <c r="A523" s="1029" t="s">
        <v>1910</v>
      </c>
      <c r="B523" s="1266" t="s">
        <v>183</v>
      </c>
      <c r="C523" s="1259" t="s">
        <v>744</v>
      </c>
      <c r="D523" s="1271" t="s">
        <v>745</v>
      </c>
      <c r="E523" s="38" t="s">
        <v>328</v>
      </c>
      <c r="F523" s="132">
        <f>'18.PISC'!C378</f>
        <v>0.54</v>
      </c>
      <c r="G523" s="130">
        <v>51.33</v>
      </c>
      <c r="H523" s="127">
        <f t="shared" si="152"/>
        <v>66.12</v>
      </c>
      <c r="I523" s="127">
        <f t="shared" si="153"/>
        <v>35.700000000000003</v>
      </c>
      <c r="L523" s="725">
        <f t="shared" si="154"/>
        <v>2.7201639973920865E-5</v>
      </c>
    </row>
    <row r="524" spans="1:12" ht="45.75" customHeight="1" outlineLevel="1" x14ac:dyDescent="0.2">
      <c r="A524" s="1029" t="s">
        <v>1911</v>
      </c>
      <c r="B524" s="1266" t="s">
        <v>183</v>
      </c>
      <c r="C524" s="1259" t="s">
        <v>1991</v>
      </c>
      <c r="D524" s="1271" t="s">
        <v>1992</v>
      </c>
      <c r="E524" s="38" t="s">
        <v>328</v>
      </c>
      <c r="F524" s="132">
        <f>'18.PISC'!C387</f>
        <v>1.79</v>
      </c>
      <c r="G524" s="130">
        <v>5.99</v>
      </c>
      <c r="H524" s="127">
        <f t="shared" si="152"/>
        <v>7.72</v>
      </c>
      <c r="I524" s="127">
        <f t="shared" si="153"/>
        <v>13.82</v>
      </c>
      <c r="L524" s="725">
        <f t="shared" si="154"/>
        <v>1.0530158667775527E-5</v>
      </c>
    </row>
    <row r="525" spans="1:12" ht="72" customHeight="1" outlineLevel="1" x14ac:dyDescent="0.2">
      <c r="A525" s="1029" t="s">
        <v>1989</v>
      </c>
      <c r="B525" s="1266" t="s">
        <v>183</v>
      </c>
      <c r="C525" s="1259" t="s">
        <v>2414</v>
      </c>
      <c r="D525" s="1271" t="s">
        <v>2415</v>
      </c>
      <c r="E525" s="38" t="s">
        <v>328</v>
      </c>
      <c r="F525" s="132">
        <f>'18.PISC'!C392</f>
        <v>1.79</v>
      </c>
      <c r="G525" s="130">
        <v>20.52</v>
      </c>
      <c r="H525" s="127">
        <f t="shared" si="152"/>
        <v>26.43</v>
      </c>
      <c r="I525" s="127">
        <f t="shared" si="153"/>
        <v>47.31</v>
      </c>
      <c r="L525" s="725">
        <f t="shared" si="154"/>
        <v>3.6047887595691765E-5</v>
      </c>
    </row>
    <row r="526" spans="1:12" ht="60" customHeight="1" outlineLevel="1" x14ac:dyDescent="0.2">
      <c r="A526" s="1029" t="s">
        <v>1990</v>
      </c>
      <c r="B526" s="1266" t="s">
        <v>183</v>
      </c>
      <c r="C526" s="1259" t="s">
        <v>1913</v>
      </c>
      <c r="D526" s="1271" t="s">
        <v>1914</v>
      </c>
      <c r="E526" s="38" t="s">
        <v>328</v>
      </c>
      <c r="F526" s="132">
        <f>'18.PISC'!C397</f>
        <v>1.79</v>
      </c>
      <c r="G526" s="130">
        <v>47.31</v>
      </c>
      <c r="H526" s="127">
        <f t="shared" si="152"/>
        <v>60.94</v>
      </c>
      <c r="I526" s="127">
        <f t="shared" si="153"/>
        <v>109.08</v>
      </c>
      <c r="L526" s="725">
        <f t="shared" si="154"/>
        <v>8.3113582306870801E-5</v>
      </c>
    </row>
    <row r="527" spans="1:12" ht="43.5" customHeight="1" outlineLevel="1" thickBot="1" x14ac:dyDescent="0.25">
      <c r="A527" s="1029" t="s">
        <v>2003</v>
      </c>
      <c r="B527" s="1260" t="s">
        <v>183</v>
      </c>
      <c r="C527" s="1259" t="s">
        <v>751</v>
      </c>
      <c r="D527" s="2" t="s">
        <v>752</v>
      </c>
      <c r="E527" s="38" t="s">
        <v>328</v>
      </c>
      <c r="F527" s="132">
        <f>'18.PISC'!C405</f>
        <v>1.2</v>
      </c>
      <c r="G527" s="66">
        <v>47.11</v>
      </c>
      <c r="H527" s="127">
        <f t="shared" si="152"/>
        <v>60.69</v>
      </c>
      <c r="I527" s="127">
        <f t="shared" si="153"/>
        <v>72.83</v>
      </c>
      <c r="L527" s="725">
        <f t="shared" si="154"/>
        <v>5.5492869448197659E-5</v>
      </c>
    </row>
    <row r="528" spans="1:12" ht="16.5" customHeight="1" outlineLevel="1" thickBot="1" x14ac:dyDescent="0.25">
      <c r="A528" s="847" t="s">
        <v>1730</v>
      </c>
      <c r="B528" s="848"/>
      <c r="C528" s="848"/>
      <c r="D528" s="849" t="s">
        <v>1246</v>
      </c>
      <c r="E528" s="849"/>
      <c r="F528" s="849"/>
      <c r="G528" s="849"/>
      <c r="H528" s="849"/>
      <c r="I528" s="850"/>
      <c r="L528" s="725"/>
    </row>
    <row r="529" spans="1:12" ht="18" customHeight="1" outlineLevel="1" thickBot="1" x14ac:dyDescent="0.25">
      <c r="A529" s="1029" t="s">
        <v>1929</v>
      </c>
      <c r="B529" s="1266" t="s">
        <v>182</v>
      </c>
      <c r="C529" s="1259" t="s">
        <v>1722</v>
      </c>
      <c r="D529" s="1271" t="s">
        <v>1723</v>
      </c>
      <c r="E529" s="38" t="s">
        <v>328</v>
      </c>
      <c r="F529" s="132">
        <f>'18.PISC'!C414</f>
        <v>5.96</v>
      </c>
      <c r="G529" s="66">
        <v>378.36</v>
      </c>
      <c r="H529" s="127">
        <f>ROUND((G529*$K$10),2)</f>
        <v>487.4</v>
      </c>
      <c r="I529" s="127">
        <f>ROUND(((F529*H529)),2)</f>
        <v>2904.9</v>
      </c>
      <c r="L529" s="725">
        <f>I529/$I$604</f>
        <v>2.2133905871216447E-3</v>
      </c>
    </row>
    <row r="530" spans="1:12" ht="16.5" customHeight="1" outlineLevel="1" thickBot="1" x14ac:dyDescent="0.25">
      <c r="A530" s="524" t="s">
        <v>803</v>
      </c>
      <c r="B530" s="525"/>
      <c r="C530" s="525"/>
      <c r="D530" s="526" t="s">
        <v>1916</v>
      </c>
      <c r="E530" s="526"/>
      <c r="F530" s="526"/>
      <c r="G530" s="526"/>
      <c r="H530" s="526"/>
      <c r="I530" s="527"/>
      <c r="L530" s="725"/>
    </row>
    <row r="531" spans="1:12" ht="16.5" customHeight="1" outlineLevel="1" thickBot="1" x14ac:dyDescent="0.25">
      <c r="A531" s="847" t="s">
        <v>1731</v>
      </c>
      <c r="B531" s="848"/>
      <c r="C531" s="848"/>
      <c r="D531" s="849" t="s">
        <v>1295</v>
      </c>
      <c r="E531" s="849"/>
      <c r="F531" s="849"/>
      <c r="G531" s="849"/>
      <c r="H531" s="849"/>
      <c r="I531" s="850"/>
      <c r="L531" s="725"/>
    </row>
    <row r="532" spans="1:12" ht="21" customHeight="1" outlineLevel="1" x14ac:dyDescent="0.2">
      <c r="A532" s="1029" t="s">
        <v>2010</v>
      </c>
      <c r="B532" s="1266" t="s">
        <v>182</v>
      </c>
      <c r="C532" s="1029" t="s">
        <v>1016</v>
      </c>
      <c r="D532" s="666" t="s">
        <v>1310</v>
      </c>
      <c r="E532" s="1275" t="s">
        <v>739</v>
      </c>
      <c r="F532" s="131">
        <f>'18.PISC'!C426</f>
        <v>3.67</v>
      </c>
      <c r="G532" s="127">
        <v>51.21</v>
      </c>
      <c r="H532" s="127">
        <f t="shared" ref="H532:H538" si="155">ROUND((G532*$K$10),2)</f>
        <v>65.97</v>
      </c>
      <c r="I532" s="127">
        <f t="shared" ref="I532:I538" si="156">ROUND(((F532*H532)),2)</f>
        <v>242.11</v>
      </c>
      <c r="L532" s="725">
        <f t="shared" ref="L532:L538" si="157">I532/$I$604</f>
        <v>1.8447588386795463E-4</v>
      </c>
    </row>
    <row r="533" spans="1:12" ht="34.5" customHeight="1" outlineLevel="1" x14ac:dyDescent="0.2">
      <c r="A533" s="1029" t="s">
        <v>2011</v>
      </c>
      <c r="B533" s="1266" t="s">
        <v>183</v>
      </c>
      <c r="C533" s="1259" t="s">
        <v>1704</v>
      </c>
      <c r="D533" s="1271" t="s">
        <v>1705</v>
      </c>
      <c r="E533" s="38" t="s">
        <v>328</v>
      </c>
      <c r="F533" s="132">
        <f>'18.PISC'!C434</f>
        <v>2.81</v>
      </c>
      <c r="G533" s="130">
        <v>4.95</v>
      </c>
      <c r="H533" s="127">
        <f t="shared" si="155"/>
        <v>6.38</v>
      </c>
      <c r="I533" s="127">
        <f t="shared" si="156"/>
        <v>17.93</v>
      </c>
      <c r="L533" s="725">
        <f t="shared" si="157"/>
        <v>1.36617760429244E-5</v>
      </c>
    </row>
    <row r="534" spans="1:12" ht="31.5" customHeight="1" outlineLevel="1" x14ac:dyDescent="0.2">
      <c r="A534" s="1029" t="s">
        <v>2012</v>
      </c>
      <c r="B534" s="1260" t="s">
        <v>183</v>
      </c>
      <c r="C534" s="1259" t="s">
        <v>1836</v>
      </c>
      <c r="D534" s="2" t="s">
        <v>1837</v>
      </c>
      <c r="E534" s="38" t="s">
        <v>328</v>
      </c>
      <c r="F534" s="132">
        <f>'18.PISC'!C439</f>
        <v>2.81</v>
      </c>
      <c r="G534" s="66">
        <v>17.96</v>
      </c>
      <c r="H534" s="127">
        <f t="shared" si="155"/>
        <v>23.14</v>
      </c>
      <c r="I534" s="127">
        <f t="shared" si="156"/>
        <v>65.02</v>
      </c>
      <c r="L534" s="725">
        <f t="shared" si="157"/>
        <v>4.9542034484715249E-5</v>
      </c>
    </row>
    <row r="535" spans="1:12" ht="31.5" customHeight="1" outlineLevel="1" x14ac:dyDescent="0.2">
      <c r="A535" s="1029" t="s">
        <v>2013</v>
      </c>
      <c r="B535" s="1266" t="s">
        <v>182</v>
      </c>
      <c r="C535" s="1259" t="s">
        <v>1019</v>
      </c>
      <c r="D535" s="1271" t="s">
        <v>1020</v>
      </c>
      <c r="E535" s="38" t="s">
        <v>328</v>
      </c>
      <c r="F535" s="132">
        <f>'18.PISC'!C447</f>
        <v>3.07</v>
      </c>
      <c r="G535" s="130">
        <v>64.709999999999994</v>
      </c>
      <c r="H535" s="127">
        <f t="shared" si="155"/>
        <v>83.36</v>
      </c>
      <c r="I535" s="127">
        <f t="shared" si="156"/>
        <v>255.92</v>
      </c>
      <c r="L535" s="725">
        <f t="shared" si="157"/>
        <v>1.9499842302873465E-4</v>
      </c>
    </row>
    <row r="536" spans="1:12" ht="33.75" customHeight="1" outlineLevel="1" x14ac:dyDescent="0.2">
      <c r="A536" s="1029" t="s">
        <v>2014</v>
      </c>
      <c r="B536" s="1260" t="s">
        <v>183</v>
      </c>
      <c r="C536" s="1259" t="s">
        <v>1333</v>
      </c>
      <c r="D536" s="2" t="s">
        <v>1334</v>
      </c>
      <c r="E536" s="38" t="s">
        <v>739</v>
      </c>
      <c r="F536" s="132">
        <f>'18.PISC'!C455</f>
        <v>0.62</v>
      </c>
      <c r="G536" s="66">
        <v>545.9</v>
      </c>
      <c r="H536" s="127">
        <f t="shared" si="155"/>
        <v>703.23</v>
      </c>
      <c r="I536" s="127">
        <f t="shared" si="156"/>
        <v>436</v>
      </c>
      <c r="L536" s="725">
        <f t="shared" si="157"/>
        <v>3.3221050500362734E-4</v>
      </c>
    </row>
    <row r="537" spans="1:12" ht="33" customHeight="1" outlineLevel="1" x14ac:dyDescent="0.2">
      <c r="A537" s="1029" t="s">
        <v>2015</v>
      </c>
      <c r="B537" s="1266" t="s">
        <v>182</v>
      </c>
      <c r="C537" s="1259" t="s">
        <v>1090</v>
      </c>
      <c r="D537" s="1271" t="s">
        <v>1091</v>
      </c>
      <c r="E537" s="38" t="s">
        <v>328</v>
      </c>
      <c r="F537" s="132">
        <f>'18.PISC'!C460</f>
        <v>3.07</v>
      </c>
      <c r="G537" s="130">
        <v>27.74</v>
      </c>
      <c r="H537" s="127">
        <f t="shared" si="155"/>
        <v>35.729999999999997</v>
      </c>
      <c r="I537" s="127">
        <f t="shared" si="156"/>
        <v>109.69</v>
      </c>
      <c r="L537" s="725">
        <f t="shared" si="157"/>
        <v>8.3578372233596057E-5</v>
      </c>
    </row>
    <row r="538" spans="1:12" ht="18" customHeight="1" outlineLevel="1" thickBot="1" x14ac:dyDescent="0.25">
      <c r="A538" s="1029" t="s">
        <v>2016</v>
      </c>
      <c r="B538" s="1260" t="s">
        <v>183</v>
      </c>
      <c r="C538" s="1259" t="s">
        <v>1306</v>
      </c>
      <c r="D538" s="2" t="s">
        <v>1307</v>
      </c>
      <c r="E538" s="38" t="s">
        <v>739</v>
      </c>
      <c r="F538" s="132">
        <f>'18.PISC'!H465</f>
        <v>2.97</v>
      </c>
      <c r="G538" s="66">
        <v>40.99</v>
      </c>
      <c r="H538" s="127">
        <f t="shared" si="155"/>
        <v>52.8</v>
      </c>
      <c r="I538" s="127">
        <f t="shared" si="156"/>
        <v>156.82</v>
      </c>
      <c r="L538" s="725">
        <f t="shared" si="157"/>
        <v>1.1948910870336889E-4</v>
      </c>
    </row>
    <row r="539" spans="1:12" ht="16.5" customHeight="1" outlineLevel="1" thickBot="1" x14ac:dyDescent="0.25">
      <c r="A539" s="847" t="s">
        <v>1732</v>
      </c>
      <c r="B539" s="848"/>
      <c r="C539" s="848"/>
      <c r="D539" s="849" t="s">
        <v>202</v>
      </c>
      <c r="E539" s="849"/>
      <c r="F539" s="849"/>
      <c r="G539" s="849"/>
      <c r="H539" s="849"/>
      <c r="I539" s="850"/>
      <c r="L539" s="725"/>
    </row>
    <row r="540" spans="1:12" ht="45.75" customHeight="1" outlineLevel="1" x14ac:dyDescent="0.2">
      <c r="A540" s="1029" t="s">
        <v>2017</v>
      </c>
      <c r="B540" s="1266" t="s">
        <v>183</v>
      </c>
      <c r="C540" s="1029" t="s">
        <v>2032</v>
      </c>
      <c r="D540" s="666" t="s">
        <v>2033</v>
      </c>
      <c r="E540" s="1275" t="s">
        <v>739</v>
      </c>
      <c r="F540" s="131">
        <f>'18.PISC'!C486</f>
        <v>1.39</v>
      </c>
      <c r="G540" s="127">
        <v>2383.4299999999998</v>
      </c>
      <c r="H540" s="127">
        <f t="shared" ref="H540:H543" si="158">ROUND((G540*$K$10),2)</f>
        <v>3070.33</v>
      </c>
      <c r="I540" s="127">
        <f t="shared" ref="I540:I543" si="159">ROUND(((F540*H540)),2)</f>
        <v>4267.76</v>
      </c>
      <c r="L540" s="725">
        <f>I540/$I$604</f>
        <v>3.2518227175098182E-3</v>
      </c>
    </row>
    <row r="541" spans="1:12" ht="32.25" customHeight="1" outlineLevel="1" x14ac:dyDescent="0.2">
      <c r="A541" s="1029" t="s">
        <v>2018</v>
      </c>
      <c r="B541" s="1266" t="s">
        <v>183</v>
      </c>
      <c r="C541" s="1259" t="s">
        <v>1878</v>
      </c>
      <c r="D541" s="1271" t="s">
        <v>1879</v>
      </c>
      <c r="E541" s="38" t="s">
        <v>739</v>
      </c>
      <c r="F541" s="132">
        <f>'18.PISC'!C494</f>
        <v>0.39</v>
      </c>
      <c r="G541" s="130">
        <v>3079.33</v>
      </c>
      <c r="H541" s="127">
        <f t="shared" si="158"/>
        <v>3966.79</v>
      </c>
      <c r="I541" s="127">
        <f t="shared" si="159"/>
        <v>1547.05</v>
      </c>
      <c r="L541" s="725">
        <f>I541/$I$604</f>
        <v>1.1787758297382149E-3</v>
      </c>
    </row>
    <row r="542" spans="1:12" ht="18" customHeight="1" outlineLevel="1" x14ac:dyDescent="0.2">
      <c r="A542" s="1029" t="s">
        <v>2019</v>
      </c>
      <c r="B542" s="1260" t="s">
        <v>182</v>
      </c>
      <c r="C542" s="1259" t="s">
        <v>2043</v>
      </c>
      <c r="D542" s="2" t="s">
        <v>2044</v>
      </c>
      <c r="E542" s="38" t="s">
        <v>328</v>
      </c>
      <c r="F542" s="132">
        <f>'18.PISC'!C501</f>
        <v>3.2</v>
      </c>
      <c r="G542" s="66">
        <v>138.28</v>
      </c>
      <c r="H542" s="127">
        <f t="shared" si="158"/>
        <v>178.13</v>
      </c>
      <c r="I542" s="127">
        <f t="shared" si="159"/>
        <v>570.02</v>
      </c>
      <c r="L542" s="725">
        <f>I542/$I$604</f>
        <v>4.3432713775726526E-4</v>
      </c>
    </row>
    <row r="543" spans="1:12" ht="33" customHeight="1" outlineLevel="1" thickBot="1" x14ac:dyDescent="0.25">
      <c r="A543" s="1029" t="s">
        <v>2020</v>
      </c>
      <c r="B543" s="299" t="s">
        <v>183</v>
      </c>
      <c r="C543" s="805" t="s">
        <v>2045</v>
      </c>
      <c r="D543" s="1267" t="s">
        <v>2046</v>
      </c>
      <c r="E543" s="1274" t="s">
        <v>205</v>
      </c>
      <c r="F543" s="315">
        <f>'18.PISC'!C510</f>
        <v>3.04</v>
      </c>
      <c r="G543" s="806">
        <v>15.72</v>
      </c>
      <c r="H543" s="127">
        <f t="shared" si="158"/>
        <v>20.25</v>
      </c>
      <c r="I543" s="127">
        <f t="shared" si="159"/>
        <v>61.56</v>
      </c>
      <c r="L543" s="725">
        <f>I543/$I$604</f>
        <v>4.6905685064273625E-5</v>
      </c>
    </row>
    <row r="544" spans="1:12" ht="21" customHeight="1" outlineLevel="1" thickBot="1" x14ac:dyDescent="0.25">
      <c r="A544" s="847" t="s">
        <v>1733</v>
      </c>
      <c r="B544" s="848"/>
      <c r="C544" s="848"/>
      <c r="D544" s="849" t="s">
        <v>679</v>
      </c>
      <c r="E544" s="849"/>
      <c r="F544" s="849"/>
      <c r="G544" s="849"/>
      <c r="H544" s="849"/>
      <c r="I544" s="850"/>
      <c r="L544" s="725"/>
    </row>
    <row r="545" spans="1:12" ht="47.25" customHeight="1" outlineLevel="1" x14ac:dyDescent="0.2">
      <c r="A545" s="1029" t="s">
        <v>2021</v>
      </c>
      <c r="B545" s="1266" t="s">
        <v>183</v>
      </c>
      <c r="C545" s="1259" t="s">
        <v>2603</v>
      </c>
      <c r="D545" s="1301" t="s">
        <v>2604</v>
      </c>
      <c r="E545" s="38" t="s">
        <v>328</v>
      </c>
      <c r="F545" s="132">
        <f>'18.PISC'!C518</f>
        <v>2.82</v>
      </c>
      <c r="G545" s="130">
        <v>0.56000000000000005</v>
      </c>
      <c r="H545" s="127">
        <f t="shared" ref="H545:H549" si="160">ROUND((G545*$K$10),2)</f>
        <v>0.72</v>
      </c>
      <c r="I545" s="127">
        <f t="shared" ref="I545:I549" si="161">ROUND(((F545*H545)),2)</f>
        <v>2.0299999999999998</v>
      </c>
      <c r="L545" s="725">
        <f>I545/$I$604</f>
        <v>1.5467599200856961E-6</v>
      </c>
    </row>
    <row r="546" spans="1:12" ht="27.75" customHeight="1" outlineLevel="1" x14ac:dyDescent="0.2">
      <c r="A546" s="1029" t="s">
        <v>2022</v>
      </c>
      <c r="B546" s="1266" t="s">
        <v>183</v>
      </c>
      <c r="C546" s="1259" t="s">
        <v>483</v>
      </c>
      <c r="D546" s="1271" t="s">
        <v>203</v>
      </c>
      <c r="E546" s="38" t="s">
        <v>328</v>
      </c>
      <c r="F546" s="132">
        <f>'18.PISC'!C523</f>
        <v>2.82</v>
      </c>
      <c r="G546" s="130">
        <v>17.350000000000001</v>
      </c>
      <c r="H546" s="127">
        <f t="shared" si="160"/>
        <v>22.35</v>
      </c>
      <c r="I546" s="127">
        <f t="shared" si="161"/>
        <v>63.03</v>
      </c>
      <c r="L546" s="725">
        <f>I546/$I$604</f>
        <v>4.8025752592611544E-5</v>
      </c>
    </row>
    <row r="547" spans="1:12" ht="58.5" customHeight="1" outlineLevel="1" x14ac:dyDescent="0.2">
      <c r="A547" s="1029" t="s">
        <v>2023</v>
      </c>
      <c r="B547" s="1266" t="s">
        <v>183</v>
      </c>
      <c r="C547" s="1259" t="s">
        <v>636</v>
      </c>
      <c r="D547" s="1271" t="s">
        <v>637</v>
      </c>
      <c r="E547" s="38" t="s">
        <v>328</v>
      </c>
      <c r="F547" s="132">
        <f>'18.PISC'!C528</f>
        <v>2.82</v>
      </c>
      <c r="G547" s="66">
        <v>37.39</v>
      </c>
      <c r="H547" s="127">
        <f t="shared" si="160"/>
        <v>48.17</v>
      </c>
      <c r="I547" s="127">
        <f t="shared" si="161"/>
        <v>135.84</v>
      </c>
      <c r="L547" s="725">
        <f>I547/$I$604</f>
        <v>1.0350338302681822E-4</v>
      </c>
    </row>
    <row r="548" spans="1:12" ht="33.75" customHeight="1" outlineLevel="1" x14ac:dyDescent="0.2">
      <c r="A548" s="1029" t="s">
        <v>2024</v>
      </c>
      <c r="B548" s="1266" t="s">
        <v>183</v>
      </c>
      <c r="C548" s="1259" t="s">
        <v>684</v>
      </c>
      <c r="D548" s="1271" t="s">
        <v>685</v>
      </c>
      <c r="E548" s="38" t="s">
        <v>328</v>
      </c>
      <c r="F548" s="132">
        <f>'18.PISC'!C533</f>
        <v>2.82</v>
      </c>
      <c r="G548" s="130">
        <v>16.48</v>
      </c>
      <c r="H548" s="127">
        <f t="shared" si="160"/>
        <v>21.23</v>
      </c>
      <c r="I548" s="127">
        <f t="shared" si="161"/>
        <v>59.87</v>
      </c>
      <c r="L548" s="725">
        <f>I548/$I$604</f>
        <v>4.5617988382034793E-5</v>
      </c>
    </row>
    <row r="549" spans="1:12" ht="21.75" customHeight="1" outlineLevel="1" thickBot="1" x14ac:dyDescent="0.25">
      <c r="A549" s="1029" t="s">
        <v>2025</v>
      </c>
      <c r="B549" s="1266" t="s">
        <v>182</v>
      </c>
      <c r="C549" s="1259" t="s">
        <v>1410</v>
      </c>
      <c r="D549" s="1271" t="s">
        <v>1434</v>
      </c>
      <c r="E549" s="38" t="s">
        <v>328</v>
      </c>
      <c r="F549" s="132">
        <f>'18.PISC'!F550</f>
        <v>2.6</v>
      </c>
      <c r="G549" s="66">
        <v>35.53</v>
      </c>
      <c r="H549" s="127">
        <f t="shared" si="160"/>
        <v>45.77</v>
      </c>
      <c r="I549" s="127">
        <f t="shared" si="161"/>
        <v>119</v>
      </c>
      <c r="L549" s="725">
        <f>I549/$I$604</f>
        <v>9.0672133246402873E-5</v>
      </c>
    </row>
    <row r="550" spans="1:12" ht="21" customHeight="1" outlineLevel="1" thickBot="1" x14ac:dyDescent="0.25">
      <c r="A550" s="847" t="s">
        <v>2034</v>
      </c>
      <c r="B550" s="848"/>
      <c r="C550" s="848"/>
      <c r="D550" s="849" t="s">
        <v>2051</v>
      </c>
      <c r="E550" s="849"/>
      <c r="F550" s="849"/>
      <c r="G550" s="849"/>
      <c r="H550" s="849"/>
      <c r="I550" s="850"/>
      <c r="L550" s="725"/>
    </row>
    <row r="551" spans="1:12" ht="42.75" customHeight="1" outlineLevel="1" x14ac:dyDescent="0.2">
      <c r="A551" s="1029" t="s">
        <v>2035</v>
      </c>
      <c r="B551" s="1266" t="s">
        <v>183</v>
      </c>
      <c r="C551" s="1259" t="s">
        <v>744</v>
      </c>
      <c r="D551" s="1271" t="s">
        <v>745</v>
      </c>
      <c r="E551" s="38" t="s">
        <v>328</v>
      </c>
      <c r="F551" s="132">
        <f>'18.PISC'!C558</f>
        <v>2.1</v>
      </c>
      <c r="G551" s="130">
        <v>51.33</v>
      </c>
      <c r="H551" s="127">
        <f t="shared" ref="H551:H558" si="162">ROUND((G551*$K$10),2)</f>
        <v>66.12</v>
      </c>
      <c r="I551" s="127">
        <f t="shared" ref="I551:I558" si="163">ROUND(((F551*H551)),2)</f>
        <v>138.85</v>
      </c>
      <c r="L551" s="725">
        <f t="shared" ref="L551:L558" si="164">I551/$I$604</f>
        <v>1.0579685463246251E-4</v>
      </c>
    </row>
    <row r="552" spans="1:12" ht="42.75" customHeight="1" outlineLevel="1" x14ac:dyDescent="0.2">
      <c r="A552" s="1029" t="s">
        <v>2036</v>
      </c>
      <c r="B552" s="1266" t="s">
        <v>183</v>
      </c>
      <c r="C552" s="1259" t="s">
        <v>1991</v>
      </c>
      <c r="D552" s="1271" t="s">
        <v>1992</v>
      </c>
      <c r="E552" s="38" t="s">
        <v>328</v>
      </c>
      <c r="F552" s="132">
        <f>'18.PISC'!C565</f>
        <v>4.2</v>
      </c>
      <c r="G552" s="66">
        <v>5.99</v>
      </c>
      <c r="H552" s="127">
        <f t="shared" si="162"/>
        <v>7.72</v>
      </c>
      <c r="I552" s="127">
        <f t="shared" si="163"/>
        <v>32.42</v>
      </c>
      <c r="L552" s="725">
        <f t="shared" si="164"/>
        <v>2.4702441679398162E-5</v>
      </c>
    </row>
    <row r="553" spans="1:12" ht="71.25" customHeight="1" outlineLevel="1" x14ac:dyDescent="0.2">
      <c r="A553" s="1029" t="s">
        <v>2037</v>
      </c>
      <c r="B553" s="1266" t="s">
        <v>183</v>
      </c>
      <c r="C553" s="1259" t="s">
        <v>2414</v>
      </c>
      <c r="D553" s="1271" t="s">
        <v>2415</v>
      </c>
      <c r="E553" s="38" t="s">
        <v>328</v>
      </c>
      <c r="F553" s="132">
        <f>'18.PISC'!C570</f>
        <v>4.2</v>
      </c>
      <c r="G553" s="130">
        <v>20.52</v>
      </c>
      <c r="H553" s="127">
        <f t="shared" si="162"/>
        <v>26.43</v>
      </c>
      <c r="I553" s="127">
        <f t="shared" si="163"/>
        <v>111.01</v>
      </c>
      <c r="L553" s="725">
        <f t="shared" si="164"/>
        <v>8.4584147157001552E-5</v>
      </c>
    </row>
    <row r="554" spans="1:12" ht="56.25" customHeight="1" outlineLevel="1" x14ac:dyDescent="0.2">
      <c r="A554" s="1029" t="s">
        <v>2038</v>
      </c>
      <c r="B554" s="1266" t="s">
        <v>183</v>
      </c>
      <c r="C554" s="1259" t="s">
        <v>1913</v>
      </c>
      <c r="D554" s="1271" t="s">
        <v>1914</v>
      </c>
      <c r="E554" s="38" t="s">
        <v>328</v>
      </c>
      <c r="F554" s="132">
        <f>'18.PISC'!C577</f>
        <v>0.87</v>
      </c>
      <c r="G554" s="66">
        <v>47.31</v>
      </c>
      <c r="H554" s="127">
        <f t="shared" si="162"/>
        <v>60.94</v>
      </c>
      <c r="I554" s="127">
        <f t="shared" si="163"/>
        <v>53.02</v>
      </c>
      <c r="L554" s="725">
        <f t="shared" si="164"/>
        <v>4.039862609012001E-5</v>
      </c>
    </row>
    <row r="555" spans="1:12" ht="48.75" customHeight="1" outlineLevel="1" x14ac:dyDescent="0.2">
      <c r="A555" s="1029" t="s">
        <v>2039</v>
      </c>
      <c r="B555" s="1260" t="s">
        <v>183</v>
      </c>
      <c r="C555" s="1259" t="s">
        <v>751</v>
      </c>
      <c r="D555" s="2" t="s">
        <v>752</v>
      </c>
      <c r="E555" s="38" t="s">
        <v>328</v>
      </c>
      <c r="F555" s="132">
        <f>'18.PISC'!C585</f>
        <v>4.74</v>
      </c>
      <c r="G555" s="130">
        <v>47.11</v>
      </c>
      <c r="H555" s="127">
        <f t="shared" si="162"/>
        <v>60.69</v>
      </c>
      <c r="I555" s="127">
        <f t="shared" si="163"/>
        <v>287.67</v>
      </c>
      <c r="L555" s="725">
        <f t="shared" si="164"/>
        <v>2.1919035773943461E-4</v>
      </c>
    </row>
    <row r="556" spans="1:12" ht="33" customHeight="1" outlineLevel="1" x14ac:dyDescent="0.2">
      <c r="A556" s="1029" t="s">
        <v>2040</v>
      </c>
      <c r="B556" s="1260" t="s">
        <v>183</v>
      </c>
      <c r="C556" s="1259" t="s">
        <v>1318</v>
      </c>
      <c r="D556" s="2" t="s">
        <v>1319</v>
      </c>
      <c r="E556" s="38" t="s">
        <v>328</v>
      </c>
      <c r="F556" s="132">
        <f>'18.PISC'!C592</f>
        <v>3.07</v>
      </c>
      <c r="G556" s="130">
        <v>9.24</v>
      </c>
      <c r="H556" s="127">
        <f t="shared" si="162"/>
        <v>11.9</v>
      </c>
      <c r="I556" s="127">
        <f t="shared" si="163"/>
        <v>36.53</v>
      </c>
      <c r="L556" s="725">
        <f t="shared" si="164"/>
        <v>2.7834059054547034E-5</v>
      </c>
    </row>
    <row r="557" spans="1:12" ht="33" customHeight="1" outlineLevel="1" x14ac:dyDescent="0.2">
      <c r="A557" s="1029" t="s">
        <v>2041</v>
      </c>
      <c r="B557" s="1260" t="s">
        <v>183</v>
      </c>
      <c r="C557" s="1259" t="s">
        <v>1321</v>
      </c>
      <c r="D557" s="2" t="s">
        <v>1322</v>
      </c>
      <c r="E557" s="38" t="s">
        <v>328</v>
      </c>
      <c r="F557" s="132">
        <f>'18.PISC'!C597</f>
        <v>3.07</v>
      </c>
      <c r="G557" s="130">
        <v>2.2799999999999998</v>
      </c>
      <c r="H557" s="127">
        <f t="shared" si="162"/>
        <v>2.94</v>
      </c>
      <c r="I557" s="127">
        <f t="shared" si="163"/>
        <v>9.0299999999999994</v>
      </c>
      <c r="L557" s="725">
        <f t="shared" si="164"/>
        <v>6.8804148169329235E-6</v>
      </c>
    </row>
    <row r="558" spans="1:12" ht="36.75" customHeight="1" outlineLevel="1" thickBot="1" x14ac:dyDescent="0.25">
      <c r="A558" s="1029" t="s">
        <v>2042</v>
      </c>
      <c r="B558" s="1260" t="s">
        <v>183</v>
      </c>
      <c r="C558" s="1259" t="s">
        <v>1320</v>
      </c>
      <c r="D558" s="2" t="s">
        <v>155</v>
      </c>
      <c r="E558" s="38" t="s">
        <v>328</v>
      </c>
      <c r="F558" s="132">
        <f>'18.PISC'!C602</f>
        <v>3.07</v>
      </c>
      <c r="G558" s="130">
        <v>13.57</v>
      </c>
      <c r="H558" s="127">
        <f t="shared" si="162"/>
        <v>17.48</v>
      </c>
      <c r="I558" s="127">
        <f t="shared" si="163"/>
        <v>53.66</v>
      </c>
      <c r="L558" s="725">
        <f t="shared" si="164"/>
        <v>4.0886274537831746E-5</v>
      </c>
    </row>
    <row r="559" spans="1:12" ht="21" customHeight="1" outlineLevel="1" thickBot="1" x14ac:dyDescent="0.25">
      <c r="A559" s="847" t="s">
        <v>2180</v>
      </c>
      <c r="B559" s="848"/>
      <c r="C559" s="848"/>
      <c r="D559" s="849" t="s">
        <v>1246</v>
      </c>
      <c r="E559" s="849"/>
      <c r="F559" s="849"/>
      <c r="G559" s="849"/>
      <c r="H559" s="849"/>
      <c r="I559" s="850"/>
      <c r="L559" s="725"/>
    </row>
    <row r="560" spans="1:12" ht="33.75" customHeight="1" outlineLevel="1" thickBot="1" x14ac:dyDescent="0.25">
      <c r="A560" s="1029" t="s">
        <v>2181</v>
      </c>
      <c r="B560" s="1266" t="s">
        <v>183</v>
      </c>
      <c r="C560" s="1029" t="s">
        <v>2047</v>
      </c>
      <c r="D560" s="666" t="s">
        <v>2048</v>
      </c>
      <c r="E560" s="1275" t="s">
        <v>218</v>
      </c>
      <c r="F560" s="131">
        <f>'18.PISC'!C610</f>
        <v>2.6</v>
      </c>
      <c r="G560" s="127">
        <v>81.2</v>
      </c>
      <c r="H560" s="127">
        <f>ROUND((G560*$K$10),2)</f>
        <v>104.6</v>
      </c>
      <c r="I560" s="127">
        <f>ROUND(((F560*H560)),2)</f>
        <v>271.95999999999998</v>
      </c>
      <c r="L560" s="725">
        <f>I560/$I$604</f>
        <v>2.0722011224951029E-4</v>
      </c>
    </row>
    <row r="561" spans="1:12" ht="20.25" customHeight="1" outlineLevel="1" thickBot="1" x14ac:dyDescent="0.25">
      <c r="A561" s="524" t="s">
        <v>1360</v>
      </c>
      <c r="B561" s="525"/>
      <c r="C561" s="525"/>
      <c r="D561" s="526" t="s">
        <v>2026</v>
      </c>
      <c r="E561" s="526"/>
      <c r="F561" s="526"/>
      <c r="G561" s="526"/>
      <c r="H561" s="526"/>
      <c r="I561" s="527"/>
      <c r="L561" s="725"/>
    </row>
    <row r="562" spans="1:12" ht="35.25" customHeight="1" outlineLevel="1" x14ac:dyDescent="0.2">
      <c r="A562" s="1029" t="s">
        <v>1734</v>
      </c>
      <c r="B562" s="1266" t="s">
        <v>183</v>
      </c>
      <c r="C562" s="1029" t="s">
        <v>2049</v>
      </c>
      <c r="D562" s="666" t="s">
        <v>2050</v>
      </c>
      <c r="E562" s="1275" t="s">
        <v>219</v>
      </c>
      <c r="F562" s="131">
        <f>'18.PISC'!C615</f>
        <v>1</v>
      </c>
      <c r="G562" s="127">
        <v>1065.6099999999999</v>
      </c>
      <c r="H562" s="127">
        <f t="shared" ref="H562:H564" si="165">ROUND((G562*$K$10),2)</f>
        <v>1372.72</v>
      </c>
      <c r="I562" s="127">
        <f t="shared" ref="I562:I564" si="166">ROUND(((F562*H562)),2)</f>
        <v>1372.72</v>
      </c>
      <c r="L562" s="725">
        <f>I562/$I$604</f>
        <v>1.0459449642857325E-3</v>
      </c>
    </row>
    <row r="563" spans="1:12" ht="21" customHeight="1" outlineLevel="1" x14ac:dyDescent="0.2">
      <c r="A563" s="1029" t="s">
        <v>1735</v>
      </c>
      <c r="B563" s="1485" t="str">
        <f>COMPOSIÇÕES!G678</f>
        <v>COMPOSIÇÃO 54</v>
      </c>
      <c r="C563" s="1486"/>
      <c r="D563" s="323" t="str">
        <f>COMPOSIÇÕES!C677</f>
        <v>FILTRO PARA PISCINA DE 30.000 LITROS. FORNECIMENTO E INSTALAÇÃO</v>
      </c>
      <c r="E563" s="1275" t="s">
        <v>219</v>
      </c>
      <c r="F563" s="132">
        <f>'18.PISC'!C619</f>
        <v>1</v>
      </c>
      <c r="G563" s="130">
        <f>COMPOSIÇÕES!M683</f>
        <v>1160.17</v>
      </c>
      <c r="H563" s="127">
        <f t="shared" si="165"/>
        <v>1494.53</v>
      </c>
      <c r="I563" s="127">
        <f t="shared" si="166"/>
        <v>1494.53</v>
      </c>
      <c r="L563" s="725">
        <f>I563/$I$604</f>
        <v>1.1387581789978696E-3</v>
      </c>
    </row>
    <row r="564" spans="1:12" ht="34.5" customHeight="1" outlineLevel="1" thickBot="1" x14ac:dyDescent="0.25">
      <c r="A564" s="1029" t="s">
        <v>1736</v>
      </c>
      <c r="B564" s="1485" t="str">
        <f>COMPOSIÇÕES!G699</f>
        <v>COMPOSIÇÃO 55</v>
      </c>
      <c r="C564" s="1486"/>
      <c r="D564" s="539" t="str">
        <f>COMPOSIÇÕES!C698</f>
        <v>TAMPA PARA CASA DE BOMBA EM CHAPA DE AÇO XADREZ PARA PISO, E = 1/4 " (6,30 MM). FORNECIMENTO E INSTALAÇÃO.</v>
      </c>
      <c r="E564" s="38" t="s">
        <v>328</v>
      </c>
      <c r="F564" s="132">
        <f>'18.PISC'!C626</f>
        <v>0.6</v>
      </c>
      <c r="G564" s="66">
        <f>COMPOSIÇÕES!M712</f>
        <v>860.64</v>
      </c>
      <c r="H564" s="127">
        <f t="shared" si="165"/>
        <v>1108.68</v>
      </c>
      <c r="I564" s="127">
        <f t="shared" si="166"/>
        <v>665.21</v>
      </c>
      <c r="L564" s="725">
        <f>I564/$I$604</f>
        <v>5.068572248473921E-4</v>
      </c>
    </row>
    <row r="565" spans="1:12" ht="16.5" customHeight="1" outlineLevel="1" thickBot="1" x14ac:dyDescent="0.25">
      <c r="A565" s="524" t="s">
        <v>1361</v>
      </c>
      <c r="B565" s="525"/>
      <c r="C565" s="525"/>
      <c r="D565" s="526" t="s">
        <v>1737</v>
      </c>
      <c r="E565" s="526"/>
      <c r="F565" s="526"/>
      <c r="G565" s="526"/>
      <c r="H565" s="526"/>
      <c r="I565" s="527"/>
      <c r="L565" s="725"/>
    </row>
    <row r="566" spans="1:12" ht="31.5" customHeight="1" outlineLevel="1" x14ac:dyDescent="0.2">
      <c r="A566" s="1029" t="s">
        <v>1738</v>
      </c>
      <c r="B566" s="1260" t="s">
        <v>183</v>
      </c>
      <c r="C566" s="1259" t="s">
        <v>1693</v>
      </c>
      <c r="D566" s="2" t="s">
        <v>1694</v>
      </c>
      <c r="E566" s="38" t="s">
        <v>218</v>
      </c>
      <c r="F566" s="132">
        <f>'18.PISC'!C631</f>
        <v>18</v>
      </c>
      <c r="G566" s="66">
        <v>16.78</v>
      </c>
      <c r="H566" s="127">
        <f t="shared" ref="H566:H581" si="167">ROUND((G566*$K$10),2)</f>
        <v>21.62</v>
      </c>
      <c r="I566" s="127">
        <f t="shared" ref="I566:I581" si="168">ROUND(((F566*H566)),2)</f>
        <v>389.16</v>
      </c>
      <c r="L566" s="725">
        <f t="shared" ref="L566:L581" si="169">I566/$I$604</f>
        <v>2.9652073423672392E-4</v>
      </c>
    </row>
    <row r="567" spans="1:12" ht="32.25" customHeight="1" outlineLevel="1" x14ac:dyDescent="0.2">
      <c r="A567" s="1029" t="s">
        <v>1739</v>
      </c>
      <c r="B567" s="1266" t="s">
        <v>183</v>
      </c>
      <c r="C567" s="1259" t="s">
        <v>2108</v>
      </c>
      <c r="D567" s="1271" t="s">
        <v>2109</v>
      </c>
      <c r="E567" s="38" t="s">
        <v>218</v>
      </c>
      <c r="F567" s="132">
        <f>'18.PISC'!C635</f>
        <v>45.45</v>
      </c>
      <c r="G567" s="130">
        <v>20.56</v>
      </c>
      <c r="H567" s="127">
        <f t="shared" si="167"/>
        <v>26.49</v>
      </c>
      <c r="I567" s="127">
        <f t="shared" si="168"/>
        <v>1203.97</v>
      </c>
      <c r="L567" s="725">
        <f t="shared" si="169"/>
        <v>9.1736578373673681E-4</v>
      </c>
    </row>
    <row r="568" spans="1:12" ht="32.25" customHeight="1" outlineLevel="1" x14ac:dyDescent="0.2">
      <c r="A568" s="1029" t="s">
        <v>1740</v>
      </c>
      <c r="B568" s="1260" t="s">
        <v>183</v>
      </c>
      <c r="C568" s="1259" t="s">
        <v>1786</v>
      </c>
      <c r="D568" s="2" t="s">
        <v>1787</v>
      </c>
      <c r="E568" s="38" t="s">
        <v>219</v>
      </c>
      <c r="F568" s="132">
        <f>'18.PISC'!C639</f>
        <v>4</v>
      </c>
      <c r="G568" s="66">
        <v>8.26</v>
      </c>
      <c r="H568" s="127">
        <f t="shared" si="167"/>
        <v>10.64</v>
      </c>
      <c r="I568" s="127">
        <f t="shared" si="168"/>
        <v>42.56</v>
      </c>
      <c r="L568" s="725">
        <f t="shared" si="169"/>
        <v>3.2428621772831147E-5</v>
      </c>
    </row>
    <row r="569" spans="1:12" ht="32.25" customHeight="1" outlineLevel="1" x14ac:dyDescent="0.2">
      <c r="A569" s="1029" t="s">
        <v>1741</v>
      </c>
      <c r="B569" s="1266" t="s">
        <v>183</v>
      </c>
      <c r="C569" s="1259" t="s">
        <v>2116</v>
      </c>
      <c r="D569" s="1271" t="s">
        <v>2117</v>
      </c>
      <c r="E569" s="38" t="s">
        <v>219</v>
      </c>
      <c r="F569" s="132">
        <f>'18.PISC'!C643</f>
        <v>25</v>
      </c>
      <c r="G569" s="130">
        <v>26.68</v>
      </c>
      <c r="H569" s="127">
        <f t="shared" si="167"/>
        <v>34.369999999999997</v>
      </c>
      <c r="I569" s="127">
        <f t="shared" si="168"/>
        <v>859.25</v>
      </c>
      <c r="L569" s="725">
        <f t="shared" si="169"/>
        <v>6.5470613858799721E-4</v>
      </c>
    </row>
    <row r="570" spans="1:12" ht="20.25" customHeight="1" outlineLevel="1" x14ac:dyDescent="0.2">
      <c r="A570" s="1029" t="s">
        <v>1742</v>
      </c>
      <c r="B570" s="1260" t="s">
        <v>182</v>
      </c>
      <c r="C570" s="1259" t="s">
        <v>2118</v>
      </c>
      <c r="D570" s="2" t="s">
        <v>2121</v>
      </c>
      <c r="E570" s="38" t="s">
        <v>219</v>
      </c>
      <c r="F570" s="132">
        <f>'18.PISC'!C647</f>
        <v>1</v>
      </c>
      <c r="G570" s="66">
        <v>27.65</v>
      </c>
      <c r="H570" s="127">
        <f t="shared" si="167"/>
        <v>35.619999999999997</v>
      </c>
      <c r="I570" s="127">
        <f t="shared" si="168"/>
        <v>35.619999999999997</v>
      </c>
      <c r="L570" s="725">
        <f t="shared" si="169"/>
        <v>2.7140683917956892E-5</v>
      </c>
    </row>
    <row r="571" spans="1:12" ht="32.25" customHeight="1" outlineLevel="1" x14ac:dyDescent="0.2">
      <c r="A571" s="1029" t="s">
        <v>1743</v>
      </c>
      <c r="B571" s="1266" t="s">
        <v>183</v>
      </c>
      <c r="C571" s="1259" t="s">
        <v>2119</v>
      </c>
      <c r="D571" s="1271" t="s">
        <v>2120</v>
      </c>
      <c r="E571" s="38" t="s">
        <v>219</v>
      </c>
      <c r="F571" s="132">
        <f>'18.PISC'!C651</f>
        <v>1</v>
      </c>
      <c r="G571" s="130">
        <v>11.2</v>
      </c>
      <c r="H571" s="127">
        <f t="shared" si="167"/>
        <v>14.43</v>
      </c>
      <c r="I571" s="127">
        <f t="shared" si="168"/>
        <v>14.43</v>
      </c>
      <c r="L571" s="725">
        <f t="shared" si="169"/>
        <v>1.0994948594500786E-5</v>
      </c>
    </row>
    <row r="572" spans="1:12" ht="22.5" customHeight="1" outlineLevel="1" x14ac:dyDescent="0.2">
      <c r="A572" s="1029" t="s">
        <v>1744</v>
      </c>
      <c r="B572" s="1266" t="s">
        <v>182</v>
      </c>
      <c r="C572" s="1259" t="s">
        <v>2122</v>
      </c>
      <c r="D572" s="1271" t="s">
        <v>2123</v>
      </c>
      <c r="E572" s="38" t="s">
        <v>219</v>
      </c>
      <c r="F572" s="132">
        <f>'18.PISC'!C655</f>
        <v>3</v>
      </c>
      <c r="G572" s="130">
        <v>20.239999999999998</v>
      </c>
      <c r="H572" s="127">
        <f t="shared" si="167"/>
        <v>26.07</v>
      </c>
      <c r="I572" s="127">
        <f t="shared" si="168"/>
        <v>78.209999999999994</v>
      </c>
      <c r="L572" s="725">
        <f t="shared" si="169"/>
        <v>5.9592164211774524E-5</v>
      </c>
    </row>
    <row r="573" spans="1:12" ht="32.25" customHeight="1" outlineLevel="1" x14ac:dyDescent="0.2">
      <c r="A573" s="1029" t="s">
        <v>1745</v>
      </c>
      <c r="B573" s="1485" t="str">
        <f>COMPOSIÇÕES!A716</f>
        <v>COMPOSIÇÃO 56</v>
      </c>
      <c r="C573" s="1486"/>
      <c r="D573" s="2" t="str">
        <f>COMPOSIÇÕES!C715</f>
        <v>CRUZETA PVC SOLDAVEL NBR 5648 - 50 MM. FORNECIMENTO E INSTALAÇÃO.</v>
      </c>
      <c r="E573" s="38" t="s">
        <v>219</v>
      </c>
      <c r="F573" s="132">
        <f>'18.PISC'!C659</f>
        <v>1</v>
      </c>
      <c r="G573" s="66">
        <f>COMPOSIÇÕES!M724</f>
        <v>95.1</v>
      </c>
      <c r="H573" s="127">
        <f t="shared" si="167"/>
        <v>122.51</v>
      </c>
      <c r="I573" s="127">
        <f t="shared" si="168"/>
        <v>122.51</v>
      </c>
      <c r="L573" s="725">
        <f t="shared" si="169"/>
        <v>9.3346580201821995E-5</v>
      </c>
    </row>
    <row r="574" spans="1:12" ht="32.25" customHeight="1" outlineLevel="1" x14ac:dyDescent="0.2">
      <c r="A574" s="1029" t="s">
        <v>1746</v>
      </c>
      <c r="B574" s="1266" t="s">
        <v>183</v>
      </c>
      <c r="C574" s="1259" t="s">
        <v>2136</v>
      </c>
      <c r="D574" s="1271" t="s">
        <v>2137</v>
      </c>
      <c r="E574" s="38" t="s">
        <v>219</v>
      </c>
      <c r="F574" s="132">
        <f>'18.PISC'!C663</f>
        <v>2</v>
      </c>
      <c r="G574" s="130">
        <v>38.11</v>
      </c>
      <c r="H574" s="127">
        <f t="shared" si="167"/>
        <v>49.09</v>
      </c>
      <c r="I574" s="127">
        <f t="shared" si="168"/>
        <v>98.18</v>
      </c>
      <c r="L574" s="725">
        <f t="shared" si="169"/>
        <v>7.4808319681780131E-5</v>
      </c>
    </row>
    <row r="575" spans="1:12" ht="42.75" customHeight="1" outlineLevel="1" x14ac:dyDescent="0.2">
      <c r="A575" s="1029" t="s">
        <v>1747</v>
      </c>
      <c r="B575" s="1266" t="s">
        <v>183</v>
      </c>
      <c r="C575" s="1259" t="s">
        <v>1619</v>
      </c>
      <c r="D575" s="1271" t="s">
        <v>1620</v>
      </c>
      <c r="E575" s="38" t="s">
        <v>219</v>
      </c>
      <c r="F575" s="132">
        <f>'18.PISC'!C667</f>
        <v>6</v>
      </c>
      <c r="G575" s="130">
        <v>162.88999999999999</v>
      </c>
      <c r="H575" s="127">
        <f t="shared" si="167"/>
        <v>209.83</v>
      </c>
      <c r="I575" s="127">
        <f t="shared" si="168"/>
        <v>1258.98</v>
      </c>
      <c r="L575" s="725">
        <f t="shared" si="169"/>
        <v>9.592806917189605E-4</v>
      </c>
    </row>
    <row r="576" spans="1:12" ht="42.75" customHeight="1" outlineLevel="1" x14ac:dyDescent="0.2">
      <c r="A576" s="1029" t="s">
        <v>2110</v>
      </c>
      <c r="B576" s="1260" t="s">
        <v>183</v>
      </c>
      <c r="C576" s="1259" t="s">
        <v>2138</v>
      </c>
      <c r="D576" s="2" t="s">
        <v>2139</v>
      </c>
      <c r="E576" s="38" t="s">
        <v>219</v>
      </c>
      <c r="F576" s="132">
        <f>'18.PISC'!C671</f>
        <v>12</v>
      </c>
      <c r="G576" s="66">
        <v>11.2</v>
      </c>
      <c r="H576" s="127">
        <f t="shared" si="167"/>
        <v>14.43</v>
      </c>
      <c r="I576" s="127">
        <f t="shared" si="168"/>
        <v>173.16</v>
      </c>
      <c r="L576" s="725">
        <f t="shared" si="169"/>
        <v>1.3193938313400943E-4</v>
      </c>
    </row>
    <row r="577" spans="1:12" ht="21" customHeight="1" outlineLevel="1" x14ac:dyDescent="0.2">
      <c r="A577" s="1029" t="s">
        <v>2111</v>
      </c>
      <c r="B577" s="1504" t="str">
        <f>COMPOSIÇÕES!A728</f>
        <v>COMPOSIÇÃO 57</v>
      </c>
      <c r="C577" s="1504"/>
      <c r="D577" s="666" t="str">
        <f>COMPOSIÇÕES!C727</f>
        <v>SKIMMER PARA PISCINA. FORNECIMENTO E INSTALAÇÃO.</v>
      </c>
      <c r="E577" s="1275" t="s">
        <v>219</v>
      </c>
      <c r="F577" s="131">
        <f>'18.PISC'!C675</f>
        <v>1</v>
      </c>
      <c r="G577" s="127">
        <f>COMPOSIÇÕES!M737</f>
        <v>483.9</v>
      </c>
      <c r="H577" s="127">
        <f t="shared" si="167"/>
        <v>623.36</v>
      </c>
      <c r="I577" s="127">
        <f t="shared" si="168"/>
        <v>623.36</v>
      </c>
      <c r="L577" s="725">
        <f t="shared" si="169"/>
        <v>4.7496958807124117E-4</v>
      </c>
    </row>
    <row r="578" spans="1:12" ht="42.75" customHeight="1" outlineLevel="1" x14ac:dyDescent="0.2">
      <c r="A578" s="1029" t="s">
        <v>2112</v>
      </c>
      <c r="B578" s="1259" t="s">
        <v>183</v>
      </c>
      <c r="C578" s="1259" t="s">
        <v>1508</v>
      </c>
      <c r="D578" s="1271" t="s">
        <v>1509</v>
      </c>
      <c r="E578" s="38" t="s">
        <v>219</v>
      </c>
      <c r="F578" s="132">
        <f>'18.PISC'!C679</f>
        <v>1</v>
      </c>
      <c r="G578" s="130">
        <v>12.64</v>
      </c>
      <c r="H578" s="127">
        <f t="shared" si="167"/>
        <v>16.28</v>
      </c>
      <c r="I578" s="127">
        <f t="shared" si="168"/>
        <v>16.28</v>
      </c>
      <c r="L578" s="725">
        <f t="shared" si="169"/>
        <v>1.2404557388667555E-5</v>
      </c>
    </row>
    <row r="579" spans="1:12" ht="21" customHeight="1" outlineLevel="1" x14ac:dyDescent="0.2">
      <c r="A579" s="1029" t="s">
        <v>2113</v>
      </c>
      <c r="B579" s="1485" t="str">
        <f>COMPOSIÇÕES!A741</f>
        <v>COMPOSIÇÃO 58</v>
      </c>
      <c r="C579" s="1486"/>
      <c r="D579" s="1271" t="str">
        <f>COMPOSIÇÕES!C740</f>
        <v>RALO DRENO DE 50MM PARA PISCINA.FORNECIMENTO E INSTALAÇÃO.</v>
      </c>
      <c r="E579" s="38" t="s">
        <v>335</v>
      </c>
      <c r="F579" s="132">
        <f>'18.PISC'!C683</f>
        <v>2</v>
      </c>
      <c r="G579" s="130">
        <f>COMPOSIÇÕES!M749</f>
        <v>148.37</v>
      </c>
      <c r="H579" s="127">
        <f t="shared" si="167"/>
        <v>191.13</v>
      </c>
      <c r="I579" s="127">
        <f t="shared" si="168"/>
        <v>382.26</v>
      </c>
      <c r="L579" s="725">
        <f t="shared" si="169"/>
        <v>2.912632744098316E-4</v>
      </c>
    </row>
    <row r="580" spans="1:12" ht="21" customHeight="1" outlineLevel="1" x14ac:dyDescent="0.2">
      <c r="A580" s="1029" t="s">
        <v>2114</v>
      </c>
      <c r="B580" s="1485" t="str">
        <f>COMPOSIÇÕES!A753</f>
        <v>COMPOSIÇÃO 59</v>
      </c>
      <c r="C580" s="1486"/>
      <c r="D580" s="2" t="str">
        <f>COMPOSIÇÕES!C752</f>
        <v>DISPOSITIVO DE RETORNO DE 50MM. FORNECIMENTO E INSTALAÇÃO.</v>
      </c>
      <c r="E580" s="38" t="s">
        <v>335</v>
      </c>
      <c r="F580" s="132">
        <f>'18.PISC'!C687</f>
        <v>2</v>
      </c>
      <c r="G580" s="66">
        <f>COMPOSIÇÕES!M761</f>
        <v>124.67</v>
      </c>
      <c r="H580" s="127">
        <f t="shared" si="167"/>
        <v>160.6</v>
      </c>
      <c r="I580" s="127">
        <f t="shared" si="168"/>
        <v>321.2</v>
      </c>
      <c r="L580" s="725">
        <f t="shared" si="169"/>
        <v>2.447385646953328E-4</v>
      </c>
    </row>
    <row r="581" spans="1:12" ht="21" customHeight="1" outlineLevel="1" thickBot="1" x14ac:dyDescent="0.25">
      <c r="A581" s="1029" t="s">
        <v>2115</v>
      </c>
      <c r="B581" s="1485" t="str">
        <f>COMPOSIÇÕES!A765</f>
        <v>COMPOSIÇÃO 60</v>
      </c>
      <c r="C581" s="1486"/>
      <c r="D581" s="1271" t="str">
        <f>COMPOSIÇÕES!C764</f>
        <v>DISPOSITIVO DE ASPIRAÇÃO DE 50MM. FORNECIMENTO E INSTALAÇÃO</v>
      </c>
      <c r="E581" s="38" t="s">
        <v>335</v>
      </c>
      <c r="F581" s="132">
        <f>'18.PISC'!C691</f>
        <v>1</v>
      </c>
      <c r="G581" s="130">
        <f>COMPOSIÇÕES!M773</f>
        <v>108.5</v>
      </c>
      <c r="H581" s="127">
        <f t="shared" si="167"/>
        <v>139.77000000000001</v>
      </c>
      <c r="I581" s="127">
        <f t="shared" si="168"/>
        <v>139.77000000000001</v>
      </c>
      <c r="L581" s="725">
        <f t="shared" si="169"/>
        <v>1.0649784927604816E-4</v>
      </c>
    </row>
    <row r="582" spans="1:12" ht="22.5" customHeight="1" outlineLevel="1" thickBot="1" x14ac:dyDescent="0.25">
      <c r="A582" s="524" t="s">
        <v>2030</v>
      </c>
      <c r="B582" s="525"/>
      <c r="C582" s="525"/>
      <c r="D582" s="526" t="s">
        <v>2584</v>
      </c>
      <c r="E582" s="526"/>
      <c r="F582" s="526"/>
      <c r="G582" s="526"/>
      <c r="H582" s="526"/>
      <c r="I582" s="527"/>
      <c r="L582" s="725"/>
    </row>
    <row r="583" spans="1:12" ht="20.25" customHeight="1" outlineLevel="1" x14ac:dyDescent="0.2">
      <c r="A583" s="1029" t="s">
        <v>2031</v>
      </c>
      <c r="B583" s="1260" t="s">
        <v>182</v>
      </c>
      <c r="C583" s="1259" t="s">
        <v>2585</v>
      </c>
      <c r="D583" s="2" t="s">
        <v>2586</v>
      </c>
      <c r="E583" s="38" t="s">
        <v>2185</v>
      </c>
      <c r="F583" s="132">
        <f>'18.PISC'!C697</f>
        <v>1</v>
      </c>
      <c r="G583" s="66">
        <v>541.12</v>
      </c>
      <c r="H583" s="127">
        <f t="shared" ref="H583" si="170">ROUND((G583*$K$10),2)</f>
        <v>697.07</v>
      </c>
      <c r="I583" s="127">
        <f t="shared" ref="I583" si="171">ROUND(((F583*H583)),2)</f>
        <v>697.07</v>
      </c>
      <c r="L583" s="725">
        <f>I583/$I$604</f>
        <v>5.3113297413504251E-4</v>
      </c>
    </row>
    <row r="584" spans="1:12" ht="12.75" customHeight="1" thickBot="1" x14ac:dyDescent="0.25">
      <c r="A584" s="1496" t="s">
        <v>804</v>
      </c>
      <c r="B584" s="1497"/>
      <c r="C584" s="1497"/>
      <c r="D584" s="1497"/>
      <c r="E584" s="1497"/>
      <c r="F584" s="1497"/>
      <c r="G584" s="1498"/>
      <c r="H584" s="676"/>
      <c r="I584" s="1214">
        <f>ROUND(SUM(I485:I583),2)</f>
        <v>72489.63</v>
      </c>
      <c r="L584" s="725"/>
    </row>
    <row r="585" spans="1:12" ht="18.75" customHeight="1" thickBot="1" x14ac:dyDescent="0.25">
      <c r="A585" s="1263">
        <v>19</v>
      </c>
      <c r="B585" s="1264"/>
      <c r="C585" s="1264"/>
      <c r="D585" s="154" t="s">
        <v>1441</v>
      </c>
      <c r="E585" s="154"/>
      <c r="F585" s="154"/>
      <c r="G585" s="154"/>
      <c r="H585" s="154"/>
      <c r="I585" s="155"/>
      <c r="J585" s="724">
        <f>I594/$I$604</f>
        <v>4.8808275961048982E-2</v>
      </c>
      <c r="L585" s="725"/>
    </row>
    <row r="586" spans="1:12" ht="20.25" customHeight="1" outlineLevel="1" thickBot="1" x14ac:dyDescent="0.25">
      <c r="A586" s="524" t="s">
        <v>805</v>
      </c>
      <c r="B586" s="525"/>
      <c r="C586" s="525"/>
      <c r="D586" s="526" t="s">
        <v>2613</v>
      </c>
      <c r="E586" s="526"/>
      <c r="F586" s="526"/>
      <c r="G586" s="526"/>
      <c r="H586" s="526"/>
      <c r="I586" s="527"/>
      <c r="L586" s="725"/>
    </row>
    <row r="587" spans="1:12" ht="19.5" customHeight="1" outlineLevel="1" x14ac:dyDescent="0.2">
      <c r="A587" s="1300" t="s">
        <v>1446</v>
      </c>
      <c r="B587" s="1300" t="s">
        <v>182</v>
      </c>
      <c r="C587" s="1300" t="s">
        <v>1283</v>
      </c>
      <c r="D587" s="2" t="s">
        <v>1284</v>
      </c>
      <c r="E587" s="1300" t="s">
        <v>201</v>
      </c>
      <c r="F587" s="734">
        <f>'19.FACH'!C23</f>
        <v>90.2</v>
      </c>
      <c r="G587" s="737">
        <v>471</v>
      </c>
      <c r="H587" s="1302">
        <f>ROUND((G587*$K$10),2)</f>
        <v>606.74</v>
      </c>
      <c r="I587" s="1302">
        <f>ROUND(((F587*H587)),2)</f>
        <v>54727.95</v>
      </c>
      <c r="L587" s="725"/>
    </row>
    <row r="588" spans="1:12" ht="32.25" customHeight="1" outlineLevel="1" x14ac:dyDescent="0.2">
      <c r="A588" s="1300" t="s">
        <v>1447</v>
      </c>
      <c r="B588" s="1485" t="str">
        <f>COMPOSIÇÕES!G777</f>
        <v>COMPOSIÇÃO 61</v>
      </c>
      <c r="C588" s="1486"/>
      <c r="D588" s="772" t="str">
        <f>COMPOSIÇÕES!C776</f>
        <v>ADESIVO VINILICO FIXADO EM PAINEL ACM PARA FACHADA. FORNECIMENTO E INSTALAÇÃO.</v>
      </c>
      <c r="E588" s="1300" t="s">
        <v>201</v>
      </c>
      <c r="F588" s="734">
        <f>'19.FACH'!C31</f>
        <v>0.99</v>
      </c>
      <c r="G588" s="737">
        <f>COMPOSIÇÕES!M781</f>
        <v>115.1</v>
      </c>
      <c r="H588" s="1302">
        <f t="shared" ref="H588:H589" si="172">ROUND((G588*$K$10),2)</f>
        <v>148.27000000000001</v>
      </c>
      <c r="I588" s="1302">
        <f t="shared" ref="I588:I589" si="173">ROUND(((F588*H588)),2)</f>
        <v>146.79</v>
      </c>
      <c r="L588" s="725"/>
    </row>
    <row r="589" spans="1:12" ht="33" customHeight="1" outlineLevel="1" thickBot="1" x14ac:dyDescent="0.25">
      <c r="A589" s="1300" t="s">
        <v>1448</v>
      </c>
      <c r="B589" s="1510" t="str">
        <f>COMPOSIÇÕES!G785</f>
        <v>COMPOSIÇÃO 62</v>
      </c>
      <c r="C589" s="1511"/>
      <c r="D589" s="1303" t="str">
        <f>COMPOSIÇÕES!C784</f>
        <v>TIRANTE EM CABO DE AÇO GALVANIZADO, DIÂMETRO DE 9,53 MM (3/8") PARA COBERTURA. FORNECIMENTO E INSTALAÇÃO.</v>
      </c>
      <c r="E589" s="805" t="s">
        <v>218</v>
      </c>
      <c r="F589" s="1304">
        <f>'19.FACH'!C42</f>
        <v>15.09</v>
      </c>
      <c r="G589" s="1305">
        <f>COMPOSIÇÕES!M794</f>
        <v>117.26</v>
      </c>
      <c r="H589" s="1302">
        <f t="shared" si="172"/>
        <v>151.05000000000001</v>
      </c>
      <c r="I589" s="1302">
        <f t="shared" si="173"/>
        <v>2279.34</v>
      </c>
      <c r="L589" s="725">
        <f>I589/$I$604</f>
        <v>1.7367447075113944E-3</v>
      </c>
    </row>
    <row r="590" spans="1:12" ht="17.25" customHeight="1" outlineLevel="1" thickBot="1" x14ac:dyDescent="0.25">
      <c r="A590" s="524" t="s">
        <v>873</v>
      </c>
      <c r="B590" s="525"/>
      <c r="C590" s="525"/>
      <c r="D590" s="526" t="s">
        <v>1442</v>
      </c>
      <c r="E590" s="526"/>
      <c r="F590" s="526"/>
      <c r="G590" s="526"/>
      <c r="H590" s="526"/>
      <c r="I590" s="527"/>
      <c r="L590" s="725"/>
    </row>
    <row r="591" spans="1:12" ht="18.75" customHeight="1" outlineLevel="1" x14ac:dyDescent="0.2">
      <c r="A591" s="1259" t="s">
        <v>1443</v>
      </c>
      <c r="B591" s="1266" t="s">
        <v>183</v>
      </c>
      <c r="C591" s="1259" t="s">
        <v>2420</v>
      </c>
      <c r="D591" s="1271" t="s">
        <v>2421</v>
      </c>
      <c r="E591" s="38" t="s">
        <v>328</v>
      </c>
      <c r="F591" s="132">
        <f>'19.FACH'!C57</f>
        <v>263.67</v>
      </c>
      <c r="G591" s="130">
        <v>10.49</v>
      </c>
      <c r="H591" s="180">
        <f t="shared" ref="H591:H593" si="174">ROUND((G591*$K$10),2)</f>
        <v>13.51</v>
      </c>
      <c r="I591" s="180">
        <f t="shared" ref="I591:I593" si="175">ROUND(((F591*H591)),2)</f>
        <v>3562.18</v>
      </c>
      <c r="L591" s="725">
        <f>I591/$I$604</f>
        <v>2.7142055429216082E-3</v>
      </c>
    </row>
    <row r="592" spans="1:12" ht="18.75" customHeight="1" outlineLevel="1" x14ac:dyDescent="0.2">
      <c r="A592" s="1259" t="s">
        <v>1444</v>
      </c>
      <c r="B592" s="1260" t="s">
        <v>183</v>
      </c>
      <c r="C592" s="1259" t="s">
        <v>1450</v>
      </c>
      <c r="D592" s="2" t="s">
        <v>1451</v>
      </c>
      <c r="E592" s="38" t="s">
        <v>219</v>
      </c>
      <c r="F592" s="132">
        <f>'19.FACH'!C61</f>
        <v>64</v>
      </c>
      <c r="G592" s="66">
        <v>37.799999999999997</v>
      </c>
      <c r="H592" s="180">
        <f t="shared" si="174"/>
        <v>48.69</v>
      </c>
      <c r="I592" s="180">
        <f t="shared" si="175"/>
        <v>3116.16</v>
      </c>
      <c r="L592" s="725">
        <f>I592/$I$604</f>
        <v>2.3743602919084937E-3</v>
      </c>
    </row>
    <row r="593" spans="1:13" ht="31.5" customHeight="1" outlineLevel="1" x14ac:dyDescent="0.2">
      <c r="A593" s="1259" t="s">
        <v>1445</v>
      </c>
      <c r="B593" s="1260" t="s">
        <v>183</v>
      </c>
      <c r="C593" s="1259" t="s">
        <v>2392</v>
      </c>
      <c r="D593" s="2" t="s">
        <v>2393</v>
      </c>
      <c r="E593" s="38" t="s">
        <v>219</v>
      </c>
      <c r="F593" s="132">
        <f>'19.FACH'!C65</f>
        <v>3</v>
      </c>
      <c r="G593" s="66">
        <v>58.11</v>
      </c>
      <c r="H593" s="180">
        <f t="shared" si="174"/>
        <v>74.86</v>
      </c>
      <c r="I593" s="180">
        <f t="shared" si="175"/>
        <v>224.58</v>
      </c>
      <c r="L593" s="725">
        <f>I593/$I$604</f>
        <v>1.7111888810485007E-4</v>
      </c>
    </row>
    <row r="594" spans="1:13" ht="12.75" customHeight="1" thickBot="1" x14ac:dyDescent="0.25">
      <c r="A594" s="1496" t="s">
        <v>806</v>
      </c>
      <c r="B594" s="1497"/>
      <c r="C594" s="1497"/>
      <c r="D594" s="1497"/>
      <c r="E594" s="1497"/>
      <c r="F594" s="1497"/>
      <c r="G594" s="1498"/>
      <c r="H594" s="676"/>
      <c r="I594" s="1214">
        <f>ROUND(SUM(I587:I593),2)</f>
        <v>64057</v>
      </c>
      <c r="L594" s="725"/>
    </row>
    <row r="595" spans="1:13" ht="17.25" customHeight="1" thickBot="1" x14ac:dyDescent="0.25">
      <c r="A595" s="1263">
        <v>20</v>
      </c>
      <c r="B595" s="1264"/>
      <c r="C595" s="1264"/>
      <c r="D595" s="154" t="s">
        <v>282</v>
      </c>
      <c r="E595" s="154"/>
      <c r="F595" s="154"/>
      <c r="G595" s="154"/>
      <c r="H595" s="154"/>
      <c r="I595" s="155"/>
      <c r="J595" s="724">
        <f>I600/$I$604</f>
        <v>2.2890980086288934E-3</v>
      </c>
      <c r="L595" s="725"/>
    </row>
    <row r="596" spans="1:13" ht="32.25" customHeight="1" outlineLevel="1" x14ac:dyDescent="0.2">
      <c r="A596" s="1029" t="s">
        <v>874</v>
      </c>
      <c r="B596" s="1266" t="s">
        <v>183</v>
      </c>
      <c r="C596" s="1029" t="s">
        <v>348</v>
      </c>
      <c r="D596" s="666" t="s">
        <v>349</v>
      </c>
      <c r="E596" s="1275" t="s">
        <v>219</v>
      </c>
      <c r="F596" s="131">
        <f>'20. C. INCEN'!C14</f>
        <v>4</v>
      </c>
      <c r="G596" s="127">
        <v>197.22</v>
      </c>
      <c r="H596" s="180">
        <f t="shared" ref="H596:H599" si="176">ROUND((G596*$K$10),2)</f>
        <v>254.06</v>
      </c>
      <c r="I596" s="180">
        <f t="shared" ref="I596:I599" si="177">ROUND(((F596*H596)),2)</f>
        <v>1016.24</v>
      </c>
      <c r="L596" s="725">
        <f>I596/$I$604</f>
        <v>7.7432477891028963E-4</v>
      </c>
    </row>
    <row r="597" spans="1:13" ht="16.5" customHeight="1" outlineLevel="1" x14ac:dyDescent="0.2">
      <c r="A597" s="1029" t="s">
        <v>875</v>
      </c>
      <c r="B597" s="1266" t="s">
        <v>182</v>
      </c>
      <c r="C597" s="1259">
        <v>241468</v>
      </c>
      <c r="D597" s="1271" t="s">
        <v>1209</v>
      </c>
      <c r="E597" s="38" t="s">
        <v>219</v>
      </c>
      <c r="F597" s="132">
        <f>'20. C. INCEN'!C23</f>
        <v>23</v>
      </c>
      <c r="G597" s="130">
        <v>34.04</v>
      </c>
      <c r="H597" s="180">
        <f t="shared" si="176"/>
        <v>43.85</v>
      </c>
      <c r="I597" s="180">
        <f t="shared" si="177"/>
        <v>1008.55</v>
      </c>
      <c r="L597" s="725">
        <f>I597/$I$604</f>
        <v>7.6846537803075305E-4</v>
      </c>
    </row>
    <row r="598" spans="1:13" ht="33" customHeight="1" outlineLevel="1" x14ac:dyDescent="0.2">
      <c r="A598" s="1029" t="s">
        <v>876</v>
      </c>
      <c r="B598" s="1260" t="s">
        <v>183</v>
      </c>
      <c r="C598" s="1259">
        <v>97599</v>
      </c>
      <c r="D598" s="2" t="s">
        <v>286</v>
      </c>
      <c r="E598" s="38" t="s">
        <v>219</v>
      </c>
      <c r="F598" s="132">
        <f>'20. C. INCEN'!C27</f>
        <v>19</v>
      </c>
      <c r="G598" s="66">
        <v>30.25</v>
      </c>
      <c r="H598" s="180">
        <f t="shared" si="176"/>
        <v>38.97</v>
      </c>
      <c r="I598" s="180">
        <f t="shared" si="177"/>
        <v>740.43</v>
      </c>
      <c r="L598" s="725">
        <f>I598/$I$604</f>
        <v>5.6417115646751324E-4</v>
      </c>
    </row>
    <row r="599" spans="1:13" ht="30.75" customHeight="1" outlineLevel="1" x14ac:dyDescent="0.2">
      <c r="A599" s="1029" t="s">
        <v>1210</v>
      </c>
      <c r="B599" s="1260" t="s">
        <v>183</v>
      </c>
      <c r="C599" s="1259" t="s">
        <v>1211</v>
      </c>
      <c r="D599" s="2" t="s">
        <v>1212</v>
      </c>
      <c r="E599" s="1275" t="s">
        <v>201</v>
      </c>
      <c r="F599" s="132">
        <f>'20. C. INCEN'!F36</f>
        <v>4</v>
      </c>
      <c r="G599" s="66">
        <v>46.39</v>
      </c>
      <c r="H599" s="180">
        <f t="shared" si="176"/>
        <v>59.76</v>
      </c>
      <c r="I599" s="180">
        <f t="shared" si="177"/>
        <v>239.04</v>
      </c>
      <c r="L599" s="725">
        <f>I599/$I$604</f>
        <v>1.8213669522033733E-4</v>
      </c>
    </row>
    <row r="600" spans="1:13" ht="12.75" customHeight="1" thickBot="1" x14ac:dyDescent="0.25">
      <c r="A600" s="1496" t="s">
        <v>878</v>
      </c>
      <c r="B600" s="1497"/>
      <c r="C600" s="1497"/>
      <c r="D600" s="1497"/>
      <c r="E600" s="1497"/>
      <c r="F600" s="1497"/>
      <c r="G600" s="1498"/>
      <c r="H600" s="676"/>
      <c r="I600" s="1214">
        <f>ROUND(SUM(I596:I599),2)</f>
        <v>3004.26</v>
      </c>
      <c r="L600" s="725"/>
    </row>
    <row r="601" spans="1:13" ht="21.75" customHeight="1" thickBot="1" x14ac:dyDescent="0.25">
      <c r="A601" s="1263">
        <v>21</v>
      </c>
      <c r="B601" s="1264"/>
      <c r="C601" s="1264"/>
      <c r="D601" s="1499" t="s">
        <v>25</v>
      </c>
      <c r="E601" s="1499"/>
      <c r="F601" s="1499"/>
      <c r="G601" s="1499"/>
      <c r="H601" s="1499"/>
      <c r="I601" s="1500"/>
      <c r="J601" s="724">
        <f>I603/$I$604</f>
        <v>3.6732271714027217E-3</v>
      </c>
      <c r="L601" s="725"/>
    </row>
    <row r="602" spans="1:13" ht="16.5" customHeight="1" outlineLevel="1" x14ac:dyDescent="0.2">
      <c r="A602" s="1275" t="s">
        <v>877</v>
      </c>
      <c r="B602" s="1029" t="s">
        <v>182</v>
      </c>
      <c r="C602" s="1029">
        <v>270220</v>
      </c>
      <c r="D602" s="666" t="s">
        <v>1220</v>
      </c>
      <c r="E602" s="1275" t="s">
        <v>201</v>
      </c>
      <c r="F602" s="131">
        <f>'21.S. FINAIS'!C18</f>
        <v>547.82000000000005</v>
      </c>
      <c r="G602" s="127">
        <v>6.83</v>
      </c>
      <c r="H602" s="180">
        <f t="shared" ref="H602" si="178">ROUND((G602*$K$10),2)</f>
        <v>8.8000000000000007</v>
      </c>
      <c r="I602" s="180">
        <f t="shared" ref="I602" si="179">ROUND(((F602*H602)),2)</f>
        <v>4820.82</v>
      </c>
      <c r="L602" s="725">
        <f>I602/$I$604</f>
        <v>3.6732271714027217E-3</v>
      </c>
    </row>
    <row r="603" spans="1:13" ht="13.5" thickBot="1" x14ac:dyDescent="0.25">
      <c r="A603" s="1507" t="s">
        <v>879</v>
      </c>
      <c r="B603" s="1508"/>
      <c r="C603" s="1508"/>
      <c r="D603" s="1508"/>
      <c r="E603" s="1508"/>
      <c r="F603" s="1508"/>
      <c r="G603" s="1509"/>
      <c r="H603" s="61"/>
      <c r="I603" s="1216">
        <f>SUM(I602:I602)</f>
        <v>4820.82</v>
      </c>
      <c r="L603" s="725"/>
    </row>
    <row r="604" spans="1:13" ht="13.5" thickBot="1" x14ac:dyDescent="0.25">
      <c r="A604" s="1505" t="s">
        <v>26</v>
      </c>
      <c r="B604" s="1494"/>
      <c r="C604" s="1494"/>
      <c r="D604" s="1494"/>
      <c r="E604" s="1494"/>
      <c r="F604" s="1494"/>
      <c r="G604" s="1494"/>
      <c r="H604" s="1506"/>
      <c r="I604" s="62">
        <f>ROUND(SUM(I14,I24,I27,I60,I92,I101,I109,I115,I133,I162,I171,I301,I402,I428,I437,I461,I481,I584,I594,I600,I603),2)</f>
        <v>1312420.8700000001</v>
      </c>
      <c r="J604" s="741">
        <f>ROUND(SUM(J12:J603),2)</f>
        <v>1</v>
      </c>
      <c r="L604" s="725">
        <f t="shared" ref="L604" si="180">I604/$I$604</f>
        <v>1</v>
      </c>
    </row>
    <row r="605" spans="1:13" x14ac:dyDescent="0.2">
      <c r="L605" s="742"/>
      <c r="M605" s="723"/>
    </row>
    <row r="606" spans="1:13" x14ac:dyDescent="0.2">
      <c r="G606" s="743"/>
      <c r="H606" s="744"/>
      <c r="I606" s="744">
        <v>800000</v>
      </c>
      <c r="L606" s="745"/>
      <c r="M606" s="723"/>
    </row>
    <row r="607" spans="1:13" x14ac:dyDescent="0.2">
      <c r="H607" s="744"/>
      <c r="I607" s="744"/>
      <c r="L607" s="742"/>
      <c r="M607" s="723"/>
    </row>
    <row r="608" spans="1:13" x14ac:dyDescent="0.2">
      <c r="I608" s="722">
        <f>I606-I604</f>
        <v>-512420.87000000011</v>
      </c>
    </row>
    <row r="609" spans="8:11" x14ac:dyDescent="0.2">
      <c r="H609" s="746"/>
    </row>
    <row r="610" spans="8:11" x14ac:dyDescent="0.2">
      <c r="K610" s="747"/>
    </row>
  </sheetData>
  <mergeCells count="113">
    <mergeCell ref="B577:C577"/>
    <mergeCell ref="B246:C246"/>
    <mergeCell ref="B247:C247"/>
    <mergeCell ref="B248:C248"/>
    <mergeCell ref="B249:C249"/>
    <mergeCell ref="B250:C250"/>
    <mergeCell ref="B563:C563"/>
    <mergeCell ref="B431:C431"/>
    <mergeCell ref="B453:C453"/>
    <mergeCell ref="B466:C466"/>
    <mergeCell ref="B477:C477"/>
    <mergeCell ref="B480:C480"/>
    <mergeCell ref="B472:C472"/>
    <mergeCell ref="B460:C460"/>
    <mergeCell ref="B512:C512"/>
    <mergeCell ref="B394:C394"/>
    <mergeCell ref="B382:C382"/>
    <mergeCell ref="B280:C280"/>
    <mergeCell ref="B283:C283"/>
    <mergeCell ref="B564:C564"/>
    <mergeCell ref="B573:C573"/>
    <mergeCell ref="A428:G428"/>
    <mergeCell ref="A437:G437"/>
    <mergeCell ref="A481:G481"/>
    <mergeCell ref="I2:J3"/>
    <mergeCell ref="B2:F2"/>
    <mergeCell ref="B3:F3"/>
    <mergeCell ref="B4:J4"/>
    <mergeCell ref="B5:D5"/>
    <mergeCell ref="E5:F6"/>
    <mergeCell ref="B6:D7"/>
    <mergeCell ref="G5:J6"/>
    <mergeCell ref="E7:F7"/>
    <mergeCell ref="G7:J7"/>
    <mergeCell ref="G2:H3"/>
    <mergeCell ref="A8:J9"/>
    <mergeCell ref="B420:C420"/>
    <mergeCell ref="A109:G109"/>
    <mergeCell ref="B106:C106"/>
    <mergeCell ref="B96:C96"/>
    <mergeCell ref="B204:C204"/>
    <mergeCell ref="B228:C228"/>
    <mergeCell ref="B120:C120"/>
    <mergeCell ref="D28:I28"/>
    <mergeCell ref="D110:I110"/>
    <mergeCell ref="A133:G133"/>
    <mergeCell ref="D163:I163"/>
    <mergeCell ref="B285:C285"/>
    <mergeCell ref="B245:C245"/>
    <mergeCell ref="B176:C176"/>
    <mergeCell ref="B294:C294"/>
    <mergeCell ref="A301:G301"/>
    <mergeCell ref="A60:G60"/>
    <mergeCell ref="D93:I93"/>
    <mergeCell ref="D116:I116"/>
    <mergeCell ref="A27:G27"/>
    <mergeCell ref="D61:I61"/>
    <mergeCell ref="A101:G101"/>
    <mergeCell ref="B195:C195"/>
    <mergeCell ref="A604:H604"/>
    <mergeCell ref="A584:G584"/>
    <mergeCell ref="A594:G594"/>
    <mergeCell ref="A603:G603"/>
    <mergeCell ref="D601:I601"/>
    <mergeCell ref="A600:G600"/>
    <mergeCell ref="B588:C588"/>
    <mergeCell ref="B589:C589"/>
    <mergeCell ref="B581:C581"/>
    <mergeCell ref="B425:C425"/>
    <mergeCell ref="B424:C424"/>
    <mergeCell ref="B421:C421"/>
    <mergeCell ref="B422:C422"/>
    <mergeCell ref="B417:C417"/>
    <mergeCell ref="B306:C306"/>
    <mergeCell ref="B345:C345"/>
    <mergeCell ref="B327:C327"/>
    <mergeCell ref="A402:G402"/>
    <mergeCell ref="B311:C311"/>
    <mergeCell ref="B346:C346"/>
    <mergeCell ref="B196:C196"/>
    <mergeCell ref="A14:G14"/>
    <mergeCell ref="B13:C13"/>
    <mergeCell ref="D12:I12"/>
    <mergeCell ref="D134:I134"/>
    <mergeCell ref="D172:I172"/>
    <mergeCell ref="D15:I15"/>
    <mergeCell ref="A24:G24"/>
    <mergeCell ref="D25:I25"/>
    <mergeCell ref="A92:G92"/>
    <mergeCell ref="B579:C579"/>
    <mergeCell ref="B580:C580"/>
    <mergeCell ref="B263:C263"/>
    <mergeCell ref="B269:C269"/>
    <mergeCell ref="A6:A7"/>
    <mergeCell ref="B253:C253"/>
    <mergeCell ref="B125:C125"/>
    <mergeCell ref="B116:C116"/>
    <mergeCell ref="B124:C124"/>
    <mergeCell ref="B118:C118"/>
    <mergeCell ref="A115:G115"/>
    <mergeCell ref="B119:C119"/>
    <mergeCell ref="B121:C121"/>
    <mergeCell ref="A162:G162"/>
    <mergeCell ref="A171:G171"/>
    <mergeCell ref="B134:C134"/>
    <mergeCell ref="D102:I102"/>
    <mergeCell ref="B189:C189"/>
    <mergeCell ref="B190:C190"/>
    <mergeCell ref="B191:C191"/>
    <mergeCell ref="B192:C192"/>
    <mergeCell ref="B193:C193"/>
    <mergeCell ref="B194:C194"/>
    <mergeCell ref="A461:G461"/>
  </mergeCells>
  <phoneticPr fontId="6" type="noConversion"/>
  <conditionalFormatting sqref="F24:H24 F10:H10 F174:F176 F223:F224 F178 F291:F299 F252:F254 F256:F258 F240:F244 F246:F247 F181:F187">
    <cfRule type="cellIs" dxfId="88" priority="144" stopIfTrue="1" operator="equal">
      <formula>0</formula>
    </cfRule>
  </conditionalFormatting>
  <conditionalFormatting sqref="F115:H115">
    <cfRule type="cellIs" dxfId="87" priority="120" stopIfTrue="1" operator="equal">
      <formula>0</formula>
    </cfRule>
  </conditionalFormatting>
  <conditionalFormatting sqref="G174">
    <cfRule type="cellIs" dxfId="86" priority="118" stopIfTrue="1" operator="equal">
      <formula>0</formula>
    </cfRule>
  </conditionalFormatting>
  <conditionalFormatting sqref="F14:H14">
    <cfRule type="cellIs" dxfId="85" priority="117" stopIfTrue="1" operator="equal">
      <formula>0</formula>
    </cfRule>
  </conditionalFormatting>
  <conditionalFormatting sqref="F109:H109">
    <cfRule type="cellIs" dxfId="84" priority="111" stopIfTrue="1" operator="equal">
      <formula>0</formula>
    </cfRule>
  </conditionalFormatting>
  <conditionalFormatting sqref="F300">
    <cfRule type="cellIs" dxfId="83" priority="107" stopIfTrue="1" operator="equal">
      <formula>0</formula>
    </cfRule>
  </conditionalFormatting>
  <conditionalFormatting sqref="F255">
    <cfRule type="cellIs" dxfId="82" priority="106" stopIfTrue="1" operator="equal">
      <formula>0</formula>
    </cfRule>
  </conditionalFormatting>
  <conditionalFormatting sqref="F259">
    <cfRule type="cellIs" dxfId="81" priority="105" stopIfTrue="1" operator="equal">
      <formula>0</formula>
    </cfRule>
  </conditionalFormatting>
  <conditionalFormatting sqref="F260">
    <cfRule type="cellIs" dxfId="80" priority="104" stopIfTrue="1" operator="equal">
      <formula>0</formula>
    </cfRule>
  </conditionalFormatting>
  <conditionalFormatting sqref="F261">
    <cfRule type="cellIs" dxfId="79" priority="103" stopIfTrue="1" operator="equal">
      <formula>0</formula>
    </cfRule>
  </conditionalFormatting>
  <conditionalFormatting sqref="F262">
    <cfRule type="cellIs" dxfId="78" priority="102" stopIfTrue="1" operator="equal">
      <formula>0</formula>
    </cfRule>
  </conditionalFormatting>
  <conditionalFormatting sqref="F263">
    <cfRule type="cellIs" dxfId="77" priority="101" stopIfTrue="1" operator="equal">
      <formula>0</formula>
    </cfRule>
  </conditionalFormatting>
  <conditionalFormatting sqref="F264">
    <cfRule type="cellIs" dxfId="76" priority="100" stopIfTrue="1" operator="equal">
      <formula>0</formula>
    </cfRule>
  </conditionalFormatting>
  <conditionalFormatting sqref="F265">
    <cfRule type="cellIs" dxfId="75" priority="99" stopIfTrue="1" operator="equal">
      <formula>0</formula>
    </cfRule>
  </conditionalFormatting>
  <conditionalFormatting sqref="F266">
    <cfRule type="cellIs" dxfId="74" priority="98" stopIfTrue="1" operator="equal">
      <formula>0</formula>
    </cfRule>
  </conditionalFormatting>
  <conditionalFormatting sqref="F267">
    <cfRule type="cellIs" dxfId="73" priority="97" stopIfTrue="1" operator="equal">
      <formula>0</formula>
    </cfRule>
  </conditionalFormatting>
  <conditionalFormatting sqref="F268">
    <cfRule type="cellIs" dxfId="72" priority="96" stopIfTrue="1" operator="equal">
      <formula>0</formula>
    </cfRule>
  </conditionalFormatting>
  <conditionalFormatting sqref="F269">
    <cfRule type="cellIs" dxfId="71" priority="95" stopIfTrue="1" operator="equal">
      <formula>0</formula>
    </cfRule>
  </conditionalFormatting>
  <conditionalFormatting sqref="F270">
    <cfRule type="cellIs" dxfId="70" priority="94" stopIfTrue="1" operator="equal">
      <formula>0</formula>
    </cfRule>
  </conditionalFormatting>
  <conditionalFormatting sqref="F271">
    <cfRule type="cellIs" dxfId="69" priority="93" stopIfTrue="1" operator="equal">
      <formula>0</formula>
    </cfRule>
  </conditionalFormatting>
  <conditionalFormatting sqref="F272">
    <cfRule type="cellIs" dxfId="68" priority="92" stopIfTrue="1" operator="equal">
      <formula>0</formula>
    </cfRule>
  </conditionalFormatting>
  <conditionalFormatting sqref="F273">
    <cfRule type="cellIs" dxfId="67" priority="91" stopIfTrue="1" operator="equal">
      <formula>0</formula>
    </cfRule>
  </conditionalFormatting>
  <conditionalFormatting sqref="F274">
    <cfRule type="cellIs" dxfId="66" priority="90" stopIfTrue="1" operator="equal">
      <formula>0</formula>
    </cfRule>
  </conditionalFormatting>
  <conditionalFormatting sqref="F275">
    <cfRule type="cellIs" dxfId="65" priority="89" stopIfTrue="1" operator="equal">
      <formula>0</formula>
    </cfRule>
  </conditionalFormatting>
  <conditionalFormatting sqref="F276">
    <cfRule type="cellIs" dxfId="64" priority="88" stopIfTrue="1" operator="equal">
      <formula>0</formula>
    </cfRule>
  </conditionalFormatting>
  <conditionalFormatting sqref="F277">
    <cfRule type="cellIs" dxfId="63" priority="87" stopIfTrue="1" operator="equal">
      <formula>0</formula>
    </cfRule>
  </conditionalFormatting>
  <conditionalFormatting sqref="F288">
    <cfRule type="cellIs" dxfId="62" priority="82" stopIfTrue="1" operator="equal">
      <formula>0</formula>
    </cfRule>
  </conditionalFormatting>
  <conditionalFormatting sqref="F289">
    <cfRule type="cellIs" dxfId="61" priority="81" stopIfTrue="1" operator="equal">
      <formula>0</formula>
    </cfRule>
  </conditionalFormatting>
  <conditionalFormatting sqref="F286">
    <cfRule type="cellIs" dxfId="60" priority="80" stopIfTrue="1" operator="equal">
      <formula>0</formula>
    </cfRule>
  </conditionalFormatting>
  <conditionalFormatting sqref="F287">
    <cfRule type="cellIs" dxfId="59" priority="79" stopIfTrue="1" operator="equal">
      <formula>0</formula>
    </cfRule>
  </conditionalFormatting>
  <conditionalFormatting sqref="F284">
    <cfRule type="cellIs" dxfId="58" priority="78" stopIfTrue="1" operator="equal">
      <formula>0</formula>
    </cfRule>
  </conditionalFormatting>
  <conditionalFormatting sqref="F285">
    <cfRule type="cellIs" dxfId="57" priority="77" stopIfTrue="1" operator="equal">
      <formula>0</formula>
    </cfRule>
  </conditionalFormatting>
  <conditionalFormatting sqref="F282">
    <cfRule type="cellIs" dxfId="56" priority="76" stopIfTrue="1" operator="equal">
      <formula>0</formula>
    </cfRule>
  </conditionalFormatting>
  <conditionalFormatting sqref="F283">
    <cfRule type="cellIs" dxfId="55" priority="75" stopIfTrue="1" operator="equal">
      <formula>0</formula>
    </cfRule>
  </conditionalFormatting>
  <conditionalFormatting sqref="F280">
    <cfRule type="cellIs" dxfId="54" priority="74" stopIfTrue="1" operator="equal">
      <formula>0</formula>
    </cfRule>
  </conditionalFormatting>
  <conditionalFormatting sqref="F281">
    <cfRule type="cellIs" dxfId="53" priority="73" stopIfTrue="1" operator="equal">
      <formula>0</formula>
    </cfRule>
  </conditionalFormatting>
  <conditionalFormatting sqref="F278">
    <cfRule type="cellIs" dxfId="52" priority="72" stopIfTrue="1" operator="equal">
      <formula>0</formula>
    </cfRule>
  </conditionalFormatting>
  <conditionalFormatting sqref="F279">
    <cfRule type="cellIs" dxfId="51" priority="71" stopIfTrue="1" operator="equal">
      <formula>0</formula>
    </cfRule>
  </conditionalFormatting>
  <conditionalFormatting sqref="F248:F250">
    <cfRule type="cellIs" dxfId="50" priority="69" stopIfTrue="1" operator="equal">
      <formula>0</formula>
    </cfRule>
  </conditionalFormatting>
  <conditionalFormatting sqref="F245">
    <cfRule type="cellIs" dxfId="49" priority="68" stopIfTrue="1" operator="equal">
      <formula>0</formula>
    </cfRule>
  </conditionalFormatting>
  <conditionalFormatting sqref="F198">
    <cfRule type="cellIs" dxfId="48" priority="67" stopIfTrue="1" operator="equal">
      <formula>0</formula>
    </cfRule>
  </conditionalFormatting>
  <conditionalFormatting sqref="F180">
    <cfRule type="cellIs" dxfId="47" priority="63" stopIfTrue="1" operator="equal">
      <formula>0</formula>
    </cfRule>
  </conditionalFormatting>
  <conditionalFormatting sqref="F179">
    <cfRule type="cellIs" dxfId="46" priority="62" stopIfTrue="1" operator="equal">
      <formula>0</formula>
    </cfRule>
  </conditionalFormatting>
  <conditionalFormatting sqref="F237">
    <cfRule type="cellIs" dxfId="45" priority="59" stopIfTrue="1" operator="equal">
      <formula>0</formula>
    </cfRule>
  </conditionalFormatting>
  <conditionalFormatting sqref="F225">
    <cfRule type="cellIs" dxfId="44" priority="58" stopIfTrue="1" operator="equal">
      <formula>0</formula>
    </cfRule>
  </conditionalFormatting>
  <conditionalFormatting sqref="F236">
    <cfRule type="cellIs" dxfId="43" priority="57" stopIfTrue="1" operator="equal">
      <formula>0</formula>
    </cfRule>
  </conditionalFormatting>
  <conditionalFormatting sqref="F226">
    <cfRule type="cellIs" dxfId="42" priority="56" stopIfTrue="1" operator="equal">
      <formula>0</formula>
    </cfRule>
  </conditionalFormatting>
  <conditionalFormatting sqref="F206">
    <cfRule type="cellIs" dxfId="41" priority="51" stopIfTrue="1" operator="equal">
      <formula>0</formula>
    </cfRule>
  </conditionalFormatting>
  <conditionalFormatting sqref="F205">
    <cfRule type="cellIs" dxfId="40" priority="50" stopIfTrue="1" operator="equal">
      <formula>0</formula>
    </cfRule>
  </conditionalFormatting>
  <conditionalFormatting sqref="F189">
    <cfRule type="cellIs" dxfId="39" priority="49" stopIfTrue="1" operator="equal">
      <formula>0</formula>
    </cfRule>
  </conditionalFormatting>
  <conditionalFormatting sqref="F204">
    <cfRule type="cellIs" dxfId="38" priority="48" stopIfTrue="1" operator="equal">
      <formula>0</formula>
    </cfRule>
  </conditionalFormatting>
  <conditionalFormatting sqref="F203">
    <cfRule type="cellIs" dxfId="37" priority="47" stopIfTrue="1" operator="equal">
      <formula>0</formula>
    </cfRule>
  </conditionalFormatting>
  <conditionalFormatting sqref="F202">
    <cfRule type="cellIs" dxfId="36" priority="46" stopIfTrue="1" operator="equal">
      <formula>0</formula>
    </cfRule>
  </conditionalFormatting>
  <conditionalFormatting sqref="F201">
    <cfRule type="cellIs" dxfId="35" priority="45" stopIfTrue="1" operator="equal">
      <formula>0</formula>
    </cfRule>
  </conditionalFormatting>
  <conditionalFormatting sqref="F200">
    <cfRule type="cellIs" dxfId="34" priority="44" stopIfTrue="1" operator="equal">
      <formula>0</formula>
    </cfRule>
  </conditionalFormatting>
  <conditionalFormatting sqref="F199">
    <cfRule type="cellIs" dxfId="33" priority="43" stopIfTrue="1" operator="equal">
      <formula>0</formula>
    </cfRule>
  </conditionalFormatting>
  <conditionalFormatting sqref="F196:F198">
    <cfRule type="cellIs" dxfId="32" priority="42" stopIfTrue="1" operator="equal">
      <formula>0</formula>
    </cfRule>
  </conditionalFormatting>
  <conditionalFormatting sqref="F195">
    <cfRule type="cellIs" dxfId="31" priority="41" stopIfTrue="1" operator="equal">
      <formula>0</formula>
    </cfRule>
  </conditionalFormatting>
  <conditionalFormatting sqref="F197">
    <cfRule type="cellIs" dxfId="30" priority="40" stopIfTrue="1" operator="equal">
      <formula>0</formula>
    </cfRule>
  </conditionalFormatting>
  <conditionalFormatting sqref="F194">
    <cfRule type="cellIs" dxfId="29" priority="36" stopIfTrue="1" operator="equal">
      <formula>0</formula>
    </cfRule>
  </conditionalFormatting>
  <conditionalFormatting sqref="F193">
    <cfRule type="cellIs" dxfId="28" priority="35" stopIfTrue="1" operator="equal">
      <formula>0</formula>
    </cfRule>
  </conditionalFormatting>
  <conditionalFormatting sqref="F192">
    <cfRule type="cellIs" dxfId="27" priority="34" stopIfTrue="1" operator="equal">
      <formula>0</formula>
    </cfRule>
  </conditionalFormatting>
  <conditionalFormatting sqref="F191">
    <cfRule type="cellIs" dxfId="26" priority="33" stopIfTrue="1" operator="equal">
      <formula>0</formula>
    </cfRule>
  </conditionalFormatting>
  <conditionalFormatting sqref="F190">
    <cfRule type="cellIs" dxfId="25" priority="32" stopIfTrue="1" operator="equal">
      <formula>0</formula>
    </cfRule>
  </conditionalFormatting>
  <conditionalFormatting sqref="F216">
    <cfRule type="cellIs" dxfId="24" priority="29" stopIfTrue="1" operator="equal">
      <formula>0</formula>
    </cfRule>
  </conditionalFormatting>
  <conditionalFormatting sqref="F215">
    <cfRule type="cellIs" dxfId="23" priority="28" stopIfTrue="1" operator="equal">
      <formula>0</formula>
    </cfRule>
  </conditionalFormatting>
  <conditionalFormatting sqref="F214">
    <cfRule type="cellIs" dxfId="22" priority="27" stopIfTrue="1" operator="equal">
      <formula>0</formula>
    </cfRule>
  </conditionalFormatting>
  <conditionalFormatting sqref="F213">
    <cfRule type="cellIs" dxfId="21" priority="26" stopIfTrue="1" operator="equal">
      <formula>0</formula>
    </cfRule>
  </conditionalFormatting>
  <conditionalFormatting sqref="F212">
    <cfRule type="cellIs" dxfId="20" priority="25" stopIfTrue="1" operator="equal">
      <formula>0</formula>
    </cfRule>
  </conditionalFormatting>
  <conditionalFormatting sqref="F211">
    <cfRule type="cellIs" dxfId="19" priority="24" stopIfTrue="1" operator="equal">
      <formula>0</formula>
    </cfRule>
  </conditionalFormatting>
  <conditionalFormatting sqref="F210">
    <cfRule type="cellIs" dxfId="18" priority="23" stopIfTrue="1" operator="equal">
      <formula>0</formula>
    </cfRule>
  </conditionalFormatting>
  <conditionalFormatting sqref="F209">
    <cfRule type="cellIs" dxfId="17" priority="22" stopIfTrue="1" operator="equal">
      <formula>0</formula>
    </cfRule>
  </conditionalFormatting>
  <conditionalFormatting sqref="F208">
    <cfRule type="cellIs" dxfId="16" priority="21" stopIfTrue="1" operator="equal">
      <formula>0</formula>
    </cfRule>
  </conditionalFormatting>
  <conditionalFormatting sqref="F207">
    <cfRule type="cellIs" dxfId="15" priority="20" stopIfTrue="1" operator="equal">
      <formula>0</formula>
    </cfRule>
  </conditionalFormatting>
  <conditionalFormatting sqref="F221">
    <cfRule type="cellIs" dxfId="14" priority="18" stopIfTrue="1" operator="equal">
      <formula>0</formula>
    </cfRule>
  </conditionalFormatting>
  <conditionalFormatting sqref="F220">
    <cfRule type="cellIs" dxfId="13" priority="17" stopIfTrue="1" operator="equal">
      <formula>0</formula>
    </cfRule>
  </conditionalFormatting>
  <conditionalFormatting sqref="F219">
    <cfRule type="cellIs" dxfId="12" priority="16" stopIfTrue="1" operator="equal">
      <formula>0</formula>
    </cfRule>
  </conditionalFormatting>
  <conditionalFormatting sqref="F218">
    <cfRule type="cellIs" dxfId="11" priority="12" stopIfTrue="1" operator="equal">
      <formula>0</formula>
    </cfRule>
  </conditionalFormatting>
  <conditionalFormatting sqref="F217">
    <cfRule type="cellIs" dxfId="10" priority="11" stopIfTrue="1" operator="equal">
      <formula>0</formula>
    </cfRule>
  </conditionalFormatting>
  <conditionalFormatting sqref="F235">
    <cfRule type="cellIs" dxfId="9" priority="10" stopIfTrue="1" operator="equal">
      <formula>0</formula>
    </cfRule>
  </conditionalFormatting>
  <conditionalFormatting sqref="F234">
    <cfRule type="cellIs" dxfId="8" priority="9" stopIfTrue="1" operator="equal">
      <formula>0</formula>
    </cfRule>
  </conditionalFormatting>
  <conditionalFormatting sqref="F233">
    <cfRule type="cellIs" dxfId="7" priority="8" stopIfTrue="1" operator="equal">
      <formula>0</formula>
    </cfRule>
  </conditionalFormatting>
  <conditionalFormatting sqref="F232">
    <cfRule type="cellIs" dxfId="6" priority="7" stopIfTrue="1" operator="equal">
      <formula>0</formula>
    </cfRule>
  </conditionalFormatting>
  <conditionalFormatting sqref="F231">
    <cfRule type="cellIs" dxfId="5" priority="6" stopIfTrue="1" operator="equal">
      <formula>0</formula>
    </cfRule>
  </conditionalFormatting>
  <conditionalFormatting sqref="F230">
    <cfRule type="cellIs" dxfId="4" priority="5" stopIfTrue="1" operator="equal">
      <formula>0</formula>
    </cfRule>
  </conditionalFormatting>
  <conditionalFormatting sqref="F229">
    <cfRule type="cellIs" dxfId="3" priority="4" stopIfTrue="1" operator="equal">
      <formula>0</formula>
    </cfRule>
  </conditionalFormatting>
  <conditionalFormatting sqref="F228">
    <cfRule type="cellIs" dxfId="2" priority="3" stopIfTrue="1" operator="equal">
      <formula>0</formula>
    </cfRule>
  </conditionalFormatting>
  <conditionalFormatting sqref="F227">
    <cfRule type="cellIs" dxfId="1" priority="2" stopIfTrue="1" operator="equal">
      <formula>0</formula>
    </cfRule>
  </conditionalFormatting>
  <conditionalFormatting sqref="F238">
    <cfRule type="cellIs" dxfId="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29" fitToHeight="0" orientation="portrait" r:id="rId1"/>
  <headerFooter alignWithMargins="0">
    <oddFooter>Página &amp;P de &amp;N</oddFooter>
  </headerFooter>
  <rowBreaks count="7" manualBreakCount="7">
    <brk id="58" max="9" man="1"/>
    <brk id="92" max="9" man="1"/>
    <brk id="125" max="9" man="1"/>
    <brk id="171" max="9" man="1"/>
    <brk id="373" max="9" man="1"/>
    <brk id="512" max="9" man="1"/>
    <brk id="594" max="9" man="1"/>
  </rowBreaks>
  <ignoredErrors>
    <ignoredError sqref="C334 C18 C22"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794"/>
  <sheetViews>
    <sheetView view="pageBreakPreview" topLeftCell="A79" zoomScale="90" zoomScaleSheetLayoutView="90" workbookViewId="0">
      <selection activeCell="C88" sqref="C88:I88"/>
    </sheetView>
  </sheetViews>
  <sheetFormatPr defaultColWidth="9.140625" defaultRowHeight="14.25" x14ac:dyDescent="0.2"/>
  <cols>
    <col min="1" max="1" width="10.140625" style="1019" customWidth="1"/>
    <col min="2" max="2" width="9.7109375" style="1019" customWidth="1"/>
    <col min="3" max="5" width="9.140625" style="607"/>
    <col min="6" max="6" width="10.7109375" style="607" customWidth="1"/>
    <col min="7" max="7" width="9.140625" style="607"/>
    <col min="8" max="8" width="11" style="607" customWidth="1"/>
    <col min="9" max="10" width="9.140625" style="607"/>
    <col min="11" max="11" width="9.5703125" style="607" bestFit="1" customWidth="1"/>
    <col min="12" max="12" width="14.42578125" style="607" bestFit="1" customWidth="1"/>
    <col min="13" max="13" width="20.85546875" style="607" customWidth="1"/>
    <col min="14" max="16" width="0" style="607" hidden="1" customWidth="1"/>
    <col min="17" max="17" width="9.140625" style="607"/>
    <col min="18" max="18" width="13" style="607" bestFit="1" customWidth="1"/>
    <col min="19" max="16384" width="9.140625" style="607"/>
  </cols>
  <sheetData>
    <row r="1" spans="1:13" ht="69.95" customHeight="1" thickBot="1" x14ac:dyDescent="0.25">
      <c r="A1" s="1618"/>
      <c r="B1" s="1618"/>
      <c r="C1" s="1618"/>
      <c r="D1" s="1618"/>
      <c r="E1" s="1618"/>
      <c r="F1" s="1618"/>
      <c r="G1" s="1618"/>
      <c r="H1" s="1618"/>
      <c r="I1" s="1618"/>
      <c r="J1" s="1618"/>
      <c r="K1" s="1618"/>
      <c r="L1" s="1618"/>
      <c r="M1" s="1618"/>
    </row>
    <row r="2" spans="1:13" ht="21.75" customHeight="1" x14ac:dyDescent="0.2">
      <c r="A2" s="1626" t="s">
        <v>79</v>
      </c>
      <c r="B2" s="1627"/>
      <c r="C2" s="1619" t="str">
        <f>ORÇ!B2</f>
        <v>PREFEITURA MUNICIPAL DE OURÉM</v>
      </c>
      <c r="D2" s="1619"/>
      <c r="E2" s="1619"/>
      <c r="F2" s="1619"/>
      <c r="G2" s="1619"/>
      <c r="H2" s="1619"/>
      <c r="I2" s="1620" t="s">
        <v>168</v>
      </c>
      <c r="J2" s="1621"/>
      <c r="K2" s="1623" t="str">
        <f>ORÇ!I2</f>
        <v>OURÉM/PA</v>
      </c>
      <c r="L2" s="1624"/>
      <c r="M2" s="1625"/>
    </row>
    <row r="3" spans="1:13" ht="21.75" customHeight="1" x14ac:dyDescent="0.2">
      <c r="A3" s="231" t="s">
        <v>80</v>
      </c>
      <c r="B3" s="232"/>
      <c r="C3" s="1449" t="str">
        <f>ORÇ!B3</f>
        <v>CONSTRUÇÃO DO CENTRO DE FISIOTERAPIA, NO MUNICÍPIO DE OURÉM/PA</v>
      </c>
      <c r="D3" s="1449"/>
      <c r="E3" s="1449"/>
      <c r="F3" s="1449"/>
      <c r="G3" s="1449"/>
      <c r="H3" s="1449"/>
      <c r="I3" s="1449"/>
      <c r="J3" s="1449"/>
      <c r="K3" s="1449"/>
      <c r="L3" s="1449"/>
      <c r="M3" s="1622"/>
    </row>
    <row r="4" spans="1:13" ht="21.75" customHeight="1" x14ac:dyDescent="0.2">
      <c r="A4" s="1628" t="s">
        <v>161</v>
      </c>
      <c r="B4" s="1629"/>
      <c r="C4" s="1636" t="str">
        <f>ORÇ!B4</f>
        <v>AV. PADRE ANGELO MORETTE, S/Nº - OURÉM/PA</v>
      </c>
      <c r="D4" s="1637"/>
      <c r="E4" s="1637"/>
      <c r="F4" s="1637"/>
      <c r="G4" s="1637"/>
      <c r="H4" s="1638"/>
      <c r="I4" s="1632" t="s">
        <v>166</v>
      </c>
      <c r="J4" s="1633"/>
      <c r="K4" s="1639" t="str">
        <f>ORÇ!G5</f>
        <v>SINAPI FEVEREIRO 2022 - DESONERADA                                 SEDOP FEVEREIRO 2022 - DESONERADA</v>
      </c>
      <c r="L4" s="1640"/>
      <c r="M4" s="1641"/>
    </row>
    <row r="5" spans="1:13" ht="21.75" customHeight="1" x14ac:dyDescent="0.2">
      <c r="A5" s="1630" t="s">
        <v>81</v>
      </c>
      <c r="B5" s="1631"/>
      <c r="C5" s="1453">
        <f>ORÇ!B5</f>
        <v>0.2881986483454233</v>
      </c>
      <c r="D5" s="1452"/>
      <c r="E5" s="1452"/>
      <c r="F5" s="1452"/>
      <c r="G5" s="1452"/>
      <c r="H5" s="1452"/>
      <c r="I5" s="1634"/>
      <c r="J5" s="1635"/>
      <c r="K5" s="1642"/>
      <c r="L5" s="1643"/>
      <c r="M5" s="1644"/>
    </row>
    <row r="6" spans="1:13" ht="33" customHeight="1" thickBot="1" x14ac:dyDescent="0.25">
      <c r="A6" s="1645" t="s">
        <v>165</v>
      </c>
      <c r="B6" s="1646"/>
      <c r="C6" s="1610" t="str">
        <f>ORÇ!B6</f>
        <v>MARUZA BAPTISTA</v>
      </c>
      <c r="D6" s="1610"/>
      <c r="E6" s="1610"/>
      <c r="F6" s="1610"/>
      <c r="G6" s="1610"/>
      <c r="H6" s="1610"/>
      <c r="I6" s="1647" t="s">
        <v>167</v>
      </c>
      <c r="J6" s="1646"/>
      <c r="K6" s="1610" t="str">
        <f>ORÇ!G7</f>
        <v>CAU: 28510-2 A</v>
      </c>
      <c r="L6" s="1610"/>
      <c r="M6" s="1648"/>
    </row>
    <row r="7" spans="1:13" ht="21" customHeight="1" thickBot="1" x14ac:dyDescent="0.25">
      <c r="A7" s="1611" t="s">
        <v>156</v>
      </c>
      <c r="B7" s="1612"/>
      <c r="C7" s="1613"/>
      <c r="D7" s="1613"/>
      <c r="E7" s="1613"/>
      <c r="F7" s="1613"/>
      <c r="G7" s="1613"/>
      <c r="H7" s="1613"/>
      <c r="I7" s="1613"/>
      <c r="J7" s="1613"/>
      <c r="K7" s="1613"/>
      <c r="L7" s="1613"/>
      <c r="M7" s="1614"/>
    </row>
    <row r="8" spans="1:13" ht="15" x14ac:dyDescent="0.2">
      <c r="A8" s="916"/>
      <c r="B8" s="917"/>
      <c r="C8" s="918"/>
      <c r="D8" s="918"/>
      <c r="E8" s="918"/>
      <c r="F8" s="918"/>
      <c r="G8" s="918"/>
      <c r="H8" s="918"/>
      <c r="I8" s="918"/>
      <c r="J8" s="918"/>
      <c r="K8" s="918"/>
      <c r="L8" s="918"/>
      <c r="M8" s="919"/>
    </row>
    <row r="9" spans="1:13" ht="15" x14ac:dyDescent="0.25">
      <c r="A9" s="1242" t="s">
        <v>15</v>
      </c>
      <c r="B9" s="1242" t="s">
        <v>588</v>
      </c>
      <c r="C9" s="920"/>
      <c r="D9" s="921"/>
      <c r="E9" s="921"/>
      <c r="F9" s="921"/>
      <c r="G9" s="921" t="s">
        <v>84</v>
      </c>
      <c r="H9" s="921"/>
      <c r="I9" s="921"/>
      <c r="J9" s="921"/>
      <c r="K9" s="921"/>
      <c r="L9" s="921"/>
      <c r="M9" s="922"/>
    </row>
    <row r="10" spans="1:13" ht="18.75" customHeight="1" x14ac:dyDescent="0.2">
      <c r="A10" s="923" t="str">
        <f>ORÇ!A13</f>
        <v>1.1</v>
      </c>
      <c r="B10" s="1205" t="s">
        <v>219</v>
      </c>
      <c r="C10" s="1573" t="s">
        <v>236</v>
      </c>
      <c r="D10" s="1574"/>
      <c r="E10" s="1574"/>
      <c r="F10" s="1574"/>
      <c r="G10" s="1574"/>
      <c r="H10" s="1574"/>
      <c r="I10" s="1574"/>
      <c r="J10" s="1574"/>
      <c r="K10" s="1574"/>
      <c r="L10" s="1574"/>
      <c r="M10" s="1579"/>
    </row>
    <row r="11" spans="1:13" ht="21.75" customHeight="1" x14ac:dyDescent="0.25">
      <c r="A11" s="1580" t="s">
        <v>54</v>
      </c>
      <c r="B11" s="1560"/>
      <c r="C11" s="1560"/>
      <c r="D11" s="1560"/>
      <c r="E11" s="1560"/>
      <c r="F11" s="1560"/>
      <c r="G11" s="1560"/>
      <c r="H11" s="1560"/>
      <c r="I11" s="1560"/>
      <c r="J11" s="1560"/>
      <c r="K11" s="1560"/>
      <c r="L11" s="1561"/>
      <c r="M11" s="924"/>
    </row>
    <row r="12" spans="1:13" ht="21.75" customHeight="1" x14ac:dyDescent="0.25">
      <c r="A12" s="925" t="s">
        <v>184</v>
      </c>
      <c r="B12" s="926" t="s">
        <v>48</v>
      </c>
      <c r="C12" s="927"/>
      <c r="D12" s="928"/>
      <c r="E12" s="928"/>
      <c r="F12" s="928" t="s">
        <v>49</v>
      </c>
      <c r="G12" s="928"/>
      <c r="H12" s="928"/>
      <c r="I12" s="929"/>
      <c r="J12" s="930" t="s">
        <v>50</v>
      </c>
      <c r="K12" s="930" t="s">
        <v>18</v>
      </c>
      <c r="L12" s="931" t="s">
        <v>51</v>
      </c>
      <c r="M12" s="931" t="s">
        <v>47</v>
      </c>
    </row>
    <row r="13" spans="1:13" ht="31.5" customHeight="1" x14ac:dyDescent="0.2">
      <c r="A13" s="923" t="s">
        <v>183</v>
      </c>
      <c r="B13" s="1251">
        <v>90777</v>
      </c>
      <c r="C13" s="1615" t="s">
        <v>234</v>
      </c>
      <c r="D13" s="1615"/>
      <c r="E13" s="1615"/>
      <c r="F13" s="1615"/>
      <c r="G13" s="1615"/>
      <c r="H13" s="1615"/>
      <c r="I13" s="1615"/>
      <c r="J13" s="1205" t="s">
        <v>158</v>
      </c>
      <c r="K13" s="257">
        <f>'1.ADM'!J19</f>
        <v>24</v>
      </c>
      <c r="L13" s="258">
        <v>82.16</v>
      </c>
      <c r="M13" s="259">
        <f>ROUND(K13*L13,2)</f>
        <v>1971.84</v>
      </c>
    </row>
    <row r="14" spans="1:13" ht="21.75" customHeight="1" x14ac:dyDescent="0.2">
      <c r="A14" s="923" t="s">
        <v>183</v>
      </c>
      <c r="B14" s="1206">
        <v>90776</v>
      </c>
      <c r="C14" s="1615" t="s">
        <v>235</v>
      </c>
      <c r="D14" s="1615"/>
      <c r="E14" s="1615"/>
      <c r="F14" s="1615"/>
      <c r="G14" s="1615"/>
      <c r="H14" s="1615"/>
      <c r="I14" s="1615"/>
      <c r="J14" s="1205" t="s">
        <v>158</v>
      </c>
      <c r="K14" s="260">
        <f>'1.ADM'!J24</f>
        <v>1056</v>
      </c>
      <c r="L14" s="258">
        <v>18.510000000000002</v>
      </c>
      <c r="M14" s="259">
        <f>ROUND(K14*L14,2)</f>
        <v>19546.560000000001</v>
      </c>
    </row>
    <row r="15" spans="1:13" s="933" customFormat="1" ht="15.75" customHeight="1" x14ac:dyDescent="0.2">
      <c r="A15" s="1580" t="s">
        <v>53</v>
      </c>
      <c r="B15" s="1560"/>
      <c r="C15" s="1560"/>
      <c r="D15" s="1560"/>
      <c r="E15" s="1560"/>
      <c r="F15" s="1560"/>
      <c r="G15" s="1560"/>
      <c r="H15" s="1560"/>
      <c r="I15" s="1560"/>
      <c r="J15" s="1560"/>
      <c r="K15" s="1560"/>
      <c r="L15" s="1561"/>
      <c r="M15" s="932">
        <f>ROUND(SUM(M13:M14),2)</f>
        <v>21518.400000000001</v>
      </c>
    </row>
    <row r="16" spans="1:13" ht="15" customHeight="1" x14ac:dyDescent="0.2">
      <c r="A16" s="934"/>
      <c r="B16" s="934"/>
      <c r="C16" s="934"/>
      <c r="D16" s="934"/>
      <c r="E16" s="934"/>
      <c r="F16" s="934"/>
      <c r="G16" s="934"/>
      <c r="H16" s="934"/>
      <c r="I16" s="934"/>
      <c r="J16" s="934"/>
      <c r="K16" s="934"/>
      <c r="L16" s="934"/>
      <c r="M16" s="934"/>
    </row>
    <row r="17" spans="1:13" ht="15" x14ac:dyDescent="0.25">
      <c r="A17" s="1244" t="s">
        <v>15</v>
      </c>
      <c r="B17" s="1242" t="s">
        <v>588</v>
      </c>
      <c r="C17" s="920"/>
      <c r="D17" s="921"/>
      <c r="E17" s="921"/>
      <c r="F17" s="921"/>
      <c r="G17" s="921" t="s">
        <v>84</v>
      </c>
      <c r="H17" s="921"/>
      <c r="I17" s="921"/>
      <c r="J17" s="921"/>
      <c r="K17" s="921"/>
      <c r="L17" s="921"/>
      <c r="M17" s="922"/>
    </row>
    <row r="18" spans="1:13" ht="38.25" customHeight="1" x14ac:dyDescent="0.2">
      <c r="A18" s="935" t="str">
        <f>ORÇ!A96</f>
        <v>6.3</v>
      </c>
      <c r="B18" s="1205" t="s">
        <v>219</v>
      </c>
      <c r="C18" s="1573" t="s">
        <v>1274</v>
      </c>
      <c r="D18" s="1574"/>
      <c r="E18" s="1574"/>
      <c r="F18" s="1574"/>
      <c r="G18" s="1574"/>
      <c r="H18" s="1574"/>
      <c r="I18" s="1574"/>
      <c r="J18" s="1574"/>
      <c r="K18" s="1574"/>
      <c r="L18" s="1574"/>
      <c r="M18" s="1579"/>
    </row>
    <row r="19" spans="1:13" ht="21" customHeight="1" x14ac:dyDescent="0.25">
      <c r="A19" s="1580" t="s">
        <v>283</v>
      </c>
      <c r="B19" s="1560"/>
      <c r="C19" s="1560"/>
      <c r="D19" s="1560"/>
      <c r="E19" s="1560"/>
      <c r="F19" s="1560"/>
      <c r="G19" s="1560"/>
      <c r="H19" s="1560"/>
      <c r="I19" s="1560"/>
      <c r="J19" s="1560"/>
      <c r="K19" s="1560"/>
      <c r="L19" s="1561"/>
      <c r="M19" s="924"/>
    </row>
    <row r="20" spans="1:13" s="933" customFormat="1" ht="16.5" customHeight="1" x14ac:dyDescent="0.2">
      <c r="A20" s="925" t="s">
        <v>184</v>
      </c>
      <c r="B20" s="926" t="s">
        <v>48</v>
      </c>
      <c r="C20" s="936"/>
      <c r="D20" s="937"/>
      <c r="E20" s="937"/>
      <c r="F20" s="937" t="s">
        <v>49</v>
      </c>
      <c r="G20" s="937"/>
      <c r="H20" s="937"/>
      <c r="I20" s="938"/>
      <c r="J20" s="939" t="s">
        <v>50</v>
      </c>
      <c r="K20" s="939" t="s">
        <v>18</v>
      </c>
      <c r="L20" s="940" t="s">
        <v>51</v>
      </c>
      <c r="M20" s="940" t="s">
        <v>47</v>
      </c>
    </row>
    <row r="21" spans="1:13" ht="47.25" customHeight="1" x14ac:dyDescent="0.2">
      <c r="A21" s="923" t="s">
        <v>319</v>
      </c>
      <c r="B21" s="1251" t="s">
        <v>1256</v>
      </c>
      <c r="C21" s="1615" t="s">
        <v>1257</v>
      </c>
      <c r="D21" s="1615"/>
      <c r="E21" s="1615"/>
      <c r="F21" s="1615"/>
      <c r="G21" s="1615"/>
      <c r="H21" s="1615"/>
      <c r="I21" s="1615"/>
      <c r="J21" s="1246" t="s">
        <v>219</v>
      </c>
      <c r="K21" s="778">
        <v>12</v>
      </c>
      <c r="L21" s="258">
        <v>23.41</v>
      </c>
      <c r="M21" s="259">
        <f>ROUND(K21*L21,2)</f>
        <v>280.92</v>
      </c>
    </row>
    <row r="22" spans="1:13" ht="37.5" customHeight="1" x14ac:dyDescent="0.2">
      <c r="A22" s="923" t="s">
        <v>319</v>
      </c>
      <c r="B22" s="1251" t="s">
        <v>1258</v>
      </c>
      <c r="C22" s="1615" t="s">
        <v>1259</v>
      </c>
      <c r="D22" s="1615"/>
      <c r="E22" s="1615"/>
      <c r="F22" s="1615"/>
      <c r="G22" s="1615"/>
      <c r="H22" s="1615"/>
      <c r="I22" s="1615"/>
      <c r="J22" s="1246" t="s">
        <v>218</v>
      </c>
      <c r="K22" s="778">
        <f>1.02+1.03+1.03+1.35+1.35+1.13+1.06+1.02</f>
        <v>8.9899999999999984</v>
      </c>
      <c r="L22" s="258">
        <v>17.04</v>
      </c>
      <c r="M22" s="259">
        <f t="shared" ref="M22:M31" si="0">ROUND(K22*L22,2)</f>
        <v>153.19</v>
      </c>
    </row>
    <row r="23" spans="1:13" ht="34.5" customHeight="1" x14ac:dyDescent="0.2">
      <c r="A23" s="923" t="s">
        <v>319</v>
      </c>
      <c r="B23" s="1251" t="s">
        <v>1260</v>
      </c>
      <c r="C23" s="1615" t="s">
        <v>1286</v>
      </c>
      <c r="D23" s="1615"/>
      <c r="E23" s="1615"/>
      <c r="F23" s="1615"/>
      <c r="G23" s="1615"/>
      <c r="H23" s="1615"/>
      <c r="I23" s="1615"/>
      <c r="J23" s="1246" t="s">
        <v>218</v>
      </c>
      <c r="K23" s="780">
        <f>0.2+0.3+0.41+0.53+0.63+0.53+0.44+0.35+0.26</f>
        <v>3.6499999999999995</v>
      </c>
      <c r="L23" s="258">
        <v>22.65</v>
      </c>
      <c r="M23" s="259">
        <f t="shared" si="0"/>
        <v>82.67</v>
      </c>
    </row>
    <row r="24" spans="1:13" ht="34.5" customHeight="1" x14ac:dyDescent="0.2">
      <c r="A24" s="923" t="s">
        <v>319</v>
      </c>
      <c r="B24" s="1251" t="s">
        <v>1260</v>
      </c>
      <c r="C24" s="1615" t="s">
        <v>1285</v>
      </c>
      <c r="D24" s="1615"/>
      <c r="E24" s="1615"/>
      <c r="F24" s="1615"/>
      <c r="G24" s="1615"/>
      <c r="H24" s="1615"/>
      <c r="I24" s="1615"/>
      <c r="J24" s="1246" t="s">
        <v>218</v>
      </c>
      <c r="K24" s="780">
        <f>7.57+8.47</f>
        <v>16.04</v>
      </c>
      <c r="L24" s="258">
        <v>22.65</v>
      </c>
      <c r="M24" s="259">
        <f t="shared" si="0"/>
        <v>363.31</v>
      </c>
    </row>
    <row r="25" spans="1:13" ht="36" customHeight="1" x14ac:dyDescent="0.2">
      <c r="A25" s="923" t="s">
        <v>319</v>
      </c>
      <c r="B25" s="1251" t="s">
        <v>1261</v>
      </c>
      <c r="C25" s="1615" t="s">
        <v>1262</v>
      </c>
      <c r="D25" s="1615"/>
      <c r="E25" s="1615"/>
      <c r="F25" s="1615"/>
      <c r="G25" s="1615"/>
      <c r="H25" s="1615"/>
      <c r="I25" s="1615"/>
      <c r="J25" s="1246" t="s">
        <v>218</v>
      </c>
      <c r="K25" s="780">
        <f>0.14+16.37</f>
        <v>16.510000000000002</v>
      </c>
      <c r="L25" s="258">
        <v>28.3</v>
      </c>
      <c r="M25" s="259">
        <f t="shared" si="0"/>
        <v>467.23</v>
      </c>
    </row>
    <row r="26" spans="1:13" ht="36.75" customHeight="1" x14ac:dyDescent="0.2">
      <c r="A26" s="923" t="s">
        <v>319</v>
      </c>
      <c r="B26" s="1251" t="s">
        <v>1263</v>
      </c>
      <c r="C26" s="1615" t="s">
        <v>1264</v>
      </c>
      <c r="D26" s="1615"/>
      <c r="E26" s="1615"/>
      <c r="F26" s="1615"/>
      <c r="G26" s="1615"/>
      <c r="H26" s="1615"/>
      <c r="I26" s="1615"/>
      <c r="J26" s="1246" t="s">
        <v>219</v>
      </c>
      <c r="K26" s="778">
        <v>1</v>
      </c>
      <c r="L26" s="258">
        <v>36.299999999999997</v>
      </c>
      <c r="M26" s="259">
        <f t="shared" si="0"/>
        <v>36.299999999999997</v>
      </c>
    </row>
    <row r="27" spans="1:13" ht="21" customHeight="1" x14ac:dyDescent="0.2">
      <c r="A27" s="923" t="s">
        <v>319</v>
      </c>
      <c r="B27" s="1251" t="s">
        <v>1265</v>
      </c>
      <c r="C27" s="1615" t="s">
        <v>1266</v>
      </c>
      <c r="D27" s="1615"/>
      <c r="E27" s="1615"/>
      <c r="F27" s="1615"/>
      <c r="G27" s="1615"/>
      <c r="H27" s="1615"/>
      <c r="I27" s="1615"/>
      <c r="J27" s="1246" t="s">
        <v>205</v>
      </c>
      <c r="K27" s="778">
        <v>4.8</v>
      </c>
      <c r="L27" s="258">
        <v>20.22</v>
      </c>
      <c r="M27" s="259">
        <f t="shared" si="0"/>
        <v>97.06</v>
      </c>
    </row>
    <row r="28" spans="1:13" ht="34.5" customHeight="1" x14ac:dyDescent="0.2">
      <c r="A28" s="923" t="s">
        <v>319</v>
      </c>
      <c r="B28" s="1251" t="s">
        <v>1272</v>
      </c>
      <c r="C28" s="1589" t="s">
        <v>1273</v>
      </c>
      <c r="D28" s="1590"/>
      <c r="E28" s="1590"/>
      <c r="F28" s="1590"/>
      <c r="G28" s="1590"/>
      <c r="H28" s="1590"/>
      <c r="I28" s="1591"/>
      <c r="J28" s="1246" t="s">
        <v>205</v>
      </c>
      <c r="K28" s="778">
        <f>2*(38*(0.1*0.2))</f>
        <v>1.5200000000000002</v>
      </c>
      <c r="L28" s="258">
        <v>9.19</v>
      </c>
      <c r="M28" s="259">
        <f t="shared" si="0"/>
        <v>13.97</v>
      </c>
    </row>
    <row r="29" spans="1:13" ht="33" customHeight="1" x14ac:dyDescent="0.2">
      <c r="A29" s="923" t="s">
        <v>183</v>
      </c>
      <c r="B29" s="1251" t="s">
        <v>1267</v>
      </c>
      <c r="C29" s="1615" t="s">
        <v>1268</v>
      </c>
      <c r="D29" s="1615"/>
      <c r="E29" s="1615"/>
      <c r="F29" s="1615"/>
      <c r="G29" s="1615"/>
      <c r="H29" s="1615"/>
      <c r="I29" s="1615"/>
      <c r="J29" s="1246" t="s">
        <v>158</v>
      </c>
      <c r="K29" s="778">
        <v>5</v>
      </c>
      <c r="L29" s="258">
        <v>17.41</v>
      </c>
      <c r="M29" s="259">
        <f t="shared" si="0"/>
        <v>87.05</v>
      </c>
    </row>
    <row r="30" spans="1:13" ht="16.5" customHeight="1" x14ac:dyDescent="0.2">
      <c r="A30" s="923" t="s">
        <v>183</v>
      </c>
      <c r="B30" s="1251" t="s">
        <v>355</v>
      </c>
      <c r="C30" s="1615" t="s">
        <v>1269</v>
      </c>
      <c r="D30" s="1615"/>
      <c r="E30" s="1615"/>
      <c r="F30" s="1615"/>
      <c r="G30" s="1615"/>
      <c r="H30" s="1615"/>
      <c r="I30" s="1615"/>
      <c r="J30" s="1246" t="s">
        <v>158</v>
      </c>
      <c r="K30" s="778">
        <v>19</v>
      </c>
      <c r="L30" s="258">
        <v>21.07</v>
      </c>
      <c r="M30" s="259">
        <f t="shared" si="0"/>
        <v>400.33</v>
      </c>
    </row>
    <row r="31" spans="1:13" ht="51.75" customHeight="1" x14ac:dyDescent="0.2">
      <c r="A31" s="923" t="s">
        <v>183</v>
      </c>
      <c r="B31" s="1251" t="s">
        <v>1270</v>
      </c>
      <c r="C31" s="1615" t="s">
        <v>1271</v>
      </c>
      <c r="D31" s="1615"/>
      <c r="E31" s="1615"/>
      <c r="F31" s="1615"/>
      <c r="G31" s="1615"/>
      <c r="H31" s="1615"/>
      <c r="I31" s="1615"/>
      <c r="J31" s="1246" t="s">
        <v>219</v>
      </c>
      <c r="K31" s="778">
        <v>2</v>
      </c>
      <c r="L31" s="258">
        <v>480.35</v>
      </c>
      <c r="M31" s="259">
        <f t="shared" si="0"/>
        <v>960.7</v>
      </c>
    </row>
    <row r="32" spans="1:13" s="933" customFormat="1" ht="18" customHeight="1" x14ac:dyDescent="0.2">
      <c r="A32" s="941"/>
      <c r="B32" s="1204"/>
      <c r="C32" s="1616" t="s">
        <v>53</v>
      </c>
      <c r="D32" s="1617"/>
      <c r="E32" s="1617"/>
      <c r="F32" s="1617"/>
      <c r="G32" s="1617"/>
      <c r="H32" s="1617"/>
      <c r="I32" s="1617"/>
      <c r="J32" s="1561"/>
      <c r="K32" s="1242"/>
      <c r="L32" s="942"/>
      <c r="M32" s="932">
        <f>ROUND(SUM(M21:M31),2)</f>
        <v>2942.73</v>
      </c>
    </row>
    <row r="33" spans="1:18" x14ac:dyDescent="0.2">
      <c r="A33" s="934"/>
      <c r="B33" s="934"/>
      <c r="C33" s="934"/>
      <c r="D33" s="934"/>
      <c r="E33" s="934"/>
      <c r="F33" s="934"/>
      <c r="G33" s="934"/>
      <c r="H33" s="934"/>
      <c r="I33" s="934"/>
      <c r="J33" s="934"/>
      <c r="K33" s="934"/>
      <c r="L33" s="934"/>
      <c r="M33" s="934"/>
    </row>
    <row r="34" spans="1:18" ht="15" x14ac:dyDescent="0.25">
      <c r="A34" s="1242" t="s">
        <v>15</v>
      </c>
      <c r="B34" s="1242" t="s">
        <v>588</v>
      </c>
      <c r="C34" s="920"/>
      <c r="D34" s="921"/>
      <c r="E34" s="921"/>
      <c r="F34" s="921"/>
      <c r="G34" s="1001" t="s">
        <v>84</v>
      </c>
      <c r="H34" s="921"/>
      <c r="I34" s="921"/>
      <c r="J34" s="921"/>
      <c r="K34" s="921"/>
      <c r="L34" s="921"/>
      <c r="M34" s="922"/>
    </row>
    <row r="35" spans="1:18" ht="34.5" customHeight="1" x14ac:dyDescent="0.2">
      <c r="A35" s="923" t="str">
        <f>ORÇ!A106</f>
        <v>7.1.3</v>
      </c>
      <c r="B35" s="943" t="s">
        <v>218</v>
      </c>
      <c r="C35" s="1573" t="s">
        <v>864</v>
      </c>
      <c r="D35" s="1574"/>
      <c r="E35" s="1574"/>
      <c r="F35" s="1574"/>
      <c r="G35" s="1574"/>
      <c r="H35" s="1574"/>
      <c r="I35" s="1574"/>
      <c r="J35" s="1574"/>
      <c r="K35" s="1574"/>
      <c r="L35" s="1574"/>
      <c r="M35" s="1579"/>
    </row>
    <row r="36" spans="1:18" ht="18.75" customHeight="1" x14ac:dyDescent="0.25">
      <c r="A36" s="1580" t="s">
        <v>284</v>
      </c>
      <c r="B36" s="1560"/>
      <c r="C36" s="1560"/>
      <c r="D36" s="1560"/>
      <c r="E36" s="1560"/>
      <c r="F36" s="1560"/>
      <c r="G36" s="1560"/>
      <c r="H36" s="1560"/>
      <c r="I36" s="1560"/>
      <c r="J36" s="1560"/>
      <c r="K36" s="1560"/>
      <c r="L36" s="1561"/>
      <c r="M36" s="924"/>
    </row>
    <row r="37" spans="1:18" ht="15" x14ac:dyDescent="0.25">
      <c r="A37" s="925" t="s">
        <v>184</v>
      </c>
      <c r="B37" s="926" t="s">
        <v>48</v>
      </c>
      <c r="C37" s="927"/>
      <c r="D37" s="928"/>
      <c r="E37" s="928"/>
      <c r="F37" s="928" t="s">
        <v>49</v>
      </c>
      <c r="G37" s="928"/>
      <c r="H37" s="928"/>
      <c r="I37" s="929"/>
      <c r="J37" s="930" t="s">
        <v>50</v>
      </c>
      <c r="K37" s="930" t="s">
        <v>18</v>
      </c>
      <c r="L37" s="931" t="s">
        <v>51</v>
      </c>
      <c r="M37" s="931" t="s">
        <v>47</v>
      </c>
    </row>
    <row r="38" spans="1:18" ht="51.75" customHeight="1" x14ac:dyDescent="0.2">
      <c r="A38" s="1205" t="s">
        <v>183</v>
      </c>
      <c r="B38" s="1245">
        <v>94963</v>
      </c>
      <c r="C38" s="1589" t="s">
        <v>860</v>
      </c>
      <c r="D38" s="1590"/>
      <c r="E38" s="1590"/>
      <c r="F38" s="1590"/>
      <c r="G38" s="1590"/>
      <c r="H38" s="1590"/>
      <c r="I38" s="1591"/>
      <c r="J38" s="943" t="s">
        <v>739</v>
      </c>
      <c r="K38" s="257">
        <v>1.4999999999999999E-2</v>
      </c>
      <c r="L38" s="258">
        <v>442.57</v>
      </c>
      <c r="M38" s="259">
        <f t="shared" ref="M38:M43" si="1">ROUND(K38*L38,2)</f>
        <v>6.64</v>
      </c>
      <c r="R38" s="946"/>
    </row>
    <row r="39" spans="1:18" ht="49.5" customHeight="1" x14ac:dyDescent="0.2">
      <c r="A39" s="1205" t="s">
        <v>319</v>
      </c>
      <c r="B39" s="1245">
        <v>7155</v>
      </c>
      <c r="C39" s="1589" t="s">
        <v>861</v>
      </c>
      <c r="D39" s="1590"/>
      <c r="E39" s="1590"/>
      <c r="F39" s="1590"/>
      <c r="G39" s="1590"/>
      <c r="H39" s="1590"/>
      <c r="I39" s="1591"/>
      <c r="J39" s="943" t="s">
        <v>865</v>
      </c>
      <c r="K39" s="260">
        <v>0.19</v>
      </c>
      <c r="L39" s="258">
        <v>23.11</v>
      </c>
      <c r="M39" s="259">
        <f t="shared" si="1"/>
        <v>4.3899999999999997</v>
      </c>
    </row>
    <row r="40" spans="1:18" ht="33" customHeight="1" x14ac:dyDescent="0.2">
      <c r="A40" s="1205" t="s">
        <v>319</v>
      </c>
      <c r="B40" s="1245">
        <v>1346</v>
      </c>
      <c r="C40" s="1589" t="s">
        <v>862</v>
      </c>
      <c r="D40" s="1590"/>
      <c r="E40" s="1590"/>
      <c r="F40" s="1590"/>
      <c r="G40" s="1590"/>
      <c r="H40" s="1590"/>
      <c r="I40" s="1591"/>
      <c r="J40" s="943" t="s">
        <v>865</v>
      </c>
      <c r="K40" s="260">
        <f>(0.21*1)+(0.16*1)</f>
        <v>0.37</v>
      </c>
      <c r="L40" s="258">
        <v>58.14</v>
      </c>
      <c r="M40" s="259">
        <f t="shared" si="1"/>
        <v>21.51</v>
      </c>
    </row>
    <row r="41" spans="1:18" ht="17.25" customHeight="1" x14ac:dyDescent="0.2">
      <c r="A41" s="1205" t="s">
        <v>319</v>
      </c>
      <c r="B41" s="1245">
        <v>43132</v>
      </c>
      <c r="C41" s="312" t="s">
        <v>863</v>
      </c>
      <c r="D41" s="1248"/>
      <c r="E41" s="1248"/>
      <c r="F41" s="1248"/>
      <c r="G41" s="1248"/>
      <c r="H41" s="1248"/>
      <c r="I41" s="1249"/>
      <c r="J41" s="943" t="s">
        <v>866</v>
      </c>
      <c r="K41" s="257">
        <v>0.01</v>
      </c>
      <c r="L41" s="258">
        <v>22.09</v>
      </c>
      <c r="M41" s="259">
        <f t="shared" si="1"/>
        <v>0.22</v>
      </c>
    </row>
    <row r="42" spans="1:18" ht="17.25" customHeight="1" x14ac:dyDescent="0.2">
      <c r="A42" s="1205" t="s">
        <v>183</v>
      </c>
      <c r="B42" s="1207">
        <v>88309</v>
      </c>
      <c r="C42" s="312" t="s">
        <v>577</v>
      </c>
      <c r="D42" s="1248"/>
      <c r="E42" s="1248"/>
      <c r="F42" s="1248"/>
      <c r="G42" s="1248"/>
      <c r="H42" s="1248"/>
      <c r="I42" s="1249"/>
      <c r="J42" s="943" t="s">
        <v>158</v>
      </c>
      <c r="K42" s="260">
        <v>0.4</v>
      </c>
      <c r="L42" s="258">
        <v>21.31</v>
      </c>
      <c r="M42" s="259">
        <f t="shared" si="1"/>
        <v>8.52</v>
      </c>
    </row>
    <row r="43" spans="1:18" ht="17.25" customHeight="1" x14ac:dyDescent="0.2">
      <c r="A43" s="923" t="s">
        <v>183</v>
      </c>
      <c r="B43" s="1030">
        <v>88316</v>
      </c>
      <c r="C43" s="1589" t="s">
        <v>318</v>
      </c>
      <c r="D43" s="1590"/>
      <c r="E43" s="1590"/>
      <c r="F43" s="1590"/>
      <c r="G43" s="1590"/>
      <c r="H43" s="1590"/>
      <c r="I43" s="1591"/>
      <c r="J43" s="943" t="s">
        <v>158</v>
      </c>
      <c r="K43" s="260">
        <v>0.45</v>
      </c>
      <c r="L43" s="258">
        <v>17.09</v>
      </c>
      <c r="M43" s="259">
        <f t="shared" si="1"/>
        <v>7.69</v>
      </c>
    </row>
    <row r="44" spans="1:18" ht="15" x14ac:dyDescent="0.25">
      <c r="A44" s="941"/>
      <c r="B44" s="1204"/>
      <c r="C44" s="1576" t="s">
        <v>53</v>
      </c>
      <c r="D44" s="1577"/>
      <c r="E44" s="1577"/>
      <c r="F44" s="1577"/>
      <c r="G44" s="1577"/>
      <c r="H44" s="1577"/>
      <c r="I44" s="1577"/>
      <c r="J44" s="1578"/>
      <c r="K44" s="1253"/>
      <c r="L44" s="942"/>
      <c r="M44" s="945">
        <f>ROUND(SUM(M38:M43),2)</f>
        <v>48.97</v>
      </c>
    </row>
    <row r="46" spans="1:18" ht="15" x14ac:dyDescent="0.25">
      <c r="A46" s="1242" t="s">
        <v>15</v>
      </c>
      <c r="B46" s="1242" t="s">
        <v>588</v>
      </c>
      <c r="C46" s="920"/>
      <c r="D46" s="921"/>
      <c r="E46" s="921"/>
      <c r="F46" s="921"/>
      <c r="G46" s="921" t="s">
        <v>84</v>
      </c>
      <c r="H46" s="921"/>
      <c r="I46" s="921"/>
      <c r="J46" s="921"/>
      <c r="K46" s="921"/>
      <c r="L46" s="921"/>
      <c r="M46" s="922"/>
    </row>
    <row r="47" spans="1:18" ht="34.5" customHeight="1" x14ac:dyDescent="0.2">
      <c r="A47" s="923" t="str">
        <f>ORÇ!A118</f>
        <v>9.1.1</v>
      </c>
      <c r="B47" s="943" t="s">
        <v>219</v>
      </c>
      <c r="C47" s="1573" t="s">
        <v>556</v>
      </c>
      <c r="D47" s="1574"/>
      <c r="E47" s="1574"/>
      <c r="F47" s="1574"/>
      <c r="G47" s="1574"/>
      <c r="H47" s="1574"/>
      <c r="I47" s="1574"/>
      <c r="J47" s="1574"/>
      <c r="K47" s="1574"/>
      <c r="L47" s="1574"/>
      <c r="M47" s="1579"/>
    </row>
    <row r="48" spans="1:18" ht="18.75" customHeight="1" x14ac:dyDescent="0.25">
      <c r="A48" s="1580" t="s">
        <v>285</v>
      </c>
      <c r="B48" s="1560"/>
      <c r="C48" s="1560"/>
      <c r="D48" s="1560"/>
      <c r="E48" s="1560"/>
      <c r="F48" s="1560"/>
      <c r="G48" s="1560"/>
      <c r="H48" s="1560"/>
      <c r="I48" s="1560"/>
      <c r="J48" s="1560"/>
      <c r="K48" s="1560"/>
      <c r="L48" s="1561"/>
      <c r="M48" s="924"/>
    </row>
    <row r="49" spans="1:18" ht="15" x14ac:dyDescent="0.25">
      <c r="A49" s="925" t="s">
        <v>184</v>
      </c>
      <c r="B49" s="926" t="s">
        <v>48</v>
      </c>
      <c r="C49" s="927"/>
      <c r="D49" s="928"/>
      <c r="E49" s="928"/>
      <c r="F49" s="928" t="s">
        <v>49</v>
      </c>
      <c r="G49" s="928"/>
      <c r="H49" s="928"/>
      <c r="I49" s="929"/>
      <c r="J49" s="930" t="s">
        <v>50</v>
      </c>
      <c r="K49" s="930" t="s">
        <v>18</v>
      </c>
      <c r="L49" s="931" t="s">
        <v>51</v>
      </c>
      <c r="M49" s="931" t="s">
        <v>47</v>
      </c>
    </row>
    <row r="50" spans="1:18" ht="78" customHeight="1" x14ac:dyDescent="0.2">
      <c r="A50" s="1205" t="s">
        <v>319</v>
      </c>
      <c r="B50" s="1245" t="s">
        <v>321</v>
      </c>
      <c r="C50" s="1589" t="s">
        <v>553</v>
      </c>
      <c r="D50" s="1590"/>
      <c r="E50" s="1590"/>
      <c r="F50" s="1590"/>
      <c r="G50" s="1590"/>
      <c r="H50" s="1590"/>
      <c r="I50" s="1591"/>
      <c r="J50" s="943" t="s">
        <v>327</v>
      </c>
      <c r="K50" s="260">
        <v>1</v>
      </c>
      <c r="L50" s="258">
        <v>141.52000000000001</v>
      </c>
      <c r="M50" s="259">
        <f>ROUND(K50*L50,2)</f>
        <v>141.52000000000001</v>
      </c>
      <c r="R50" s="946"/>
    </row>
    <row r="51" spans="1:18" ht="31.5" customHeight="1" x14ac:dyDescent="0.2">
      <c r="A51" s="1205" t="s">
        <v>319</v>
      </c>
      <c r="B51" s="1245" t="s">
        <v>322</v>
      </c>
      <c r="C51" s="1589" t="s">
        <v>323</v>
      </c>
      <c r="D51" s="1590"/>
      <c r="E51" s="1590"/>
      <c r="F51" s="1590"/>
      <c r="G51" s="1590"/>
      <c r="H51" s="1590"/>
      <c r="I51" s="1591"/>
      <c r="J51" s="943" t="s">
        <v>328</v>
      </c>
      <c r="K51" s="260">
        <f>1.6*2.6</f>
        <v>4.16</v>
      </c>
      <c r="L51" s="258">
        <v>550.5</v>
      </c>
      <c r="M51" s="259">
        <f t="shared" ref="M51:M56" si="2">ROUND(K51*L51,2)</f>
        <v>2290.08</v>
      </c>
    </row>
    <row r="52" spans="1:18" ht="22.5" customHeight="1" x14ac:dyDescent="0.2">
      <c r="A52" s="1205" t="s">
        <v>182</v>
      </c>
      <c r="B52" s="1245" t="s">
        <v>554</v>
      </c>
      <c r="C52" s="1589" t="s">
        <v>555</v>
      </c>
      <c r="D52" s="1590"/>
      <c r="E52" s="1590"/>
      <c r="F52" s="1590"/>
      <c r="G52" s="1590"/>
      <c r="H52" s="1590"/>
      <c r="I52" s="1591"/>
      <c r="J52" s="943" t="s">
        <v>219</v>
      </c>
      <c r="K52" s="260">
        <v>2</v>
      </c>
      <c r="L52" s="258">
        <v>630.66999999999996</v>
      </c>
      <c r="M52" s="259">
        <f t="shared" si="2"/>
        <v>1261.3399999999999</v>
      </c>
    </row>
    <row r="53" spans="1:18" x14ac:dyDescent="0.2">
      <c r="A53" s="1205" t="s">
        <v>183</v>
      </c>
      <c r="B53" s="1245" t="s">
        <v>324</v>
      </c>
      <c r="C53" s="312" t="s">
        <v>318</v>
      </c>
      <c r="D53" s="1248"/>
      <c r="E53" s="1248"/>
      <c r="F53" s="1248"/>
      <c r="G53" s="1248"/>
      <c r="H53" s="1248"/>
      <c r="I53" s="1249"/>
      <c r="J53" s="943" t="s">
        <v>158</v>
      </c>
      <c r="K53" s="257">
        <v>3</v>
      </c>
      <c r="L53" s="258">
        <v>17.09</v>
      </c>
      <c r="M53" s="259">
        <f t="shared" si="2"/>
        <v>51.27</v>
      </c>
    </row>
    <row r="54" spans="1:18" x14ac:dyDescent="0.2">
      <c r="A54" s="1205" t="s">
        <v>183</v>
      </c>
      <c r="B54" s="1207" t="s">
        <v>325</v>
      </c>
      <c r="C54" s="312" t="s">
        <v>326</v>
      </c>
      <c r="D54" s="1248"/>
      <c r="E54" s="1248"/>
      <c r="F54" s="1248"/>
      <c r="G54" s="1248"/>
      <c r="H54" s="1248"/>
      <c r="I54" s="1249"/>
      <c r="J54" s="943" t="s">
        <v>158</v>
      </c>
      <c r="K54" s="257">
        <v>3</v>
      </c>
      <c r="L54" s="258">
        <v>21.02</v>
      </c>
      <c r="M54" s="259">
        <f t="shared" si="2"/>
        <v>63.06</v>
      </c>
    </row>
    <row r="55" spans="1:18" ht="24" customHeight="1" x14ac:dyDescent="0.2">
      <c r="A55" s="923" t="s">
        <v>319</v>
      </c>
      <c r="B55" s="1030" t="s">
        <v>549</v>
      </c>
      <c r="C55" s="1589" t="s">
        <v>550</v>
      </c>
      <c r="D55" s="1590"/>
      <c r="E55" s="1590"/>
      <c r="F55" s="1590"/>
      <c r="G55" s="1590"/>
      <c r="H55" s="1590"/>
      <c r="I55" s="1591"/>
      <c r="J55" s="943" t="s">
        <v>338</v>
      </c>
      <c r="K55" s="260">
        <v>1</v>
      </c>
      <c r="L55" s="258">
        <v>1176.5899999999999</v>
      </c>
      <c r="M55" s="259">
        <f t="shared" si="2"/>
        <v>1176.5899999999999</v>
      </c>
    </row>
    <row r="56" spans="1:18" ht="47.25" customHeight="1" x14ac:dyDescent="0.2">
      <c r="A56" s="923" t="s">
        <v>319</v>
      </c>
      <c r="B56" s="1030" t="s">
        <v>551</v>
      </c>
      <c r="C56" s="1589" t="s">
        <v>552</v>
      </c>
      <c r="D56" s="1590"/>
      <c r="E56" s="1590"/>
      <c r="F56" s="1590"/>
      <c r="G56" s="1590"/>
      <c r="H56" s="1590"/>
      <c r="I56" s="1591"/>
      <c r="J56" s="943" t="s">
        <v>162</v>
      </c>
      <c r="K56" s="260">
        <v>2</v>
      </c>
      <c r="L56" s="258">
        <v>69.739999999999995</v>
      </c>
      <c r="M56" s="259">
        <f t="shared" si="2"/>
        <v>139.47999999999999</v>
      </c>
    </row>
    <row r="57" spans="1:18" ht="15" x14ac:dyDescent="0.25">
      <c r="A57" s="941"/>
      <c r="B57" s="1204"/>
      <c r="C57" s="1576" t="s">
        <v>53</v>
      </c>
      <c r="D57" s="1577"/>
      <c r="E57" s="1577"/>
      <c r="F57" s="1577"/>
      <c r="G57" s="1577"/>
      <c r="H57" s="1577"/>
      <c r="I57" s="1577"/>
      <c r="J57" s="1578"/>
      <c r="K57" s="1253"/>
      <c r="L57" s="942"/>
      <c r="M57" s="945">
        <f>ROUND(SUM(M50:P56),2)</f>
        <v>5123.34</v>
      </c>
    </row>
    <row r="59" spans="1:18" ht="15" x14ac:dyDescent="0.25">
      <c r="A59" s="1242" t="s">
        <v>15</v>
      </c>
      <c r="B59" s="1242" t="s">
        <v>588</v>
      </c>
      <c r="C59" s="920"/>
      <c r="D59" s="921"/>
      <c r="E59" s="921"/>
      <c r="F59" s="921"/>
      <c r="G59" s="921" t="s">
        <v>84</v>
      </c>
      <c r="H59" s="921"/>
      <c r="I59" s="921"/>
      <c r="J59" s="921"/>
      <c r="K59" s="921"/>
      <c r="L59" s="921"/>
      <c r="M59" s="922"/>
    </row>
    <row r="60" spans="1:18" ht="38.25" customHeight="1" x14ac:dyDescent="0.2">
      <c r="A60" s="923" t="str">
        <f>ORÇ!A119</f>
        <v>9.1.2</v>
      </c>
      <c r="B60" s="943" t="s">
        <v>219</v>
      </c>
      <c r="C60" s="1573" t="s">
        <v>557</v>
      </c>
      <c r="D60" s="1574"/>
      <c r="E60" s="1574"/>
      <c r="F60" s="1574"/>
      <c r="G60" s="1574"/>
      <c r="H60" s="1574"/>
      <c r="I60" s="1574"/>
      <c r="J60" s="1574"/>
      <c r="K60" s="1574"/>
      <c r="L60" s="1574"/>
      <c r="M60" s="1579"/>
    </row>
    <row r="61" spans="1:18" ht="18" customHeight="1" x14ac:dyDescent="0.25">
      <c r="A61" s="1580" t="s">
        <v>157</v>
      </c>
      <c r="B61" s="1560"/>
      <c r="C61" s="1560"/>
      <c r="D61" s="1560"/>
      <c r="E61" s="1560"/>
      <c r="F61" s="1560"/>
      <c r="G61" s="1560"/>
      <c r="H61" s="1560"/>
      <c r="I61" s="1560"/>
      <c r="J61" s="1560"/>
      <c r="K61" s="1560"/>
      <c r="L61" s="1561"/>
      <c r="M61" s="924"/>
    </row>
    <row r="62" spans="1:18" ht="15" x14ac:dyDescent="0.25">
      <c r="A62" s="925" t="s">
        <v>184</v>
      </c>
      <c r="B62" s="926" t="s">
        <v>48</v>
      </c>
      <c r="C62" s="927"/>
      <c r="D62" s="928"/>
      <c r="E62" s="928"/>
      <c r="F62" s="928" t="s">
        <v>49</v>
      </c>
      <c r="G62" s="928"/>
      <c r="H62" s="928"/>
      <c r="I62" s="929"/>
      <c r="J62" s="930" t="s">
        <v>50</v>
      </c>
      <c r="K62" s="930" t="s">
        <v>18</v>
      </c>
      <c r="L62" s="931" t="s">
        <v>51</v>
      </c>
      <c r="M62" s="931" t="s">
        <v>47</v>
      </c>
    </row>
    <row r="63" spans="1:18" ht="78" customHeight="1" x14ac:dyDescent="0.2">
      <c r="A63" s="1205" t="s">
        <v>319</v>
      </c>
      <c r="B63" s="1245" t="s">
        <v>321</v>
      </c>
      <c r="C63" s="1589" t="s">
        <v>553</v>
      </c>
      <c r="D63" s="1590"/>
      <c r="E63" s="1590"/>
      <c r="F63" s="1590"/>
      <c r="G63" s="1590"/>
      <c r="H63" s="1590"/>
      <c r="I63" s="1591"/>
      <c r="J63" s="943" t="s">
        <v>327</v>
      </c>
      <c r="K63" s="260">
        <v>1</v>
      </c>
      <c r="L63" s="258">
        <v>141.52000000000001</v>
      </c>
      <c r="M63" s="259">
        <f>ROUND(K63*L63,2)</f>
        <v>141.52000000000001</v>
      </c>
      <c r="R63" s="946"/>
    </row>
    <row r="64" spans="1:18" ht="31.5" customHeight="1" x14ac:dyDescent="0.2">
      <c r="A64" s="1205" t="s">
        <v>319</v>
      </c>
      <c r="B64" s="1245" t="s">
        <v>322</v>
      </c>
      <c r="C64" s="1589" t="s">
        <v>323</v>
      </c>
      <c r="D64" s="1590"/>
      <c r="E64" s="1590"/>
      <c r="F64" s="1590"/>
      <c r="G64" s="1590"/>
      <c r="H64" s="1590"/>
      <c r="I64" s="1591"/>
      <c r="J64" s="943" t="s">
        <v>328</v>
      </c>
      <c r="K64" s="260">
        <f>2.6*3</f>
        <v>7.8000000000000007</v>
      </c>
      <c r="L64" s="258">
        <v>550.5</v>
      </c>
      <c r="M64" s="259">
        <f t="shared" ref="M64:M69" si="3">ROUND(K64*L64,2)</f>
        <v>4293.8999999999996</v>
      </c>
    </row>
    <row r="65" spans="1:13" ht="22.5" customHeight="1" x14ac:dyDescent="0.2">
      <c r="A65" s="1205" t="s">
        <v>182</v>
      </c>
      <c r="B65" s="1245" t="s">
        <v>554</v>
      </c>
      <c r="C65" s="1589" t="s">
        <v>555</v>
      </c>
      <c r="D65" s="1590"/>
      <c r="E65" s="1590"/>
      <c r="F65" s="1590"/>
      <c r="G65" s="1590"/>
      <c r="H65" s="1590"/>
      <c r="I65" s="1591"/>
      <c r="J65" s="943" t="s">
        <v>219</v>
      </c>
      <c r="K65" s="260">
        <v>2</v>
      </c>
      <c r="L65" s="258">
        <v>630.66999999999996</v>
      </c>
      <c r="M65" s="259">
        <f t="shared" si="3"/>
        <v>1261.3399999999999</v>
      </c>
    </row>
    <row r="66" spans="1:13" x14ac:dyDescent="0.2">
      <c r="A66" s="1205" t="s">
        <v>183</v>
      </c>
      <c r="B66" s="1245" t="s">
        <v>324</v>
      </c>
      <c r="C66" s="312" t="s">
        <v>318</v>
      </c>
      <c r="D66" s="1248"/>
      <c r="E66" s="1248"/>
      <c r="F66" s="1248"/>
      <c r="G66" s="1248"/>
      <c r="H66" s="1248"/>
      <c r="I66" s="1249"/>
      <c r="J66" s="943" t="s">
        <v>158</v>
      </c>
      <c r="K66" s="257">
        <v>3</v>
      </c>
      <c r="L66" s="258">
        <v>17.09</v>
      </c>
      <c r="M66" s="259">
        <f t="shared" si="3"/>
        <v>51.27</v>
      </c>
    </row>
    <row r="67" spans="1:13" x14ac:dyDescent="0.2">
      <c r="A67" s="1205" t="s">
        <v>183</v>
      </c>
      <c r="B67" s="1207" t="s">
        <v>325</v>
      </c>
      <c r="C67" s="312" t="s">
        <v>326</v>
      </c>
      <c r="D67" s="1248"/>
      <c r="E67" s="1248"/>
      <c r="F67" s="1248"/>
      <c r="G67" s="1248"/>
      <c r="H67" s="1248"/>
      <c r="I67" s="1249"/>
      <c r="J67" s="943" t="s">
        <v>158</v>
      </c>
      <c r="K67" s="257">
        <v>3</v>
      </c>
      <c r="L67" s="258">
        <v>21.02</v>
      </c>
      <c r="M67" s="259">
        <f t="shared" si="3"/>
        <v>63.06</v>
      </c>
    </row>
    <row r="68" spans="1:13" ht="34.5" customHeight="1" x14ac:dyDescent="0.2">
      <c r="A68" s="923" t="s">
        <v>319</v>
      </c>
      <c r="B68" s="1030" t="s">
        <v>549</v>
      </c>
      <c r="C68" s="1589" t="s">
        <v>550</v>
      </c>
      <c r="D68" s="1590"/>
      <c r="E68" s="1590"/>
      <c r="F68" s="1590"/>
      <c r="G68" s="1590"/>
      <c r="H68" s="1590"/>
      <c r="I68" s="1591"/>
      <c r="J68" s="943" t="s">
        <v>338</v>
      </c>
      <c r="K68" s="260">
        <v>1</v>
      </c>
      <c r="L68" s="258">
        <v>1176.5899999999999</v>
      </c>
      <c r="M68" s="259">
        <f t="shared" si="3"/>
        <v>1176.5899999999999</v>
      </c>
    </row>
    <row r="69" spans="1:13" ht="47.25" customHeight="1" x14ac:dyDescent="0.2">
      <c r="A69" s="923" t="s">
        <v>319</v>
      </c>
      <c r="B69" s="1030" t="s">
        <v>551</v>
      </c>
      <c r="C69" s="1589" t="s">
        <v>552</v>
      </c>
      <c r="D69" s="1590"/>
      <c r="E69" s="1590"/>
      <c r="F69" s="1590"/>
      <c r="G69" s="1590"/>
      <c r="H69" s="1590"/>
      <c r="I69" s="1591"/>
      <c r="J69" s="943" t="s">
        <v>162</v>
      </c>
      <c r="K69" s="260">
        <v>2</v>
      </c>
      <c r="L69" s="258">
        <v>69.739999999999995</v>
      </c>
      <c r="M69" s="259">
        <f t="shared" si="3"/>
        <v>139.47999999999999</v>
      </c>
    </row>
    <row r="70" spans="1:13" ht="15" x14ac:dyDescent="0.25">
      <c r="A70" s="941"/>
      <c r="B70" s="1204"/>
      <c r="C70" s="1576" t="s">
        <v>53</v>
      </c>
      <c r="D70" s="1577"/>
      <c r="E70" s="1577"/>
      <c r="F70" s="1577"/>
      <c r="G70" s="1577"/>
      <c r="H70" s="1577"/>
      <c r="I70" s="1577"/>
      <c r="J70" s="1578"/>
      <c r="K70" s="1253"/>
      <c r="L70" s="942"/>
      <c r="M70" s="945">
        <f>ROUND(SUM(M63:P69),2)</f>
        <v>7127.16</v>
      </c>
    </row>
    <row r="72" spans="1:13" ht="15" x14ac:dyDescent="0.25">
      <c r="A72" s="1242" t="s">
        <v>15</v>
      </c>
      <c r="B72" s="1242" t="s">
        <v>588</v>
      </c>
      <c r="C72" s="920"/>
      <c r="D72" s="921"/>
      <c r="E72" s="921"/>
      <c r="F72" s="921"/>
      <c r="G72" s="921" t="s">
        <v>84</v>
      </c>
      <c r="H72" s="921"/>
      <c r="I72" s="921"/>
      <c r="J72" s="921"/>
      <c r="K72" s="921"/>
      <c r="L72" s="921"/>
      <c r="M72" s="922"/>
    </row>
    <row r="73" spans="1:13" ht="54" customHeight="1" x14ac:dyDescent="0.2">
      <c r="A73" s="923" t="str">
        <f>ORÇ!A120</f>
        <v>9.1.3</v>
      </c>
      <c r="B73" s="943" t="s">
        <v>219</v>
      </c>
      <c r="C73" s="1573" t="s">
        <v>564</v>
      </c>
      <c r="D73" s="1574"/>
      <c r="E73" s="1574"/>
      <c r="F73" s="1574"/>
      <c r="G73" s="1574"/>
      <c r="H73" s="1574"/>
      <c r="I73" s="1574"/>
      <c r="J73" s="1574"/>
      <c r="K73" s="1574"/>
      <c r="L73" s="1574"/>
      <c r="M73" s="1579"/>
    </row>
    <row r="74" spans="1:13" ht="18" customHeight="1" x14ac:dyDescent="0.25">
      <c r="A74" s="1580" t="s">
        <v>298</v>
      </c>
      <c r="B74" s="1560"/>
      <c r="C74" s="1560"/>
      <c r="D74" s="1560"/>
      <c r="E74" s="1560"/>
      <c r="F74" s="1560"/>
      <c r="G74" s="1560"/>
      <c r="H74" s="1560"/>
      <c r="I74" s="1560"/>
      <c r="J74" s="1560"/>
      <c r="K74" s="1560"/>
      <c r="L74" s="1561"/>
      <c r="M74" s="924"/>
    </row>
    <row r="75" spans="1:13" ht="16.5" customHeight="1" x14ac:dyDescent="0.25">
      <c r="A75" s="925" t="s">
        <v>184</v>
      </c>
      <c r="B75" s="926" t="s">
        <v>48</v>
      </c>
      <c r="C75" s="927"/>
      <c r="D75" s="928"/>
      <c r="E75" s="928"/>
      <c r="F75" s="928" t="s">
        <v>49</v>
      </c>
      <c r="G75" s="928"/>
      <c r="H75" s="928"/>
      <c r="I75" s="929"/>
      <c r="J75" s="930" t="s">
        <v>50</v>
      </c>
      <c r="K75" s="930" t="s">
        <v>18</v>
      </c>
      <c r="L75" s="931" t="s">
        <v>51</v>
      </c>
      <c r="M75" s="931" t="s">
        <v>47</v>
      </c>
    </row>
    <row r="76" spans="1:13" ht="56.25" customHeight="1" x14ac:dyDescent="0.2">
      <c r="A76" s="1205" t="s">
        <v>183</v>
      </c>
      <c r="B76" s="1245" t="s">
        <v>558</v>
      </c>
      <c r="C76" s="1589" t="s">
        <v>559</v>
      </c>
      <c r="D76" s="1590"/>
      <c r="E76" s="1590"/>
      <c r="F76" s="1590"/>
      <c r="G76" s="1590"/>
      <c r="H76" s="1590"/>
      <c r="I76" s="1591"/>
      <c r="J76" s="943" t="s">
        <v>162</v>
      </c>
      <c r="K76" s="260">
        <v>1</v>
      </c>
      <c r="L76" s="258">
        <v>576.01</v>
      </c>
      <c r="M76" s="259">
        <f>ROUND(K76*L76,2)</f>
        <v>576.01</v>
      </c>
    </row>
    <row r="77" spans="1:13" ht="48" customHeight="1" x14ac:dyDescent="0.2">
      <c r="A77" s="1205" t="s">
        <v>319</v>
      </c>
      <c r="B77" s="1245" t="s">
        <v>336</v>
      </c>
      <c r="C77" s="1589" t="s">
        <v>337</v>
      </c>
      <c r="D77" s="1590" t="s">
        <v>338</v>
      </c>
      <c r="E77" s="1590"/>
      <c r="F77" s="1590"/>
      <c r="G77" s="1590"/>
      <c r="H77" s="1590"/>
      <c r="I77" s="1591"/>
      <c r="J77" s="943" t="s">
        <v>339</v>
      </c>
      <c r="K77" s="260">
        <v>1</v>
      </c>
      <c r="L77" s="258">
        <v>21.24</v>
      </c>
      <c r="M77" s="259">
        <f t="shared" ref="M77:M80" si="4">ROUND(K77*L77,2)</f>
        <v>21.24</v>
      </c>
    </row>
    <row r="78" spans="1:13" ht="22.5" customHeight="1" x14ac:dyDescent="0.2">
      <c r="A78" s="1205" t="s">
        <v>182</v>
      </c>
      <c r="B78" s="1245" t="s">
        <v>560</v>
      </c>
      <c r="C78" s="1589" t="s">
        <v>561</v>
      </c>
      <c r="D78" s="1590"/>
      <c r="E78" s="1590"/>
      <c r="F78" s="1590"/>
      <c r="G78" s="1590"/>
      <c r="H78" s="1590"/>
      <c r="I78" s="1591"/>
      <c r="J78" s="943" t="s">
        <v>218</v>
      </c>
      <c r="K78" s="260">
        <f>0.4*2</f>
        <v>0.8</v>
      </c>
      <c r="L78" s="258">
        <v>281.64999999999998</v>
      </c>
      <c r="M78" s="259">
        <f t="shared" si="4"/>
        <v>225.32</v>
      </c>
    </row>
    <row r="79" spans="1:13" ht="34.5" customHeight="1" x14ac:dyDescent="0.2">
      <c r="A79" s="1205" t="s">
        <v>319</v>
      </c>
      <c r="B79" s="1245" t="s">
        <v>562</v>
      </c>
      <c r="C79" s="1589" t="s">
        <v>563</v>
      </c>
      <c r="D79" s="1590"/>
      <c r="E79" s="1590"/>
      <c r="F79" s="1590"/>
      <c r="G79" s="1590"/>
      <c r="H79" s="1590"/>
      <c r="I79" s="1591"/>
      <c r="J79" s="943" t="s">
        <v>328</v>
      </c>
      <c r="K79" s="260">
        <f>0.4*0.9*2</f>
        <v>0.72000000000000008</v>
      </c>
      <c r="L79" s="258">
        <v>889.48</v>
      </c>
      <c r="M79" s="259">
        <f t="shared" si="4"/>
        <v>640.42999999999995</v>
      </c>
    </row>
    <row r="80" spans="1:13" ht="34.5" customHeight="1" x14ac:dyDescent="0.2">
      <c r="A80" s="1205" t="s">
        <v>319</v>
      </c>
      <c r="B80" s="1245" t="s">
        <v>330</v>
      </c>
      <c r="C80" s="1589" t="s">
        <v>331</v>
      </c>
      <c r="D80" s="1590"/>
      <c r="E80" s="1590"/>
      <c r="F80" s="1590"/>
      <c r="G80" s="1590"/>
      <c r="H80" s="1590"/>
      <c r="I80" s="1591"/>
      <c r="J80" s="943" t="s">
        <v>332</v>
      </c>
      <c r="K80" s="257">
        <v>0.25</v>
      </c>
      <c r="L80" s="258">
        <v>53.46</v>
      </c>
      <c r="M80" s="259">
        <f t="shared" si="4"/>
        <v>13.37</v>
      </c>
    </row>
    <row r="81" spans="1:13" ht="15" x14ac:dyDescent="0.25">
      <c r="A81" s="941"/>
      <c r="B81" s="1204"/>
      <c r="C81" s="1576" t="s">
        <v>53</v>
      </c>
      <c r="D81" s="1577"/>
      <c r="E81" s="1577"/>
      <c r="F81" s="1577"/>
      <c r="G81" s="1577"/>
      <c r="H81" s="1577"/>
      <c r="I81" s="1577"/>
      <c r="J81" s="1578"/>
      <c r="K81" s="1253"/>
      <c r="L81" s="942"/>
      <c r="M81" s="945">
        <f>ROUND(SUM(M74:P80),2)</f>
        <v>1476.37</v>
      </c>
    </row>
    <row r="83" spans="1:13" ht="15" x14ac:dyDescent="0.25">
      <c r="A83" s="1242" t="s">
        <v>15</v>
      </c>
      <c r="B83" s="1242" t="s">
        <v>588</v>
      </c>
      <c r="C83" s="920"/>
      <c r="D83" s="921"/>
      <c r="E83" s="921"/>
      <c r="F83" s="921"/>
      <c r="G83" s="921" t="s">
        <v>84</v>
      </c>
      <c r="H83" s="921"/>
      <c r="I83" s="921"/>
      <c r="J83" s="921"/>
      <c r="K83" s="921"/>
      <c r="L83" s="921"/>
      <c r="M83" s="922"/>
    </row>
    <row r="84" spans="1:13" ht="35.25" customHeight="1" x14ac:dyDescent="0.2">
      <c r="A84" s="923" t="str">
        <f>ORÇ!A121</f>
        <v>9.1.4</v>
      </c>
      <c r="B84" s="943" t="s">
        <v>219</v>
      </c>
      <c r="C84" s="1573" t="s">
        <v>710</v>
      </c>
      <c r="D84" s="1574"/>
      <c r="E84" s="1574"/>
      <c r="F84" s="1574"/>
      <c r="G84" s="1574"/>
      <c r="H84" s="1574"/>
      <c r="I84" s="1574"/>
      <c r="J84" s="1574"/>
      <c r="K84" s="1574"/>
      <c r="L84" s="1574"/>
      <c r="M84" s="1579"/>
    </row>
    <row r="85" spans="1:13" ht="20.25" customHeight="1" x14ac:dyDescent="0.25">
      <c r="A85" s="1580" t="s">
        <v>1586</v>
      </c>
      <c r="B85" s="1560"/>
      <c r="C85" s="1560"/>
      <c r="D85" s="1560"/>
      <c r="E85" s="1560"/>
      <c r="F85" s="1560"/>
      <c r="G85" s="1560"/>
      <c r="H85" s="1560"/>
      <c r="I85" s="1560"/>
      <c r="J85" s="1560"/>
      <c r="K85" s="1560"/>
      <c r="L85" s="1561"/>
      <c r="M85" s="924"/>
    </row>
    <row r="86" spans="1:13" s="933" customFormat="1" ht="18" customHeight="1" x14ac:dyDescent="0.25">
      <c r="A86" s="925" t="s">
        <v>184</v>
      </c>
      <c r="B86" s="926" t="s">
        <v>48</v>
      </c>
      <c r="C86" s="936"/>
      <c r="D86" s="937"/>
      <c r="E86" s="937"/>
      <c r="F86" s="937" t="s">
        <v>49</v>
      </c>
      <c r="G86" s="937"/>
      <c r="H86" s="937"/>
      <c r="I86" s="938"/>
      <c r="J86" s="939" t="s">
        <v>50</v>
      </c>
      <c r="K86" s="939" t="s">
        <v>18</v>
      </c>
      <c r="L86" s="940" t="s">
        <v>51</v>
      </c>
      <c r="M86" s="931" t="s">
        <v>47</v>
      </c>
    </row>
    <row r="87" spans="1:13" ht="46.5" customHeight="1" x14ac:dyDescent="0.2">
      <c r="A87" s="1205" t="s">
        <v>319</v>
      </c>
      <c r="B87" s="1245" t="s">
        <v>569</v>
      </c>
      <c r="C87" s="1573" t="s">
        <v>570</v>
      </c>
      <c r="D87" s="1574"/>
      <c r="E87" s="1574"/>
      <c r="F87" s="1574"/>
      <c r="G87" s="1574"/>
      <c r="H87" s="1574"/>
      <c r="I87" s="1575"/>
      <c r="J87" s="943" t="s">
        <v>328</v>
      </c>
      <c r="K87" s="260">
        <v>2</v>
      </c>
      <c r="L87" s="258">
        <v>322.60000000000002</v>
      </c>
      <c r="M87" s="259">
        <f>ROUND(K87*L87,2)</f>
        <v>645.20000000000005</v>
      </c>
    </row>
    <row r="88" spans="1:13" ht="48" customHeight="1" x14ac:dyDescent="0.2">
      <c r="A88" s="1205" t="s">
        <v>319</v>
      </c>
      <c r="B88" s="1245" t="s">
        <v>711</v>
      </c>
      <c r="C88" s="1573" t="s">
        <v>712</v>
      </c>
      <c r="D88" s="1574"/>
      <c r="E88" s="1574"/>
      <c r="F88" s="1574"/>
      <c r="G88" s="1574"/>
      <c r="H88" s="1574"/>
      <c r="I88" s="1575"/>
      <c r="J88" s="943" t="s">
        <v>335</v>
      </c>
      <c r="K88" s="260">
        <v>3</v>
      </c>
      <c r="L88" s="258">
        <v>5.72</v>
      </c>
      <c r="M88" s="259">
        <f t="shared" ref="M88:M96" si="5">ROUND(K88*L88,2)</f>
        <v>17.16</v>
      </c>
    </row>
    <row r="89" spans="1:13" ht="40.5" customHeight="1" x14ac:dyDescent="0.2">
      <c r="A89" s="1205" t="s">
        <v>319</v>
      </c>
      <c r="B89" s="1245" t="s">
        <v>713</v>
      </c>
      <c r="C89" s="1573" t="s">
        <v>714</v>
      </c>
      <c r="D89" s="1574"/>
      <c r="E89" s="1574"/>
      <c r="F89" s="1574"/>
      <c r="G89" s="1574"/>
      <c r="H89" s="1574"/>
      <c r="I89" s="1575"/>
      <c r="J89" s="943" t="s">
        <v>218</v>
      </c>
      <c r="K89" s="260">
        <v>2.0499999999999998</v>
      </c>
      <c r="L89" s="258">
        <v>8.1199999999999992</v>
      </c>
      <c r="M89" s="259">
        <f t="shared" si="5"/>
        <v>16.649999999999999</v>
      </c>
    </row>
    <row r="90" spans="1:13" ht="36" customHeight="1" x14ac:dyDescent="0.2">
      <c r="A90" s="1205" t="s">
        <v>319</v>
      </c>
      <c r="B90" s="1207" t="s">
        <v>565</v>
      </c>
      <c r="C90" s="1573" t="s">
        <v>566</v>
      </c>
      <c r="D90" s="1574"/>
      <c r="E90" s="1574"/>
      <c r="F90" s="1574"/>
      <c r="G90" s="1574"/>
      <c r="H90" s="1574"/>
      <c r="I90" s="1575"/>
      <c r="J90" s="943" t="s">
        <v>218</v>
      </c>
      <c r="K90" s="257">
        <f>2.05+2.1</f>
        <v>4.1500000000000004</v>
      </c>
      <c r="L90" s="258">
        <v>7.05</v>
      </c>
      <c r="M90" s="259">
        <f t="shared" si="5"/>
        <v>29.26</v>
      </c>
    </row>
    <row r="91" spans="1:13" ht="22.5" customHeight="1" x14ac:dyDescent="0.2">
      <c r="A91" s="923" t="s">
        <v>182</v>
      </c>
      <c r="B91" s="1030" t="s">
        <v>567</v>
      </c>
      <c r="C91" s="1589" t="s">
        <v>568</v>
      </c>
      <c r="D91" s="1590"/>
      <c r="E91" s="1590"/>
      <c r="F91" s="1590"/>
      <c r="G91" s="1590"/>
      <c r="H91" s="1590"/>
      <c r="I91" s="1591"/>
      <c r="J91" s="943" t="s">
        <v>328</v>
      </c>
      <c r="K91" s="780">
        <f>0.25*0.6</f>
        <v>0.15</v>
      </c>
      <c r="L91" s="258">
        <v>388.29</v>
      </c>
      <c r="M91" s="259">
        <f t="shared" si="5"/>
        <v>58.24</v>
      </c>
    </row>
    <row r="92" spans="1:13" ht="20.25" customHeight="1" x14ac:dyDescent="0.2">
      <c r="A92" s="923" t="s">
        <v>182</v>
      </c>
      <c r="B92" s="1030" t="s">
        <v>560</v>
      </c>
      <c r="C92" s="1589" t="s">
        <v>561</v>
      </c>
      <c r="D92" s="1590"/>
      <c r="E92" s="1590"/>
      <c r="F92" s="1590"/>
      <c r="G92" s="1590"/>
      <c r="H92" s="1590"/>
      <c r="I92" s="1591"/>
      <c r="J92" s="943" t="s">
        <v>218</v>
      </c>
      <c r="K92" s="260">
        <f>0.4*2</f>
        <v>0.8</v>
      </c>
      <c r="L92" s="258">
        <v>281.64999999999998</v>
      </c>
      <c r="M92" s="259">
        <f t="shared" si="5"/>
        <v>225.32</v>
      </c>
    </row>
    <row r="93" spans="1:13" ht="33" customHeight="1" x14ac:dyDescent="0.2">
      <c r="A93" s="1205" t="s">
        <v>319</v>
      </c>
      <c r="B93" s="1030" t="s">
        <v>571</v>
      </c>
      <c r="C93" s="1589" t="s">
        <v>572</v>
      </c>
      <c r="D93" s="1590"/>
      <c r="E93" s="1590"/>
      <c r="F93" s="1590"/>
      <c r="G93" s="1590"/>
      <c r="H93" s="1590"/>
      <c r="I93" s="1591"/>
      <c r="J93" s="943" t="s">
        <v>575</v>
      </c>
      <c r="K93" s="260">
        <f>K87*0.88</f>
        <v>1.76</v>
      </c>
      <c r="L93" s="258">
        <v>39.47</v>
      </c>
      <c r="M93" s="259">
        <f t="shared" si="5"/>
        <v>69.47</v>
      </c>
    </row>
    <row r="94" spans="1:13" ht="46.5" customHeight="1" x14ac:dyDescent="0.2">
      <c r="A94" s="1205" t="s">
        <v>319</v>
      </c>
      <c r="B94" s="1030" t="s">
        <v>573</v>
      </c>
      <c r="C94" s="1589" t="s">
        <v>574</v>
      </c>
      <c r="D94" s="1590"/>
      <c r="E94" s="1590"/>
      <c r="F94" s="1590"/>
      <c r="G94" s="1590"/>
      <c r="H94" s="1590"/>
      <c r="I94" s="1591"/>
      <c r="J94" s="943" t="s">
        <v>219</v>
      </c>
      <c r="K94" s="260">
        <f>K87*4.8</f>
        <v>9.6</v>
      </c>
      <c r="L94" s="258">
        <v>1.1000000000000001</v>
      </c>
      <c r="M94" s="259">
        <f t="shared" si="5"/>
        <v>10.56</v>
      </c>
    </row>
    <row r="95" spans="1:13" ht="20.25" customHeight="1" x14ac:dyDescent="0.2">
      <c r="A95" s="1205" t="s">
        <v>183</v>
      </c>
      <c r="B95" s="1030" t="s">
        <v>576</v>
      </c>
      <c r="C95" s="312" t="s">
        <v>577</v>
      </c>
      <c r="D95" s="1248"/>
      <c r="E95" s="1248"/>
      <c r="F95" s="1248"/>
      <c r="G95" s="1248"/>
      <c r="H95" s="1248"/>
      <c r="I95" s="1249"/>
      <c r="J95" s="943" t="s">
        <v>158</v>
      </c>
      <c r="K95" s="260">
        <v>0.4</v>
      </c>
      <c r="L95" s="258">
        <v>21.31</v>
      </c>
      <c r="M95" s="259">
        <f t="shared" si="5"/>
        <v>8.52</v>
      </c>
    </row>
    <row r="96" spans="1:13" ht="20.25" customHeight="1" x14ac:dyDescent="0.2">
      <c r="A96" s="1205" t="s">
        <v>183</v>
      </c>
      <c r="B96" s="1030" t="s">
        <v>324</v>
      </c>
      <c r="C96" s="312" t="s">
        <v>318</v>
      </c>
      <c r="D96" s="1248"/>
      <c r="E96" s="1248"/>
      <c r="F96" s="1248"/>
      <c r="G96" s="1248"/>
      <c r="H96" s="1248"/>
      <c r="I96" s="1249"/>
      <c r="J96" s="943" t="s">
        <v>158</v>
      </c>
      <c r="K96" s="260">
        <v>0.2</v>
      </c>
      <c r="L96" s="258">
        <v>17.09</v>
      </c>
      <c r="M96" s="259">
        <f t="shared" si="5"/>
        <v>3.42</v>
      </c>
    </row>
    <row r="97" spans="1:13" ht="15" x14ac:dyDescent="0.25">
      <c r="A97" s="941"/>
      <c r="B97" s="1204"/>
      <c r="C97" s="1576" t="s">
        <v>53</v>
      </c>
      <c r="D97" s="1577"/>
      <c r="E97" s="1577"/>
      <c r="F97" s="1577"/>
      <c r="G97" s="1577"/>
      <c r="H97" s="1577"/>
      <c r="I97" s="1577"/>
      <c r="J97" s="1578"/>
      <c r="K97" s="1253"/>
      <c r="L97" s="942"/>
      <c r="M97" s="945">
        <f>ROUND(SUM(M87:P96),2)</f>
        <v>1083.8</v>
      </c>
    </row>
    <row r="99" spans="1:13" ht="15" x14ac:dyDescent="0.25">
      <c r="A99" s="1242" t="s">
        <v>15</v>
      </c>
      <c r="B99" s="1242" t="s">
        <v>588</v>
      </c>
      <c r="C99" s="920"/>
      <c r="D99" s="921"/>
      <c r="E99" s="921"/>
      <c r="F99" s="921"/>
      <c r="G99" s="921" t="s">
        <v>84</v>
      </c>
      <c r="H99" s="921"/>
      <c r="I99" s="921"/>
      <c r="J99" s="921"/>
      <c r="K99" s="921"/>
      <c r="L99" s="921"/>
      <c r="M99" s="922"/>
    </row>
    <row r="100" spans="1:13" ht="63" customHeight="1" x14ac:dyDescent="0.2">
      <c r="A100" s="923" t="str">
        <f>ORÇ!A178</f>
        <v>12.2.1</v>
      </c>
      <c r="B100" s="943" t="s">
        <v>219</v>
      </c>
      <c r="C100" s="1573" t="s">
        <v>623</v>
      </c>
      <c r="D100" s="1574"/>
      <c r="E100" s="1574"/>
      <c r="F100" s="1574"/>
      <c r="G100" s="1574"/>
      <c r="H100" s="1574"/>
      <c r="I100" s="1574"/>
      <c r="J100" s="1574"/>
      <c r="K100" s="1574"/>
      <c r="L100" s="1574"/>
      <c r="M100" s="1579"/>
    </row>
    <row r="101" spans="1:13" ht="21.75" customHeight="1" x14ac:dyDescent="0.25">
      <c r="A101" s="1580" t="s">
        <v>329</v>
      </c>
      <c r="B101" s="1560"/>
      <c r="C101" s="1560"/>
      <c r="D101" s="1560"/>
      <c r="E101" s="1560"/>
      <c r="F101" s="1560"/>
      <c r="G101" s="1560"/>
      <c r="H101" s="1560"/>
      <c r="I101" s="1560"/>
      <c r="J101" s="1560"/>
      <c r="K101" s="1560"/>
      <c r="L101" s="1561"/>
      <c r="M101" s="924"/>
    </row>
    <row r="102" spans="1:13" ht="15" customHeight="1" x14ac:dyDescent="0.25">
      <c r="A102" s="925" t="s">
        <v>184</v>
      </c>
      <c r="B102" s="926" t="s">
        <v>48</v>
      </c>
      <c r="C102" s="927"/>
      <c r="D102" s="928"/>
      <c r="E102" s="928"/>
      <c r="F102" s="928" t="s">
        <v>49</v>
      </c>
      <c r="G102" s="928"/>
      <c r="H102" s="928"/>
      <c r="I102" s="929"/>
      <c r="J102" s="930" t="s">
        <v>50</v>
      </c>
      <c r="K102" s="930" t="s">
        <v>18</v>
      </c>
      <c r="L102" s="931" t="s">
        <v>51</v>
      </c>
      <c r="M102" s="931" t="s">
        <v>47</v>
      </c>
    </row>
    <row r="103" spans="1:13" ht="56.25" customHeight="1" x14ac:dyDescent="0.2">
      <c r="A103" s="1205" t="s">
        <v>183</v>
      </c>
      <c r="B103" s="1245" t="s">
        <v>558</v>
      </c>
      <c r="C103" s="1589" t="s">
        <v>559</v>
      </c>
      <c r="D103" s="1590"/>
      <c r="E103" s="1590"/>
      <c r="F103" s="1590"/>
      <c r="G103" s="1590"/>
      <c r="H103" s="1590"/>
      <c r="I103" s="1591"/>
      <c r="J103" s="943" t="s">
        <v>162</v>
      </c>
      <c r="K103" s="260">
        <v>2</v>
      </c>
      <c r="L103" s="258">
        <v>576.01</v>
      </c>
      <c r="M103" s="259">
        <f>ROUND(K103*L103,2)</f>
        <v>1152.02</v>
      </c>
    </row>
    <row r="104" spans="1:13" ht="48" customHeight="1" x14ac:dyDescent="0.2">
      <c r="A104" s="1205" t="s">
        <v>319</v>
      </c>
      <c r="B104" s="1245" t="s">
        <v>336</v>
      </c>
      <c r="C104" s="1589" t="s">
        <v>337</v>
      </c>
      <c r="D104" s="1590" t="s">
        <v>338</v>
      </c>
      <c r="E104" s="1590"/>
      <c r="F104" s="1590"/>
      <c r="G104" s="1590"/>
      <c r="H104" s="1590"/>
      <c r="I104" s="1591"/>
      <c r="J104" s="943" t="s">
        <v>339</v>
      </c>
      <c r="K104" s="260">
        <v>1</v>
      </c>
      <c r="L104" s="258">
        <v>21.24</v>
      </c>
      <c r="M104" s="259">
        <f t="shared" ref="M104:M109" si="6">ROUND(K104*L104,2)</f>
        <v>21.24</v>
      </c>
    </row>
    <row r="105" spans="1:13" ht="22.5" customHeight="1" x14ac:dyDescent="0.2">
      <c r="A105" s="1205" t="s">
        <v>182</v>
      </c>
      <c r="B105" s="1245" t="s">
        <v>560</v>
      </c>
      <c r="C105" s="1589" t="s">
        <v>561</v>
      </c>
      <c r="D105" s="1590"/>
      <c r="E105" s="1590"/>
      <c r="F105" s="1590"/>
      <c r="G105" s="1590"/>
      <c r="H105" s="1590"/>
      <c r="I105" s="1591"/>
      <c r="J105" s="943" t="s">
        <v>218</v>
      </c>
      <c r="K105" s="260">
        <f>0.4*4</f>
        <v>1.6</v>
      </c>
      <c r="L105" s="258">
        <v>281.64999999999998</v>
      </c>
      <c r="M105" s="259">
        <f t="shared" si="6"/>
        <v>450.64</v>
      </c>
    </row>
    <row r="106" spans="1:13" ht="34.5" customHeight="1" x14ac:dyDescent="0.2">
      <c r="A106" s="1205" t="s">
        <v>319</v>
      </c>
      <c r="B106" s="1245" t="s">
        <v>562</v>
      </c>
      <c r="C106" s="1589" t="s">
        <v>563</v>
      </c>
      <c r="D106" s="1590"/>
      <c r="E106" s="1590"/>
      <c r="F106" s="1590"/>
      <c r="G106" s="1590"/>
      <c r="H106" s="1590"/>
      <c r="I106" s="1591"/>
      <c r="J106" s="943" t="s">
        <v>328</v>
      </c>
      <c r="K106" s="260">
        <f>0.4*0.9*4</f>
        <v>1.4400000000000002</v>
      </c>
      <c r="L106" s="258">
        <v>889.48</v>
      </c>
      <c r="M106" s="259">
        <f t="shared" si="6"/>
        <v>1280.8499999999999</v>
      </c>
    </row>
    <row r="107" spans="1:13" ht="34.5" customHeight="1" x14ac:dyDescent="0.2">
      <c r="A107" s="1205" t="s">
        <v>319</v>
      </c>
      <c r="B107" s="1245" t="s">
        <v>330</v>
      </c>
      <c r="C107" s="1589" t="s">
        <v>331</v>
      </c>
      <c r="D107" s="1590"/>
      <c r="E107" s="1590"/>
      <c r="F107" s="1590"/>
      <c r="G107" s="1590"/>
      <c r="H107" s="1590"/>
      <c r="I107" s="1591"/>
      <c r="J107" s="943" t="s">
        <v>332</v>
      </c>
      <c r="K107" s="257">
        <v>0.4</v>
      </c>
      <c r="L107" s="258">
        <v>53.46</v>
      </c>
      <c r="M107" s="259">
        <f t="shared" si="6"/>
        <v>21.38</v>
      </c>
    </row>
    <row r="108" spans="1:13" ht="51.75" customHeight="1" x14ac:dyDescent="0.2">
      <c r="A108" s="1205" t="s">
        <v>183</v>
      </c>
      <c r="B108" s="1245" t="s">
        <v>583</v>
      </c>
      <c r="C108" s="1573" t="s">
        <v>584</v>
      </c>
      <c r="D108" s="1574"/>
      <c r="E108" s="1574"/>
      <c r="F108" s="1574"/>
      <c r="G108" s="1574"/>
      <c r="H108" s="1574"/>
      <c r="I108" s="1575"/>
      <c r="J108" s="943" t="s">
        <v>328</v>
      </c>
      <c r="K108" s="260">
        <f>0.25*0.6*2</f>
        <v>0.3</v>
      </c>
      <c r="L108" s="258">
        <v>307.7</v>
      </c>
      <c r="M108" s="259">
        <f t="shared" si="6"/>
        <v>92.31</v>
      </c>
    </row>
    <row r="109" spans="1:13" ht="18.75" customHeight="1" x14ac:dyDescent="0.2">
      <c r="A109" s="1205" t="s">
        <v>183</v>
      </c>
      <c r="B109" s="1245" t="s">
        <v>324</v>
      </c>
      <c r="C109" s="448" t="s">
        <v>318</v>
      </c>
      <c r="D109" s="446"/>
      <c r="E109" s="446"/>
      <c r="F109" s="446"/>
      <c r="G109" s="446"/>
      <c r="H109" s="446"/>
      <c r="I109" s="447"/>
      <c r="J109" s="943" t="s">
        <v>158</v>
      </c>
      <c r="K109" s="257">
        <v>1.5</v>
      </c>
      <c r="L109" s="258">
        <v>17.09</v>
      </c>
      <c r="M109" s="259">
        <f t="shared" si="6"/>
        <v>25.64</v>
      </c>
    </row>
    <row r="110" spans="1:13" ht="15" x14ac:dyDescent="0.25">
      <c r="A110" s="941"/>
      <c r="B110" s="1204"/>
      <c r="C110" s="1576" t="s">
        <v>53</v>
      </c>
      <c r="D110" s="1577"/>
      <c r="E110" s="1577"/>
      <c r="F110" s="1577"/>
      <c r="G110" s="1577"/>
      <c r="H110" s="1577"/>
      <c r="I110" s="1577"/>
      <c r="J110" s="1578"/>
      <c r="K110" s="1253"/>
      <c r="L110" s="942"/>
      <c r="M110" s="945">
        <f>ROUND(SUM(M103:P109),2)</f>
        <v>3044.08</v>
      </c>
    </row>
    <row r="112" spans="1:13" ht="15" x14ac:dyDescent="0.25">
      <c r="A112" s="1242" t="s">
        <v>15</v>
      </c>
      <c r="B112" s="1242" t="s">
        <v>588</v>
      </c>
      <c r="C112" s="920"/>
      <c r="D112" s="921"/>
      <c r="E112" s="921"/>
      <c r="F112" s="921"/>
      <c r="G112" s="921" t="s">
        <v>84</v>
      </c>
      <c r="H112" s="921"/>
      <c r="I112" s="921"/>
      <c r="J112" s="921"/>
      <c r="K112" s="921"/>
      <c r="L112" s="921"/>
      <c r="M112" s="922"/>
    </row>
    <row r="113" spans="1:18" ht="36.75" customHeight="1" x14ac:dyDescent="0.2">
      <c r="A113" s="923" t="str">
        <f>ORÇ!A125</f>
        <v>9.1.8</v>
      </c>
      <c r="B113" s="943" t="s">
        <v>219</v>
      </c>
      <c r="C113" s="1573" t="s">
        <v>585</v>
      </c>
      <c r="D113" s="1574"/>
      <c r="E113" s="1574"/>
      <c r="F113" s="1574"/>
      <c r="G113" s="1574"/>
      <c r="H113" s="1574"/>
      <c r="I113" s="1574"/>
      <c r="J113" s="1574"/>
      <c r="K113" s="1574"/>
      <c r="L113" s="1574"/>
      <c r="M113" s="1579"/>
    </row>
    <row r="114" spans="1:18" ht="18" customHeight="1" x14ac:dyDescent="0.25">
      <c r="A114" s="1580" t="s">
        <v>333</v>
      </c>
      <c r="B114" s="1560"/>
      <c r="C114" s="1560"/>
      <c r="D114" s="1560"/>
      <c r="E114" s="1560"/>
      <c r="F114" s="1560"/>
      <c r="G114" s="1560"/>
      <c r="H114" s="1560"/>
      <c r="I114" s="1560"/>
      <c r="J114" s="1560"/>
      <c r="K114" s="1560"/>
      <c r="L114" s="1561"/>
      <c r="M114" s="924"/>
    </row>
    <row r="115" spans="1:18" ht="15" x14ac:dyDescent="0.25">
      <c r="A115" s="925" t="s">
        <v>184</v>
      </c>
      <c r="B115" s="926" t="s">
        <v>48</v>
      </c>
      <c r="C115" s="927"/>
      <c r="D115" s="928"/>
      <c r="E115" s="928"/>
      <c r="F115" s="928" t="s">
        <v>49</v>
      </c>
      <c r="G115" s="928"/>
      <c r="H115" s="928"/>
      <c r="I115" s="929"/>
      <c r="J115" s="930" t="s">
        <v>50</v>
      </c>
      <c r="K115" s="930" t="s">
        <v>18</v>
      </c>
      <c r="L115" s="931" t="s">
        <v>51</v>
      </c>
      <c r="M115" s="931" t="s">
        <v>47</v>
      </c>
    </row>
    <row r="116" spans="1:18" ht="78" customHeight="1" x14ac:dyDescent="0.2">
      <c r="A116" s="1205" t="s">
        <v>319</v>
      </c>
      <c r="B116" s="1245" t="s">
        <v>321</v>
      </c>
      <c r="C116" s="1573" t="s">
        <v>553</v>
      </c>
      <c r="D116" s="1574"/>
      <c r="E116" s="1574"/>
      <c r="F116" s="1574"/>
      <c r="G116" s="1574"/>
      <c r="H116" s="1574"/>
      <c r="I116" s="1575"/>
      <c r="J116" s="943" t="s">
        <v>327</v>
      </c>
      <c r="K116" s="260">
        <v>1</v>
      </c>
      <c r="L116" s="258">
        <v>141.52000000000001</v>
      </c>
      <c r="M116" s="259">
        <f>ROUND(K116*L116,2)</f>
        <v>141.52000000000001</v>
      </c>
      <c r="R116" s="946"/>
    </row>
    <row r="117" spans="1:18" ht="31.5" customHeight="1" x14ac:dyDescent="0.2">
      <c r="A117" s="1205" t="s">
        <v>319</v>
      </c>
      <c r="B117" s="1245" t="s">
        <v>322</v>
      </c>
      <c r="C117" s="1573" t="s">
        <v>323</v>
      </c>
      <c r="D117" s="1574"/>
      <c r="E117" s="1574"/>
      <c r="F117" s="1574"/>
      <c r="G117" s="1574"/>
      <c r="H117" s="1574"/>
      <c r="I117" s="1575"/>
      <c r="J117" s="943" t="s">
        <v>328</v>
      </c>
      <c r="K117" s="260">
        <f>2.1*1.6</f>
        <v>3.3600000000000003</v>
      </c>
      <c r="L117" s="258">
        <v>550.5</v>
      </c>
      <c r="M117" s="259">
        <f t="shared" ref="M117:M122" si="7">ROUND(K117*L117,2)</f>
        <v>1849.68</v>
      </c>
    </row>
    <row r="118" spans="1:18" ht="20.25" customHeight="1" x14ac:dyDescent="0.2">
      <c r="A118" s="1205" t="s">
        <v>182</v>
      </c>
      <c r="B118" s="1245" t="s">
        <v>554</v>
      </c>
      <c r="C118" s="1589" t="s">
        <v>555</v>
      </c>
      <c r="D118" s="1590"/>
      <c r="E118" s="1590"/>
      <c r="F118" s="1590"/>
      <c r="G118" s="1590"/>
      <c r="H118" s="1590"/>
      <c r="I118" s="1591"/>
      <c r="J118" s="943" t="s">
        <v>219</v>
      </c>
      <c r="K118" s="260">
        <v>2</v>
      </c>
      <c r="L118" s="258">
        <v>630.66999999999996</v>
      </c>
      <c r="M118" s="259">
        <f t="shared" si="7"/>
        <v>1261.3399999999999</v>
      </c>
    </row>
    <row r="119" spans="1:18" x14ac:dyDescent="0.2">
      <c r="A119" s="1205" t="s">
        <v>183</v>
      </c>
      <c r="B119" s="1245" t="s">
        <v>324</v>
      </c>
      <c r="C119" s="312" t="s">
        <v>318</v>
      </c>
      <c r="D119" s="1248"/>
      <c r="E119" s="1248"/>
      <c r="F119" s="1248"/>
      <c r="G119" s="1248"/>
      <c r="H119" s="1248"/>
      <c r="I119" s="1249"/>
      <c r="J119" s="943" t="s">
        <v>158</v>
      </c>
      <c r="K119" s="257">
        <v>2.5</v>
      </c>
      <c r="L119" s="258">
        <v>17.09</v>
      </c>
      <c r="M119" s="259">
        <f t="shared" si="7"/>
        <v>42.73</v>
      </c>
    </row>
    <row r="120" spans="1:18" x14ac:dyDescent="0.2">
      <c r="A120" s="1205" t="s">
        <v>183</v>
      </c>
      <c r="B120" s="1207" t="s">
        <v>325</v>
      </c>
      <c r="C120" s="312" t="s">
        <v>326</v>
      </c>
      <c r="D120" s="1248"/>
      <c r="E120" s="1248"/>
      <c r="F120" s="1248"/>
      <c r="G120" s="1248"/>
      <c r="H120" s="1248"/>
      <c r="I120" s="1249"/>
      <c r="J120" s="943" t="s">
        <v>158</v>
      </c>
      <c r="K120" s="257">
        <v>2.5</v>
      </c>
      <c r="L120" s="258">
        <v>21.02</v>
      </c>
      <c r="M120" s="259">
        <f t="shared" si="7"/>
        <v>52.55</v>
      </c>
    </row>
    <row r="121" spans="1:18" ht="34.5" customHeight="1" x14ac:dyDescent="0.2">
      <c r="A121" s="923" t="s">
        <v>319</v>
      </c>
      <c r="B121" s="1030" t="s">
        <v>549</v>
      </c>
      <c r="C121" s="1589" t="s">
        <v>550</v>
      </c>
      <c r="D121" s="1590"/>
      <c r="E121" s="1590"/>
      <c r="F121" s="1590"/>
      <c r="G121" s="1590"/>
      <c r="H121" s="1590"/>
      <c r="I121" s="1591"/>
      <c r="J121" s="943" t="s">
        <v>338</v>
      </c>
      <c r="K121" s="260">
        <v>1</v>
      </c>
      <c r="L121" s="258">
        <v>1176.5899999999999</v>
      </c>
      <c r="M121" s="259">
        <f t="shared" si="7"/>
        <v>1176.5899999999999</v>
      </c>
    </row>
    <row r="122" spans="1:18" ht="47.25" customHeight="1" x14ac:dyDescent="0.2">
      <c r="A122" s="923" t="s">
        <v>319</v>
      </c>
      <c r="B122" s="1030" t="s">
        <v>551</v>
      </c>
      <c r="C122" s="1589" t="s">
        <v>552</v>
      </c>
      <c r="D122" s="1590"/>
      <c r="E122" s="1590"/>
      <c r="F122" s="1590"/>
      <c r="G122" s="1590"/>
      <c r="H122" s="1590"/>
      <c r="I122" s="1591"/>
      <c r="J122" s="943" t="s">
        <v>162</v>
      </c>
      <c r="K122" s="260">
        <v>2</v>
      </c>
      <c r="L122" s="258">
        <v>69.739999999999995</v>
      </c>
      <c r="M122" s="259">
        <f t="shared" si="7"/>
        <v>139.47999999999999</v>
      </c>
    </row>
    <row r="123" spans="1:18" ht="15" x14ac:dyDescent="0.25">
      <c r="A123" s="941"/>
      <c r="B123" s="1204"/>
      <c r="C123" s="1576" t="s">
        <v>53</v>
      </c>
      <c r="D123" s="1577"/>
      <c r="E123" s="1577"/>
      <c r="F123" s="1577"/>
      <c r="G123" s="1577"/>
      <c r="H123" s="1577"/>
      <c r="I123" s="1577"/>
      <c r="J123" s="1578"/>
      <c r="K123" s="1253"/>
      <c r="L123" s="942"/>
      <c r="M123" s="945">
        <f>ROUND(SUM(M116:P122),2)</f>
        <v>4663.8900000000003</v>
      </c>
    </row>
    <row r="125" spans="1:18" s="933" customFormat="1" ht="18" customHeight="1" x14ac:dyDescent="0.2">
      <c r="A125" s="1242" t="s">
        <v>343</v>
      </c>
      <c r="B125" s="1126"/>
      <c r="C125" s="1559" t="s">
        <v>344</v>
      </c>
      <c r="D125" s="1560"/>
      <c r="E125" s="1560"/>
      <c r="F125" s="1560"/>
      <c r="G125" s="1560"/>
      <c r="H125" s="1560"/>
      <c r="I125" s="1560"/>
      <c r="J125" s="1560"/>
      <c r="K125" s="1560"/>
      <c r="L125" s="1561"/>
      <c r="M125" s="1127"/>
    </row>
    <row r="126" spans="1:18" ht="25.5" customHeight="1" x14ac:dyDescent="0.2">
      <c r="A126" s="1005" t="str">
        <f>ORÇ!A176</f>
        <v>12.1.3</v>
      </c>
      <c r="B126" s="1011" t="s">
        <v>335</v>
      </c>
      <c r="C126" s="1562" t="s">
        <v>2350</v>
      </c>
      <c r="D126" s="1562"/>
      <c r="E126" s="1562"/>
      <c r="F126" s="1562"/>
      <c r="G126" s="1562"/>
      <c r="H126" s="1562"/>
      <c r="I126" s="1562"/>
      <c r="J126" s="1562"/>
      <c r="K126" s="1562"/>
      <c r="L126" s="1562"/>
      <c r="M126" s="1562"/>
    </row>
    <row r="127" spans="1:18" ht="19.5" customHeight="1" x14ac:dyDescent="0.2">
      <c r="A127" s="1563" t="s">
        <v>334</v>
      </c>
      <c r="B127" s="1563"/>
      <c r="C127" s="1563"/>
      <c r="D127" s="1563"/>
      <c r="E127" s="1563"/>
      <c r="F127" s="1563"/>
      <c r="G127" s="1563"/>
      <c r="H127" s="1563"/>
      <c r="I127" s="1563"/>
      <c r="J127" s="1563"/>
      <c r="K127" s="1563"/>
      <c r="L127" s="1563"/>
      <c r="M127" s="1563"/>
    </row>
    <row r="128" spans="1:18" ht="18" customHeight="1" x14ac:dyDescent="0.2">
      <c r="A128" s="1008" t="s">
        <v>184</v>
      </c>
      <c r="B128" s="1008" t="s">
        <v>48</v>
      </c>
      <c r="C128" s="1564" t="s">
        <v>49</v>
      </c>
      <c r="D128" s="1565"/>
      <c r="E128" s="1565"/>
      <c r="F128" s="1565"/>
      <c r="G128" s="1565"/>
      <c r="H128" s="1565"/>
      <c r="I128" s="1566"/>
      <c r="J128" s="1008" t="s">
        <v>50</v>
      </c>
      <c r="K128" s="1008" t="s">
        <v>18</v>
      </c>
      <c r="L128" s="1009" t="s">
        <v>51</v>
      </c>
      <c r="M128" s="990" t="s">
        <v>47</v>
      </c>
    </row>
    <row r="129" spans="1:13" ht="33" customHeight="1" x14ac:dyDescent="0.2">
      <c r="A129" s="320" t="s">
        <v>319</v>
      </c>
      <c r="B129" s="320" t="s">
        <v>2348</v>
      </c>
      <c r="C129" s="1569" t="s">
        <v>2349</v>
      </c>
      <c r="D129" s="1570"/>
      <c r="E129" s="1570"/>
      <c r="F129" s="1570"/>
      <c r="G129" s="1570"/>
      <c r="H129" s="1570"/>
      <c r="I129" s="1571"/>
      <c r="J129" s="1011" t="s">
        <v>335</v>
      </c>
      <c r="K129" s="1012">
        <v>1</v>
      </c>
      <c r="L129" s="1013">
        <v>58.67</v>
      </c>
      <c r="M129" s="1014">
        <f>ROUND(L129*K129,2)</f>
        <v>58.67</v>
      </c>
    </row>
    <row r="130" spans="1:13" ht="18" customHeight="1" x14ac:dyDescent="0.2">
      <c r="A130" s="320" t="s">
        <v>183</v>
      </c>
      <c r="B130" s="1010">
        <v>88247</v>
      </c>
      <c r="C130" s="1572" t="s">
        <v>387</v>
      </c>
      <c r="D130" s="1572"/>
      <c r="E130" s="1572"/>
      <c r="F130" s="1572"/>
      <c r="G130" s="1572"/>
      <c r="H130" s="1572"/>
      <c r="I130" s="1572"/>
      <c r="J130" s="1011" t="s">
        <v>158</v>
      </c>
      <c r="K130" s="1012">
        <v>0.35</v>
      </c>
      <c r="L130" s="1013">
        <v>17.04</v>
      </c>
      <c r="M130" s="1014">
        <f t="shared" ref="M130:M131" si="8">ROUND(L130*K130,2)</f>
        <v>5.96</v>
      </c>
    </row>
    <row r="131" spans="1:13" ht="18" customHeight="1" x14ac:dyDescent="0.2">
      <c r="A131" s="320" t="s">
        <v>183</v>
      </c>
      <c r="B131" s="1010">
        <v>88264</v>
      </c>
      <c r="C131" s="1572" t="s">
        <v>388</v>
      </c>
      <c r="D131" s="1572"/>
      <c r="E131" s="1572"/>
      <c r="F131" s="1572"/>
      <c r="G131" s="1572"/>
      <c r="H131" s="1572"/>
      <c r="I131" s="1572"/>
      <c r="J131" s="1011" t="s">
        <v>158</v>
      </c>
      <c r="K131" s="1012">
        <v>0.84</v>
      </c>
      <c r="L131" s="1013">
        <v>21.52</v>
      </c>
      <c r="M131" s="1014">
        <f t="shared" si="8"/>
        <v>18.079999999999998</v>
      </c>
    </row>
    <row r="132" spans="1:13" ht="15" x14ac:dyDescent="0.2">
      <c r="A132" s="1016"/>
      <c r="B132" s="1016"/>
      <c r="C132" s="1558" t="s">
        <v>389</v>
      </c>
      <c r="D132" s="1558"/>
      <c r="E132" s="1558"/>
      <c r="F132" s="1558"/>
      <c r="G132" s="1558"/>
      <c r="H132" s="1558"/>
      <c r="I132" s="1558"/>
      <c r="J132" s="1558"/>
      <c r="K132" s="1243"/>
      <c r="L132" s="1017"/>
      <c r="M132" s="1018">
        <f>ROUND(SUM(M129:M131),2)</f>
        <v>82.71</v>
      </c>
    </row>
    <row r="134" spans="1:13" s="933" customFormat="1" ht="18" customHeight="1" x14ac:dyDescent="0.2">
      <c r="A134" s="1242" t="s">
        <v>343</v>
      </c>
      <c r="B134" s="1126"/>
      <c r="C134" s="1559" t="s">
        <v>344</v>
      </c>
      <c r="D134" s="1560"/>
      <c r="E134" s="1560"/>
      <c r="F134" s="1560"/>
      <c r="G134" s="1560"/>
      <c r="H134" s="1560"/>
      <c r="I134" s="1560"/>
      <c r="J134" s="1560"/>
      <c r="K134" s="1560"/>
      <c r="L134" s="1561"/>
      <c r="M134" s="1127"/>
    </row>
    <row r="135" spans="1:13" ht="25.5" customHeight="1" x14ac:dyDescent="0.2">
      <c r="A135" s="1005" t="str">
        <f>ORÇ!A189</f>
        <v>12.3.1</v>
      </c>
      <c r="B135" s="1011" t="s">
        <v>335</v>
      </c>
      <c r="C135" s="1562" t="s">
        <v>2438</v>
      </c>
      <c r="D135" s="1562"/>
      <c r="E135" s="1562"/>
      <c r="F135" s="1562"/>
      <c r="G135" s="1562"/>
      <c r="H135" s="1562"/>
      <c r="I135" s="1562"/>
      <c r="J135" s="1562"/>
      <c r="K135" s="1562"/>
      <c r="L135" s="1562"/>
      <c r="M135" s="1562"/>
    </row>
    <row r="136" spans="1:13" ht="19.5" customHeight="1" x14ac:dyDescent="0.2">
      <c r="A136" s="1563" t="s">
        <v>2380</v>
      </c>
      <c r="B136" s="1563"/>
      <c r="C136" s="1563"/>
      <c r="D136" s="1563"/>
      <c r="E136" s="1563"/>
      <c r="F136" s="1563"/>
      <c r="G136" s="1563"/>
      <c r="H136" s="1563"/>
      <c r="I136" s="1563"/>
      <c r="J136" s="1563"/>
      <c r="K136" s="1563"/>
      <c r="L136" s="1563"/>
      <c r="M136" s="1563"/>
    </row>
    <row r="137" spans="1:13" ht="18" customHeight="1" x14ac:dyDescent="0.2">
      <c r="A137" s="1008" t="s">
        <v>184</v>
      </c>
      <c r="B137" s="1008" t="s">
        <v>48</v>
      </c>
      <c r="C137" s="1564" t="s">
        <v>49</v>
      </c>
      <c r="D137" s="1565"/>
      <c r="E137" s="1565"/>
      <c r="F137" s="1565"/>
      <c r="G137" s="1565"/>
      <c r="H137" s="1565"/>
      <c r="I137" s="1566"/>
      <c r="J137" s="1008" t="s">
        <v>50</v>
      </c>
      <c r="K137" s="1008" t="s">
        <v>18</v>
      </c>
      <c r="L137" s="1009" t="s">
        <v>51</v>
      </c>
      <c r="M137" s="990" t="s">
        <v>47</v>
      </c>
    </row>
    <row r="138" spans="1:13" ht="33" customHeight="1" x14ac:dyDescent="0.2">
      <c r="A138" s="1567" t="str">
        <f>COTAÇÃO!A122</f>
        <v>COTAÇÃO 16</v>
      </c>
      <c r="B138" s="1568"/>
      <c r="C138" s="1569" t="str">
        <f>COTAÇÃO!A121</f>
        <v>CURVA DE INVERSÃO PARA ELETROCALHA TIPO "C" COM TAMPA, 100X50MM.</v>
      </c>
      <c r="D138" s="1570"/>
      <c r="E138" s="1570"/>
      <c r="F138" s="1570"/>
      <c r="G138" s="1570"/>
      <c r="H138" s="1570"/>
      <c r="I138" s="1571"/>
      <c r="J138" s="1011" t="s">
        <v>335</v>
      </c>
      <c r="K138" s="1012">
        <v>1</v>
      </c>
      <c r="L138" s="1013">
        <f>COTAÇÃO!E124</f>
        <v>38.613333333333337</v>
      </c>
      <c r="M138" s="1014">
        <f>ROUND(L138*K138,2)</f>
        <v>38.61</v>
      </c>
    </row>
    <row r="139" spans="1:13" ht="18" customHeight="1" x14ac:dyDescent="0.2">
      <c r="A139" s="320" t="s">
        <v>183</v>
      </c>
      <c r="B139" s="1010">
        <v>88247</v>
      </c>
      <c r="C139" s="1572" t="s">
        <v>387</v>
      </c>
      <c r="D139" s="1572"/>
      <c r="E139" s="1572"/>
      <c r="F139" s="1572"/>
      <c r="G139" s="1572"/>
      <c r="H139" s="1572"/>
      <c r="I139" s="1572"/>
      <c r="J139" s="1011" t="s">
        <v>158</v>
      </c>
      <c r="K139" s="1012">
        <v>0.08</v>
      </c>
      <c r="L139" s="1013">
        <v>17.04</v>
      </c>
      <c r="M139" s="1014">
        <f t="shared" ref="M139:M140" si="9">ROUND(L139*K139,2)</f>
        <v>1.36</v>
      </c>
    </row>
    <row r="140" spans="1:13" ht="18" customHeight="1" x14ac:dyDescent="0.2">
      <c r="A140" s="320" t="s">
        <v>183</v>
      </c>
      <c r="B140" s="1010">
        <v>88264</v>
      </c>
      <c r="C140" s="1572" t="s">
        <v>388</v>
      </c>
      <c r="D140" s="1572"/>
      <c r="E140" s="1572"/>
      <c r="F140" s="1572"/>
      <c r="G140" s="1572"/>
      <c r="H140" s="1572"/>
      <c r="I140" s="1572"/>
      <c r="J140" s="1011" t="s">
        <v>158</v>
      </c>
      <c r="K140" s="1012">
        <v>0.1</v>
      </c>
      <c r="L140" s="1013">
        <v>21.52</v>
      </c>
      <c r="M140" s="1014">
        <f t="shared" si="9"/>
        <v>2.15</v>
      </c>
    </row>
    <row r="141" spans="1:13" ht="15" x14ac:dyDescent="0.2">
      <c r="A141" s="1016"/>
      <c r="B141" s="1016"/>
      <c r="C141" s="1558" t="s">
        <v>389</v>
      </c>
      <c r="D141" s="1558"/>
      <c r="E141" s="1558"/>
      <c r="F141" s="1558"/>
      <c r="G141" s="1558"/>
      <c r="H141" s="1558"/>
      <c r="I141" s="1558"/>
      <c r="J141" s="1558"/>
      <c r="K141" s="1243"/>
      <c r="L141" s="1017"/>
      <c r="M141" s="1018">
        <f>ROUND(SUM(M138:M140),2)</f>
        <v>42.12</v>
      </c>
    </row>
    <row r="143" spans="1:13" s="933" customFormat="1" ht="18" customHeight="1" x14ac:dyDescent="0.2">
      <c r="A143" s="1242" t="s">
        <v>343</v>
      </c>
      <c r="B143" s="1126"/>
      <c r="C143" s="1559" t="s">
        <v>344</v>
      </c>
      <c r="D143" s="1560"/>
      <c r="E143" s="1560"/>
      <c r="F143" s="1560"/>
      <c r="G143" s="1560"/>
      <c r="H143" s="1560"/>
      <c r="I143" s="1560"/>
      <c r="J143" s="1560"/>
      <c r="K143" s="1560"/>
      <c r="L143" s="1561"/>
      <c r="M143" s="1127"/>
    </row>
    <row r="144" spans="1:13" ht="25.5" customHeight="1" x14ac:dyDescent="0.2">
      <c r="A144" s="1005" t="str">
        <f>ORÇ!A190</f>
        <v>12.3.2</v>
      </c>
      <c r="B144" s="1011" t="s">
        <v>335</v>
      </c>
      <c r="C144" s="1562" t="s">
        <v>2440</v>
      </c>
      <c r="D144" s="1562"/>
      <c r="E144" s="1562"/>
      <c r="F144" s="1562"/>
      <c r="G144" s="1562"/>
      <c r="H144" s="1562"/>
      <c r="I144" s="1562"/>
      <c r="J144" s="1562"/>
      <c r="K144" s="1562"/>
      <c r="L144" s="1562"/>
      <c r="M144" s="1562"/>
    </row>
    <row r="145" spans="1:13" ht="19.5" customHeight="1" x14ac:dyDescent="0.2">
      <c r="A145" s="1563" t="s">
        <v>347</v>
      </c>
      <c r="B145" s="1563"/>
      <c r="C145" s="1563"/>
      <c r="D145" s="1563"/>
      <c r="E145" s="1563"/>
      <c r="F145" s="1563"/>
      <c r="G145" s="1563"/>
      <c r="H145" s="1563"/>
      <c r="I145" s="1563"/>
      <c r="J145" s="1563"/>
      <c r="K145" s="1563"/>
      <c r="L145" s="1563"/>
      <c r="M145" s="1563"/>
    </row>
    <row r="146" spans="1:13" ht="18" customHeight="1" x14ac:dyDescent="0.2">
      <c r="A146" s="1008" t="s">
        <v>184</v>
      </c>
      <c r="B146" s="1008" t="s">
        <v>48</v>
      </c>
      <c r="C146" s="1564" t="s">
        <v>49</v>
      </c>
      <c r="D146" s="1565"/>
      <c r="E146" s="1565"/>
      <c r="F146" s="1565"/>
      <c r="G146" s="1565"/>
      <c r="H146" s="1565"/>
      <c r="I146" s="1566"/>
      <c r="J146" s="1008" t="s">
        <v>50</v>
      </c>
      <c r="K146" s="1008" t="s">
        <v>18</v>
      </c>
      <c r="L146" s="1009" t="s">
        <v>51</v>
      </c>
      <c r="M146" s="990" t="s">
        <v>47</v>
      </c>
    </row>
    <row r="147" spans="1:13" ht="33" customHeight="1" x14ac:dyDescent="0.2">
      <c r="A147" s="1567" t="str">
        <f>COTAÇÃO!A129</f>
        <v>COTAÇÃO 17</v>
      </c>
      <c r="B147" s="1568"/>
      <c r="C147" s="1569" t="str">
        <f>COTAÇÃO!A128</f>
        <v>CURVA HORIZONTAL 90° PARA ELETROCALHA TIPO "C" COM TAMPA, 100X50MM.</v>
      </c>
      <c r="D147" s="1570"/>
      <c r="E147" s="1570"/>
      <c r="F147" s="1570"/>
      <c r="G147" s="1570"/>
      <c r="H147" s="1570"/>
      <c r="I147" s="1571"/>
      <c r="J147" s="1011" t="s">
        <v>335</v>
      </c>
      <c r="K147" s="1012">
        <v>1</v>
      </c>
      <c r="L147" s="1013">
        <f>COTAÇÃO!E131</f>
        <v>32.713333333333331</v>
      </c>
      <c r="M147" s="1014">
        <f>ROUND(L147*K147,2)</f>
        <v>32.71</v>
      </c>
    </row>
    <row r="148" spans="1:13" ht="18" customHeight="1" x14ac:dyDescent="0.2">
      <c r="A148" s="320" t="s">
        <v>183</v>
      </c>
      <c r="B148" s="1010">
        <v>88247</v>
      </c>
      <c r="C148" s="1572" t="s">
        <v>387</v>
      </c>
      <c r="D148" s="1572"/>
      <c r="E148" s="1572"/>
      <c r="F148" s="1572"/>
      <c r="G148" s="1572"/>
      <c r="H148" s="1572"/>
      <c r="I148" s="1572"/>
      <c r="J148" s="1011" t="s">
        <v>158</v>
      </c>
      <c r="K148" s="1012">
        <v>0.08</v>
      </c>
      <c r="L148" s="1013">
        <v>17.04</v>
      </c>
      <c r="M148" s="1014">
        <f t="shared" ref="M148:M149" si="10">ROUND(L148*K148,2)</f>
        <v>1.36</v>
      </c>
    </row>
    <row r="149" spans="1:13" ht="18" customHeight="1" x14ac:dyDescent="0.2">
      <c r="A149" s="320" t="s">
        <v>183</v>
      </c>
      <c r="B149" s="1010">
        <v>88264</v>
      </c>
      <c r="C149" s="1572" t="s">
        <v>388</v>
      </c>
      <c r="D149" s="1572"/>
      <c r="E149" s="1572"/>
      <c r="F149" s="1572"/>
      <c r="G149" s="1572"/>
      <c r="H149" s="1572"/>
      <c r="I149" s="1572"/>
      <c r="J149" s="1011" t="s">
        <v>158</v>
      </c>
      <c r="K149" s="1012">
        <v>0.1</v>
      </c>
      <c r="L149" s="1013">
        <v>21.52</v>
      </c>
      <c r="M149" s="1014">
        <f t="shared" si="10"/>
        <v>2.15</v>
      </c>
    </row>
    <row r="150" spans="1:13" ht="15" x14ac:dyDescent="0.2">
      <c r="A150" s="1016"/>
      <c r="B150" s="1016"/>
      <c r="C150" s="1558" t="s">
        <v>389</v>
      </c>
      <c r="D150" s="1558"/>
      <c r="E150" s="1558"/>
      <c r="F150" s="1558"/>
      <c r="G150" s="1558"/>
      <c r="H150" s="1558"/>
      <c r="I150" s="1558"/>
      <c r="J150" s="1558"/>
      <c r="K150" s="1243"/>
      <c r="L150" s="1017"/>
      <c r="M150" s="1018">
        <f>ROUND(SUM(M147:M149),2)</f>
        <v>36.22</v>
      </c>
    </row>
    <row r="152" spans="1:13" s="933" customFormat="1" ht="18" customHeight="1" x14ac:dyDescent="0.2">
      <c r="A152" s="1242" t="s">
        <v>343</v>
      </c>
      <c r="B152" s="1126"/>
      <c r="C152" s="1559" t="s">
        <v>344</v>
      </c>
      <c r="D152" s="1560"/>
      <c r="E152" s="1560"/>
      <c r="F152" s="1560"/>
      <c r="G152" s="1560"/>
      <c r="H152" s="1560"/>
      <c r="I152" s="1560"/>
      <c r="J152" s="1560"/>
      <c r="K152" s="1560"/>
      <c r="L152" s="1561"/>
      <c r="M152" s="1127"/>
    </row>
    <row r="153" spans="1:13" ht="25.5" customHeight="1" x14ac:dyDescent="0.2">
      <c r="A153" s="1005" t="str">
        <f>ORÇ!A191</f>
        <v>12.3.3</v>
      </c>
      <c r="B153" s="1011" t="s">
        <v>335</v>
      </c>
      <c r="C153" s="1562" t="s">
        <v>2450</v>
      </c>
      <c r="D153" s="1562"/>
      <c r="E153" s="1562"/>
      <c r="F153" s="1562"/>
      <c r="G153" s="1562"/>
      <c r="H153" s="1562"/>
      <c r="I153" s="1562"/>
      <c r="J153" s="1562"/>
      <c r="K153" s="1562"/>
      <c r="L153" s="1562"/>
      <c r="M153" s="1562"/>
    </row>
    <row r="154" spans="1:13" ht="19.5" customHeight="1" x14ac:dyDescent="0.2">
      <c r="A154" s="1563" t="s">
        <v>359</v>
      </c>
      <c r="B154" s="1563"/>
      <c r="C154" s="1563"/>
      <c r="D154" s="1563"/>
      <c r="E154" s="1563"/>
      <c r="F154" s="1563"/>
      <c r="G154" s="1563"/>
      <c r="H154" s="1563"/>
      <c r="I154" s="1563"/>
      <c r="J154" s="1563"/>
      <c r="K154" s="1563"/>
      <c r="L154" s="1563"/>
      <c r="M154" s="1563"/>
    </row>
    <row r="155" spans="1:13" ht="18" customHeight="1" x14ac:dyDescent="0.2">
      <c r="A155" s="1008" t="s">
        <v>184</v>
      </c>
      <c r="B155" s="1008" t="s">
        <v>48</v>
      </c>
      <c r="C155" s="1564" t="s">
        <v>49</v>
      </c>
      <c r="D155" s="1565"/>
      <c r="E155" s="1565"/>
      <c r="F155" s="1565"/>
      <c r="G155" s="1565"/>
      <c r="H155" s="1565"/>
      <c r="I155" s="1566"/>
      <c r="J155" s="1008" t="s">
        <v>50</v>
      </c>
      <c r="K155" s="1008" t="s">
        <v>18</v>
      </c>
      <c r="L155" s="1009" t="s">
        <v>51</v>
      </c>
      <c r="M155" s="990" t="s">
        <v>47</v>
      </c>
    </row>
    <row r="156" spans="1:13" ht="33" customHeight="1" x14ac:dyDescent="0.2">
      <c r="A156" s="1567" t="str">
        <f>COTAÇÃO!A136</f>
        <v>COTAÇÃO 18</v>
      </c>
      <c r="B156" s="1568"/>
      <c r="C156" s="1569" t="str">
        <f>COTAÇÃO!A135</f>
        <v>CURVA VERTICAL INTERNA 90° PARA ELETROCALHA TIPO "C" COM TAMPA, 100X50MM.</v>
      </c>
      <c r="D156" s="1570"/>
      <c r="E156" s="1570"/>
      <c r="F156" s="1570"/>
      <c r="G156" s="1570"/>
      <c r="H156" s="1570"/>
      <c r="I156" s="1571"/>
      <c r="J156" s="1011" t="s">
        <v>335</v>
      </c>
      <c r="K156" s="1012">
        <v>1</v>
      </c>
      <c r="L156" s="1013">
        <f>COTAÇÃO!E138</f>
        <v>40.306666666666665</v>
      </c>
      <c r="M156" s="1014">
        <f>ROUND(L156*K156,2)</f>
        <v>40.31</v>
      </c>
    </row>
    <row r="157" spans="1:13" ht="18" customHeight="1" x14ac:dyDescent="0.2">
      <c r="A157" s="320" t="s">
        <v>183</v>
      </c>
      <c r="B157" s="1010">
        <v>88247</v>
      </c>
      <c r="C157" s="1572" t="s">
        <v>387</v>
      </c>
      <c r="D157" s="1572"/>
      <c r="E157" s="1572"/>
      <c r="F157" s="1572"/>
      <c r="G157" s="1572"/>
      <c r="H157" s="1572"/>
      <c r="I157" s="1572"/>
      <c r="J157" s="1011" t="s">
        <v>158</v>
      </c>
      <c r="K157" s="1012">
        <v>0.08</v>
      </c>
      <c r="L157" s="1013">
        <v>17.04</v>
      </c>
      <c r="M157" s="1014">
        <f t="shared" ref="M157:M158" si="11">ROUND(L157*K157,2)</f>
        <v>1.36</v>
      </c>
    </row>
    <row r="158" spans="1:13" ht="18" customHeight="1" x14ac:dyDescent="0.2">
      <c r="A158" s="320" t="s">
        <v>183</v>
      </c>
      <c r="B158" s="1010">
        <v>88264</v>
      </c>
      <c r="C158" s="1572" t="s">
        <v>388</v>
      </c>
      <c r="D158" s="1572"/>
      <c r="E158" s="1572"/>
      <c r="F158" s="1572"/>
      <c r="G158" s="1572"/>
      <c r="H158" s="1572"/>
      <c r="I158" s="1572"/>
      <c r="J158" s="1011" t="s">
        <v>158</v>
      </c>
      <c r="K158" s="1012">
        <v>0.1</v>
      </c>
      <c r="L158" s="1013">
        <v>21.52</v>
      </c>
      <c r="M158" s="1014">
        <f t="shared" si="11"/>
        <v>2.15</v>
      </c>
    </row>
    <row r="159" spans="1:13" ht="15" x14ac:dyDescent="0.2">
      <c r="A159" s="1016"/>
      <c r="B159" s="1016"/>
      <c r="C159" s="1558" t="s">
        <v>389</v>
      </c>
      <c r="D159" s="1558"/>
      <c r="E159" s="1558"/>
      <c r="F159" s="1558"/>
      <c r="G159" s="1558"/>
      <c r="H159" s="1558"/>
      <c r="I159" s="1558"/>
      <c r="J159" s="1558"/>
      <c r="K159" s="1243"/>
      <c r="L159" s="1017"/>
      <c r="M159" s="1018">
        <f>ROUND(SUM(M156:M158),2)</f>
        <v>43.82</v>
      </c>
    </row>
    <row r="161" spans="1:13" s="933" customFormat="1" ht="18" customHeight="1" x14ac:dyDescent="0.2">
      <c r="A161" s="1242" t="s">
        <v>343</v>
      </c>
      <c r="B161" s="1126"/>
      <c r="C161" s="1559" t="s">
        <v>344</v>
      </c>
      <c r="D161" s="1560"/>
      <c r="E161" s="1560"/>
      <c r="F161" s="1560"/>
      <c r="G161" s="1560"/>
      <c r="H161" s="1560"/>
      <c r="I161" s="1560"/>
      <c r="J161" s="1560"/>
      <c r="K161" s="1560"/>
      <c r="L161" s="1561"/>
      <c r="M161" s="1127"/>
    </row>
    <row r="162" spans="1:13" ht="31.5" customHeight="1" x14ac:dyDescent="0.2">
      <c r="A162" s="1005" t="str">
        <f>ORÇ!A192</f>
        <v>12.3.4</v>
      </c>
      <c r="B162" s="1011" t="s">
        <v>335</v>
      </c>
      <c r="C162" s="1562" t="s">
        <v>2457</v>
      </c>
      <c r="D162" s="1562"/>
      <c r="E162" s="1562"/>
      <c r="F162" s="1562"/>
      <c r="G162" s="1562"/>
      <c r="H162" s="1562"/>
      <c r="I162" s="1562"/>
      <c r="J162" s="1562"/>
      <c r="K162" s="1562"/>
      <c r="L162" s="1562"/>
      <c r="M162" s="1562"/>
    </row>
    <row r="163" spans="1:13" ht="19.5" customHeight="1" x14ac:dyDescent="0.2">
      <c r="A163" s="1563" t="s">
        <v>390</v>
      </c>
      <c r="B163" s="1563"/>
      <c r="C163" s="1563"/>
      <c r="D163" s="1563"/>
      <c r="E163" s="1563"/>
      <c r="F163" s="1563"/>
      <c r="G163" s="1563"/>
      <c r="H163" s="1563"/>
      <c r="I163" s="1563"/>
      <c r="J163" s="1563"/>
      <c r="K163" s="1563"/>
      <c r="L163" s="1563"/>
      <c r="M163" s="1563"/>
    </row>
    <row r="164" spans="1:13" ht="18" customHeight="1" x14ac:dyDescent="0.2">
      <c r="A164" s="1008" t="s">
        <v>184</v>
      </c>
      <c r="B164" s="1008" t="s">
        <v>48</v>
      </c>
      <c r="C164" s="1564" t="s">
        <v>49</v>
      </c>
      <c r="D164" s="1565"/>
      <c r="E164" s="1565"/>
      <c r="F164" s="1565"/>
      <c r="G164" s="1565"/>
      <c r="H164" s="1565"/>
      <c r="I164" s="1566"/>
      <c r="J164" s="1008" t="s">
        <v>50</v>
      </c>
      <c r="K164" s="1008" t="s">
        <v>18</v>
      </c>
      <c r="L164" s="1009" t="s">
        <v>51</v>
      </c>
      <c r="M164" s="990" t="s">
        <v>47</v>
      </c>
    </row>
    <row r="165" spans="1:13" ht="33" customHeight="1" x14ac:dyDescent="0.2">
      <c r="A165" s="1567" t="str">
        <f>COTAÇÃO!A143</f>
        <v>COTAÇÃO 19</v>
      </c>
      <c r="B165" s="1568"/>
      <c r="C165" s="1569" t="str">
        <f>COTAÇÃO!A142</f>
        <v>CURVA VERTICAL EXTERNA 90° PARA ELETROCALHA TIPO "C" COM TAMPA, 100X50MM.</v>
      </c>
      <c r="D165" s="1570"/>
      <c r="E165" s="1570"/>
      <c r="F165" s="1570"/>
      <c r="G165" s="1570"/>
      <c r="H165" s="1570"/>
      <c r="I165" s="1571"/>
      <c r="J165" s="1011" t="s">
        <v>335</v>
      </c>
      <c r="K165" s="1012">
        <v>1</v>
      </c>
      <c r="L165" s="1013">
        <f>COTAÇÃO!E145</f>
        <v>31.593333333333334</v>
      </c>
      <c r="M165" s="1014">
        <f>ROUND(L165*K165,2)</f>
        <v>31.59</v>
      </c>
    </row>
    <row r="166" spans="1:13" ht="18" customHeight="1" x14ac:dyDescent="0.2">
      <c r="A166" s="320" t="s">
        <v>183</v>
      </c>
      <c r="B166" s="1010">
        <v>88247</v>
      </c>
      <c r="C166" s="1572" t="s">
        <v>387</v>
      </c>
      <c r="D166" s="1572"/>
      <c r="E166" s="1572"/>
      <c r="F166" s="1572"/>
      <c r="G166" s="1572"/>
      <c r="H166" s="1572"/>
      <c r="I166" s="1572"/>
      <c r="J166" s="1011" t="s">
        <v>158</v>
      </c>
      <c r="K166" s="1012">
        <v>0.08</v>
      </c>
      <c r="L166" s="1013">
        <v>17.04</v>
      </c>
      <c r="M166" s="1014">
        <f t="shared" ref="M166:M167" si="12">ROUND(L166*K166,2)</f>
        <v>1.36</v>
      </c>
    </row>
    <row r="167" spans="1:13" ht="18" customHeight="1" x14ac:dyDescent="0.2">
      <c r="A167" s="320" t="s">
        <v>183</v>
      </c>
      <c r="B167" s="1010">
        <v>88264</v>
      </c>
      <c r="C167" s="1572" t="s">
        <v>388</v>
      </c>
      <c r="D167" s="1572"/>
      <c r="E167" s="1572"/>
      <c r="F167" s="1572"/>
      <c r="G167" s="1572"/>
      <c r="H167" s="1572"/>
      <c r="I167" s="1572"/>
      <c r="J167" s="1011" t="s">
        <v>158</v>
      </c>
      <c r="K167" s="1012">
        <v>0.1</v>
      </c>
      <c r="L167" s="1013">
        <v>21.52</v>
      </c>
      <c r="M167" s="1014">
        <f t="shared" si="12"/>
        <v>2.15</v>
      </c>
    </row>
    <row r="168" spans="1:13" ht="15" x14ac:dyDescent="0.2">
      <c r="A168" s="1016"/>
      <c r="B168" s="1016"/>
      <c r="C168" s="1558" t="s">
        <v>389</v>
      </c>
      <c r="D168" s="1558"/>
      <c r="E168" s="1558"/>
      <c r="F168" s="1558"/>
      <c r="G168" s="1558"/>
      <c r="H168" s="1558"/>
      <c r="I168" s="1558"/>
      <c r="J168" s="1558"/>
      <c r="K168" s="1243"/>
      <c r="L168" s="1017"/>
      <c r="M168" s="1018">
        <f>ROUND(SUM(M165:M167),2)</f>
        <v>35.1</v>
      </c>
    </row>
    <row r="170" spans="1:13" s="933" customFormat="1" ht="18" customHeight="1" x14ac:dyDescent="0.2">
      <c r="A170" s="1242" t="s">
        <v>343</v>
      </c>
      <c r="B170" s="1126"/>
      <c r="C170" s="1559" t="s">
        <v>344</v>
      </c>
      <c r="D170" s="1560"/>
      <c r="E170" s="1560"/>
      <c r="F170" s="1560"/>
      <c r="G170" s="1560"/>
      <c r="H170" s="1560"/>
      <c r="I170" s="1560"/>
      <c r="J170" s="1560"/>
      <c r="K170" s="1560"/>
      <c r="L170" s="1561"/>
      <c r="M170" s="1127"/>
    </row>
    <row r="171" spans="1:13" ht="25.5" customHeight="1" x14ac:dyDescent="0.2">
      <c r="A171" s="1005" t="str">
        <f>ORÇ!A193</f>
        <v>12.3.5</v>
      </c>
      <c r="B171" s="1011" t="s">
        <v>335</v>
      </c>
      <c r="C171" s="1562" t="s">
        <v>2465</v>
      </c>
      <c r="D171" s="1562"/>
      <c r="E171" s="1562"/>
      <c r="F171" s="1562"/>
      <c r="G171" s="1562"/>
      <c r="H171" s="1562"/>
      <c r="I171" s="1562"/>
      <c r="J171" s="1562"/>
      <c r="K171" s="1562"/>
      <c r="L171" s="1562"/>
      <c r="M171" s="1562"/>
    </row>
    <row r="172" spans="1:13" ht="19.5" customHeight="1" x14ac:dyDescent="0.2">
      <c r="A172" s="1563" t="s">
        <v>1231</v>
      </c>
      <c r="B172" s="1563"/>
      <c r="C172" s="1563"/>
      <c r="D172" s="1563"/>
      <c r="E172" s="1563"/>
      <c r="F172" s="1563"/>
      <c r="G172" s="1563"/>
      <c r="H172" s="1563"/>
      <c r="I172" s="1563"/>
      <c r="J172" s="1563"/>
      <c r="K172" s="1563"/>
      <c r="L172" s="1563"/>
      <c r="M172" s="1563"/>
    </row>
    <row r="173" spans="1:13" ht="18" customHeight="1" x14ac:dyDescent="0.2">
      <c r="A173" s="1008" t="s">
        <v>184</v>
      </c>
      <c r="B173" s="1008" t="s">
        <v>48</v>
      </c>
      <c r="C173" s="1564" t="s">
        <v>49</v>
      </c>
      <c r="D173" s="1565"/>
      <c r="E173" s="1565"/>
      <c r="F173" s="1565"/>
      <c r="G173" s="1565"/>
      <c r="H173" s="1565"/>
      <c r="I173" s="1566"/>
      <c r="J173" s="1008" t="s">
        <v>50</v>
      </c>
      <c r="K173" s="1008" t="s">
        <v>18</v>
      </c>
      <c r="L173" s="1009" t="s">
        <v>51</v>
      </c>
      <c r="M173" s="990" t="s">
        <v>47</v>
      </c>
    </row>
    <row r="174" spans="1:13" ht="33" customHeight="1" x14ac:dyDescent="0.2">
      <c r="A174" s="1567" t="str">
        <f>COTAÇÃO!A150</f>
        <v>COTAÇÃO 20</v>
      </c>
      <c r="B174" s="1568"/>
      <c r="C174" s="1569" t="str">
        <f>COTAÇÃO!A149</f>
        <v>TÊ HORIZONTAL 90° PARA ELETROCALHA TIPO "C" COM TAMPA, 100X50MM.</v>
      </c>
      <c r="D174" s="1570"/>
      <c r="E174" s="1570"/>
      <c r="F174" s="1570"/>
      <c r="G174" s="1570"/>
      <c r="H174" s="1570"/>
      <c r="I174" s="1571"/>
      <c r="J174" s="1011" t="s">
        <v>335</v>
      </c>
      <c r="K174" s="1012">
        <v>1</v>
      </c>
      <c r="L174" s="1013">
        <f>COTAÇÃO!E152</f>
        <v>57.043333333333329</v>
      </c>
      <c r="M174" s="1014">
        <f>ROUND(L174*K174,2)</f>
        <v>57.04</v>
      </c>
    </row>
    <row r="175" spans="1:13" ht="18" customHeight="1" x14ac:dyDescent="0.2">
      <c r="A175" s="320" t="s">
        <v>183</v>
      </c>
      <c r="B175" s="1010">
        <v>88247</v>
      </c>
      <c r="C175" s="1572" t="s">
        <v>387</v>
      </c>
      <c r="D175" s="1572"/>
      <c r="E175" s="1572"/>
      <c r="F175" s="1572"/>
      <c r="G175" s="1572"/>
      <c r="H175" s="1572"/>
      <c r="I175" s="1572"/>
      <c r="J175" s="1011" t="s">
        <v>158</v>
      </c>
      <c r="K175" s="1012">
        <v>0.08</v>
      </c>
      <c r="L175" s="1013">
        <v>17.04</v>
      </c>
      <c r="M175" s="1014">
        <f t="shared" ref="M175:M176" si="13">ROUND(L175*K175,2)</f>
        <v>1.36</v>
      </c>
    </row>
    <row r="176" spans="1:13" ht="18" customHeight="1" x14ac:dyDescent="0.2">
      <c r="A176" s="320" t="s">
        <v>183</v>
      </c>
      <c r="B176" s="1010">
        <v>88264</v>
      </c>
      <c r="C176" s="1572" t="s">
        <v>388</v>
      </c>
      <c r="D176" s="1572"/>
      <c r="E176" s="1572"/>
      <c r="F176" s="1572"/>
      <c r="G176" s="1572"/>
      <c r="H176" s="1572"/>
      <c r="I176" s="1572"/>
      <c r="J176" s="1011" t="s">
        <v>158</v>
      </c>
      <c r="K176" s="1012">
        <v>0.1</v>
      </c>
      <c r="L176" s="1013">
        <v>21.52</v>
      </c>
      <c r="M176" s="1014">
        <f t="shared" si="13"/>
        <v>2.15</v>
      </c>
    </row>
    <row r="177" spans="1:13" ht="15" x14ac:dyDescent="0.2">
      <c r="A177" s="1016"/>
      <c r="B177" s="1016"/>
      <c r="C177" s="1558" t="s">
        <v>389</v>
      </c>
      <c r="D177" s="1558"/>
      <c r="E177" s="1558"/>
      <c r="F177" s="1558"/>
      <c r="G177" s="1558"/>
      <c r="H177" s="1558"/>
      <c r="I177" s="1558"/>
      <c r="J177" s="1558"/>
      <c r="K177" s="1243"/>
      <c r="L177" s="1017"/>
      <c r="M177" s="1018">
        <f>ROUND(SUM(M174:M176),2)</f>
        <v>60.55</v>
      </c>
    </row>
    <row r="179" spans="1:13" s="933" customFormat="1" ht="18" customHeight="1" x14ac:dyDescent="0.2">
      <c r="A179" s="1242" t="s">
        <v>343</v>
      </c>
      <c r="B179" s="1126"/>
      <c r="C179" s="1559" t="s">
        <v>344</v>
      </c>
      <c r="D179" s="1560"/>
      <c r="E179" s="1560"/>
      <c r="F179" s="1560"/>
      <c r="G179" s="1560"/>
      <c r="H179" s="1560"/>
      <c r="I179" s="1560"/>
      <c r="J179" s="1560"/>
      <c r="K179" s="1560"/>
      <c r="L179" s="1561"/>
      <c r="M179" s="1127"/>
    </row>
    <row r="180" spans="1:13" ht="25.5" customHeight="1" x14ac:dyDescent="0.2">
      <c r="A180" s="1005" t="str">
        <f>ORÇ!A194</f>
        <v>12.3.6</v>
      </c>
      <c r="B180" s="1011" t="s">
        <v>335</v>
      </c>
      <c r="C180" s="1562" t="s">
        <v>2468</v>
      </c>
      <c r="D180" s="1562"/>
      <c r="E180" s="1562"/>
      <c r="F180" s="1562"/>
      <c r="G180" s="1562"/>
      <c r="H180" s="1562"/>
      <c r="I180" s="1562"/>
      <c r="J180" s="1562"/>
      <c r="K180" s="1562"/>
      <c r="L180" s="1562"/>
      <c r="M180" s="1562"/>
    </row>
    <row r="181" spans="1:13" ht="19.5" customHeight="1" x14ac:dyDescent="0.2">
      <c r="A181" s="1563" t="s">
        <v>1232</v>
      </c>
      <c r="B181" s="1563"/>
      <c r="C181" s="1563"/>
      <c r="D181" s="1563"/>
      <c r="E181" s="1563"/>
      <c r="F181" s="1563"/>
      <c r="G181" s="1563"/>
      <c r="H181" s="1563"/>
      <c r="I181" s="1563"/>
      <c r="J181" s="1563"/>
      <c r="K181" s="1563"/>
      <c r="L181" s="1563"/>
      <c r="M181" s="1563"/>
    </row>
    <row r="182" spans="1:13" ht="18" customHeight="1" x14ac:dyDescent="0.2">
      <c r="A182" s="1008" t="s">
        <v>184</v>
      </c>
      <c r="B182" s="1008" t="s">
        <v>48</v>
      </c>
      <c r="C182" s="1564" t="s">
        <v>49</v>
      </c>
      <c r="D182" s="1565"/>
      <c r="E182" s="1565"/>
      <c r="F182" s="1565"/>
      <c r="G182" s="1565"/>
      <c r="H182" s="1565"/>
      <c r="I182" s="1566"/>
      <c r="J182" s="1008" t="s">
        <v>50</v>
      </c>
      <c r="K182" s="1008" t="s">
        <v>18</v>
      </c>
      <c r="L182" s="1009" t="s">
        <v>51</v>
      </c>
      <c r="M182" s="990" t="s">
        <v>47</v>
      </c>
    </row>
    <row r="183" spans="1:13" ht="19.149999999999999" customHeight="1" x14ac:dyDescent="0.2">
      <c r="A183" s="1567" t="str">
        <f>COTAÇÃO!A157</f>
        <v>COTAÇÃO 21</v>
      </c>
      <c r="B183" s="1568"/>
      <c r="C183" s="1569" t="str">
        <f>COTAÇÃO!A156</f>
        <v>EMENDA INTERNA PARA ELETROCALHA TIPO "C", 100X50MM.</v>
      </c>
      <c r="D183" s="1570"/>
      <c r="E183" s="1570"/>
      <c r="F183" s="1570"/>
      <c r="G183" s="1570"/>
      <c r="H183" s="1570"/>
      <c r="I183" s="1571"/>
      <c r="J183" s="1011" t="s">
        <v>335</v>
      </c>
      <c r="K183" s="1012">
        <v>1</v>
      </c>
      <c r="L183" s="1013">
        <f>COTAÇÃO!E159</f>
        <v>7.9266666666666659</v>
      </c>
      <c r="M183" s="1014">
        <f>ROUND(L183*K183,2)</f>
        <v>7.93</v>
      </c>
    </row>
    <row r="184" spans="1:13" ht="18" customHeight="1" x14ac:dyDescent="0.2">
      <c r="A184" s="320" t="s">
        <v>183</v>
      </c>
      <c r="B184" s="1010">
        <v>88247</v>
      </c>
      <c r="C184" s="1572" t="s">
        <v>387</v>
      </c>
      <c r="D184" s="1572"/>
      <c r="E184" s="1572"/>
      <c r="F184" s="1572"/>
      <c r="G184" s="1572"/>
      <c r="H184" s="1572"/>
      <c r="I184" s="1572"/>
      <c r="J184" s="1011" t="s">
        <v>158</v>
      </c>
      <c r="K184" s="1012">
        <v>0.08</v>
      </c>
      <c r="L184" s="1013">
        <v>17.04</v>
      </c>
      <c r="M184" s="1014">
        <f t="shared" ref="M184:M185" si="14">ROUND(L184*K184,2)</f>
        <v>1.36</v>
      </c>
    </row>
    <row r="185" spans="1:13" ht="18" customHeight="1" x14ac:dyDescent="0.2">
      <c r="A185" s="320" t="s">
        <v>183</v>
      </c>
      <c r="B185" s="1010">
        <v>88264</v>
      </c>
      <c r="C185" s="1572" t="s">
        <v>388</v>
      </c>
      <c r="D185" s="1572"/>
      <c r="E185" s="1572"/>
      <c r="F185" s="1572"/>
      <c r="G185" s="1572"/>
      <c r="H185" s="1572"/>
      <c r="I185" s="1572"/>
      <c r="J185" s="1011" t="s">
        <v>158</v>
      </c>
      <c r="K185" s="1012">
        <v>0.1</v>
      </c>
      <c r="L185" s="1013">
        <v>21.52</v>
      </c>
      <c r="M185" s="1014">
        <f t="shared" si="14"/>
        <v>2.15</v>
      </c>
    </row>
    <row r="186" spans="1:13" ht="15" x14ac:dyDescent="0.2">
      <c r="A186" s="1016"/>
      <c r="B186" s="1016"/>
      <c r="C186" s="1558" t="s">
        <v>389</v>
      </c>
      <c r="D186" s="1558"/>
      <c r="E186" s="1558"/>
      <c r="F186" s="1558"/>
      <c r="G186" s="1558"/>
      <c r="H186" s="1558"/>
      <c r="I186" s="1558"/>
      <c r="J186" s="1558"/>
      <c r="K186" s="1243"/>
      <c r="L186" s="1017"/>
      <c r="M186" s="1018">
        <f>ROUND(SUM(M183:M185),2)</f>
        <v>11.44</v>
      </c>
    </row>
    <row r="188" spans="1:13" s="933" customFormat="1" ht="18" customHeight="1" x14ac:dyDescent="0.2">
      <c r="A188" s="1242" t="s">
        <v>343</v>
      </c>
      <c r="B188" s="1126"/>
      <c r="C188" s="1559" t="s">
        <v>344</v>
      </c>
      <c r="D188" s="1560"/>
      <c r="E188" s="1560"/>
      <c r="F188" s="1560"/>
      <c r="G188" s="1560"/>
      <c r="H188" s="1560"/>
      <c r="I188" s="1560"/>
      <c r="J188" s="1560"/>
      <c r="K188" s="1560"/>
      <c r="L188" s="1561"/>
      <c r="M188" s="1127"/>
    </row>
    <row r="189" spans="1:13" ht="25.5" customHeight="1" x14ac:dyDescent="0.2">
      <c r="A189" s="1005" t="str">
        <f>ORÇ!A195</f>
        <v>12.3.7</v>
      </c>
      <c r="B189" s="1011" t="s">
        <v>335</v>
      </c>
      <c r="C189" s="1562" t="s">
        <v>2474</v>
      </c>
      <c r="D189" s="1562"/>
      <c r="E189" s="1562"/>
      <c r="F189" s="1562"/>
      <c r="G189" s="1562"/>
      <c r="H189" s="1562"/>
      <c r="I189" s="1562"/>
      <c r="J189" s="1562"/>
      <c r="K189" s="1562"/>
      <c r="L189" s="1562"/>
      <c r="M189" s="1562"/>
    </row>
    <row r="190" spans="1:13" ht="19.5" customHeight="1" x14ac:dyDescent="0.2">
      <c r="A190" s="1563" t="s">
        <v>1233</v>
      </c>
      <c r="B190" s="1563"/>
      <c r="C190" s="1563"/>
      <c r="D190" s="1563"/>
      <c r="E190" s="1563"/>
      <c r="F190" s="1563"/>
      <c r="G190" s="1563"/>
      <c r="H190" s="1563"/>
      <c r="I190" s="1563"/>
      <c r="J190" s="1563"/>
      <c r="K190" s="1563"/>
      <c r="L190" s="1563"/>
      <c r="M190" s="1563"/>
    </row>
    <row r="191" spans="1:13" ht="18" customHeight="1" x14ac:dyDescent="0.2">
      <c r="A191" s="1008" t="s">
        <v>184</v>
      </c>
      <c r="B191" s="1008" t="s">
        <v>48</v>
      </c>
      <c r="C191" s="1564" t="s">
        <v>49</v>
      </c>
      <c r="D191" s="1565"/>
      <c r="E191" s="1565"/>
      <c r="F191" s="1565"/>
      <c r="G191" s="1565"/>
      <c r="H191" s="1565"/>
      <c r="I191" s="1566"/>
      <c r="J191" s="1008" t="s">
        <v>50</v>
      </c>
      <c r="K191" s="1008" t="s">
        <v>18</v>
      </c>
      <c r="L191" s="1009" t="s">
        <v>51</v>
      </c>
      <c r="M191" s="990" t="s">
        <v>47</v>
      </c>
    </row>
    <row r="192" spans="1:13" ht="19.149999999999999" customHeight="1" x14ac:dyDescent="0.2">
      <c r="A192" s="1567" t="str">
        <f>COTAÇÃO!A164</f>
        <v>COTAÇÃO 22</v>
      </c>
      <c r="B192" s="1568"/>
      <c r="C192" s="1569" t="str">
        <f>COTAÇÃO!A163</f>
        <v>SAÍDA HORIZONTAL P/ ELETRODUTO Ø1", EM ELETROCALHA.</v>
      </c>
      <c r="D192" s="1570"/>
      <c r="E192" s="1570"/>
      <c r="F192" s="1570"/>
      <c r="G192" s="1570"/>
      <c r="H192" s="1570"/>
      <c r="I192" s="1571"/>
      <c r="J192" s="1011" t="s">
        <v>335</v>
      </c>
      <c r="K192" s="1012">
        <v>1</v>
      </c>
      <c r="L192" s="1013">
        <f>COTAÇÃO!E166</f>
        <v>3.9499999999999997</v>
      </c>
      <c r="M192" s="1014">
        <f>ROUND(L192*K192,2)</f>
        <v>3.95</v>
      </c>
    </row>
    <row r="193" spans="1:13" ht="18" customHeight="1" x14ac:dyDescent="0.2">
      <c r="A193" s="320" t="s">
        <v>183</v>
      </c>
      <c r="B193" s="1010">
        <v>88247</v>
      </c>
      <c r="C193" s="1572" t="s">
        <v>387</v>
      </c>
      <c r="D193" s="1572"/>
      <c r="E193" s="1572"/>
      <c r="F193" s="1572"/>
      <c r="G193" s="1572"/>
      <c r="H193" s="1572"/>
      <c r="I193" s="1572"/>
      <c r="J193" s="1011" t="s">
        <v>158</v>
      </c>
      <c r="K193" s="1012">
        <v>0.08</v>
      </c>
      <c r="L193" s="1013">
        <v>17.04</v>
      </c>
      <c r="M193" s="1014">
        <f t="shared" ref="M193:M194" si="15">ROUND(L193*K193,2)</f>
        <v>1.36</v>
      </c>
    </row>
    <row r="194" spans="1:13" ht="18" customHeight="1" x14ac:dyDescent="0.2">
      <c r="A194" s="320" t="s">
        <v>183</v>
      </c>
      <c r="B194" s="1010">
        <v>88264</v>
      </c>
      <c r="C194" s="1572" t="s">
        <v>388</v>
      </c>
      <c r="D194" s="1572"/>
      <c r="E194" s="1572"/>
      <c r="F194" s="1572"/>
      <c r="G194" s="1572"/>
      <c r="H194" s="1572"/>
      <c r="I194" s="1572"/>
      <c r="J194" s="1011" t="s">
        <v>158</v>
      </c>
      <c r="K194" s="1012">
        <v>0.1</v>
      </c>
      <c r="L194" s="1013">
        <v>21.52</v>
      </c>
      <c r="M194" s="1014">
        <f t="shared" si="15"/>
        <v>2.15</v>
      </c>
    </row>
    <row r="195" spans="1:13" ht="15" x14ac:dyDescent="0.2">
      <c r="A195" s="1016"/>
      <c r="B195" s="1016"/>
      <c r="C195" s="1558" t="s">
        <v>389</v>
      </c>
      <c r="D195" s="1558"/>
      <c r="E195" s="1558"/>
      <c r="F195" s="1558"/>
      <c r="G195" s="1558"/>
      <c r="H195" s="1558"/>
      <c r="I195" s="1558"/>
      <c r="J195" s="1558"/>
      <c r="K195" s="1243"/>
      <c r="L195" s="1017"/>
      <c r="M195" s="1018">
        <f>ROUND(SUM(M192:M194),2)</f>
        <v>7.46</v>
      </c>
    </row>
    <row r="197" spans="1:13" s="933" customFormat="1" ht="18" customHeight="1" x14ac:dyDescent="0.2">
      <c r="A197" s="1242" t="s">
        <v>343</v>
      </c>
      <c r="B197" s="1126"/>
      <c r="C197" s="1559" t="s">
        <v>344</v>
      </c>
      <c r="D197" s="1560"/>
      <c r="E197" s="1560"/>
      <c r="F197" s="1560"/>
      <c r="G197" s="1560"/>
      <c r="H197" s="1560"/>
      <c r="I197" s="1560"/>
      <c r="J197" s="1560"/>
      <c r="K197" s="1560"/>
      <c r="L197" s="1561"/>
      <c r="M197" s="1127"/>
    </row>
    <row r="198" spans="1:13" ht="25.5" customHeight="1" x14ac:dyDescent="0.2">
      <c r="A198" s="1005" t="str">
        <f>ORÇ!A196</f>
        <v>12.3.8</v>
      </c>
      <c r="B198" s="1011" t="s">
        <v>335</v>
      </c>
      <c r="C198" s="1562" t="s">
        <v>2480</v>
      </c>
      <c r="D198" s="1562"/>
      <c r="E198" s="1562"/>
      <c r="F198" s="1562"/>
      <c r="G198" s="1562"/>
      <c r="H198" s="1562"/>
      <c r="I198" s="1562"/>
      <c r="J198" s="1562"/>
      <c r="K198" s="1562"/>
      <c r="L198" s="1562"/>
      <c r="M198" s="1562"/>
    </row>
    <row r="199" spans="1:13" ht="19.5" customHeight="1" x14ac:dyDescent="0.2">
      <c r="A199" s="1563" t="s">
        <v>1234</v>
      </c>
      <c r="B199" s="1563"/>
      <c r="C199" s="1563"/>
      <c r="D199" s="1563"/>
      <c r="E199" s="1563"/>
      <c r="F199" s="1563"/>
      <c r="G199" s="1563"/>
      <c r="H199" s="1563"/>
      <c r="I199" s="1563"/>
      <c r="J199" s="1563"/>
      <c r="K199" s="1563"/>
      <c r="L199" s="1563"/>
      <c r="M199" s="1563"/>
    </row>
    <row r="200" spans="1:13" ht="18" customHeight="1" x14ac:dyDescent="0.2">
      <c r="A200" s="1008" t="s">
        <v>184</v>
      </c>
      <c r="B200" s="1008" t="s">
        <v>48</v>
      </c>
      <c r="C200" s="1564" t="s">
        <v>49</v>
      </c>
      <c r="D200" s="1565"/>
      <c r="E200" s="1565"/>
      <c r="F200" s="1565"/>
      <c r="G200" s="1565"/>
      <c r="H200" s="1565"/>
      <c r="I200" s="1566"/>
      <c r="J200" s="1008" t="s">
        <v>50</v>
      </c>
      <c r="K200" s="1008" t="s">
        <v>18</v>
      </c>
      <c r="L200" s="1009" t="s">
        <v>51</v>
      </c>
      <c r="M200" s="990" t="s">
        <v>47</v>
      </c>
    </row>
    <row r="201" spans="1:13" ht="19.149999999999999" customHeight="1" x14ac:dyDescent="0.2">
      <c r="A201" s="1567" t="str">
        <f>COTAÇÃO!A171</f>
        <v>COTAÇÃO 23</v>
      </c>
      <c r="B201" s="1568"/>
      <c r="C201" s="1569" t="str">
        <f>COTAÇÃO!A170</f>
        <v>SAÍDA HORIZONTAL P/ ELETRODUTO Ø3/4", EM ELETROCALHA.</v>
      </c>
      <c r="D201" s="1570"/>
      <c r="E201" s="1570"/>
      <c r="F201" s="1570"/>
      <c r="G201" s="1570"/>
      <c r="H201" s="1570"/>
      <c r="I201" s="1571"/>
      <c r="J201" s="1011" t="s">
        <v>335</v>
      </c>
      <c r="K201" s="1012">
        <v>1</v>
      </c>
      <c r="L201" s="1013">
        <f>COTAÇÃO!E173</f>
        <v>6.580000000000001</v>
      </c>
      <c r="M201" s="1014">
        <f>ROUND(L201*K201,2)</f>
        <v>6.58</v>
      </c>
    </row>
    <row r="202" spans="1:13" ht="18" customHeight="1" x14ac:dyDescent="0.2">
      <c r="A202" s="320" t="s">
        <v>183</v>
      </c>
      <c r="B202" s="1010">
        <v>88247</v>
      </c>
      <c r="C202" s="1572" t="s">
        <v>387</v>
      </c>
      <c r="D202" s="1572"/>
      <c r="E202" s="1572"/>
      <c r="F202" s="1572"/>
      <c r="G202" s="1572"/>
      <c r="H202" s="1572"/>
      <c r="I202" s="1572"/>
      <c r="J202" s="1011" t="s">
        <v>158</v>
      </c>
      <c r="K202" s="1012">
        <v>0.08</v>
      </c>
      <c r="L202" s="1013">
        <v>17.04</v>
      </c>
      <c r="M202" s="1014">
        <f t="shared" ref="M202:M203" si="16">ROUND(L202*K202,2)</f>
        <v>1.36</v>
      </c>
    </row>
    <row r="203" spans="1:13" ht="18" customHeight="1" x14ac:dyDescent="0.2">
      <c r="A203" s="320" t="s">
        <v>183</v>
      </c>
      <c r="B203" s="1010">
        <v>88264</v>
      </c>
      <c r="C203" s="1572" t="s">
        <v>388</v>
      </c>
      <c r="D203" s="1572"/>
      <c r="E203" s="1572"/>
      <c r="F203" s="1572"/>
      <c r="G203" s="1572"/>
      <c r="H203" s="1572"/>
      <c r="I203" s="1572"/>
      <c r="J203" s="1011" t="s">
        <v>158</v>
      </c>
      <c r="K203" s="1012">
        <v>0.1</v>
      </c>
      <c r="L203" s="1013">
        <v>21.52</v>
      </c>
      <c r="M203" s="1014">
        <f t="shared" si="16"/>
        <v>2.15</v>
      </c>
    </row>
    <row r="204" spans="1:13" ht="15" x14ac:dyDescent="0.2">
      <c r="A204" s="1016"/>
      <c r="B204" s="1016"/>
      <c r="C204" s="1558" t="s">
        <v>389</v>
      </c>
      <c r="D204" s="1558"/>
      <c r="E204" s="1558"/>
      <c r="F204" s="1558"/>
      <c r="G204" s="1558"/>
      <c r="H204" s="1558"/>
      <c r="I204" s="1558"/>
      <c r="J204" s="1558"/>
      <c r="K204" s="1243"/>
      <c r="L204" s="1017"/>
      <c r="M204" s="1018">
        <f>ROUND(SUM(M201:M203),2)</f>
        <v>10.09</v>
      </c>
    </row>
    <row r="206" spans="1:13" s="933" customFormat="1" ht="18" customHeight="1" x14ac:dyDescent="0.2">
      <c r="A206" s="1242" t="s">
        <v>343</v>
      </c>
      <c r="B206" s="1126"/>
      <c r="C206" s="1559" t="s">
        <v>344</v>
      </c>
      <c r="D206" s="1560"/>
      <c r="E206" s="1560"/>
      <c r="F206" s="1560"/>
      <c r="G206" s="1560"/>
      <c r="H206" s="1560"/>
      <c r="I206" s="1560"/>
      <c r="J206" s="1560"/>
      <c r="K206" s="1560"/>
      <c r="L206" s="1561"/>
      <c r="M206" s="1127"/>
    </row>
    <row r="207" spans="1:13" ht="47.25" customHeight="1" x14ac:dyDescent="0.2">
      <c r="A207" s="1005" t="str">
        <f>ORÇ!A204</f>
        <v>12.3.16</v>
      </c>
      <c r="B207" s="1011" t="s">
        <v>335</v>
      </c>
      <c r="C207" s="1562" t="s">
        <v>2213</v>
      </c>
      <c r="D207" s="1562"/>
      <c r="E207" s="1562"/>
      <c r="F207" s="1562"/>
      <c r="G207" s="1562"/>
      <c r="H207" s="1562"/>
      <c r="I207" s="1562"/>
      <c r="J207" s="1562"/>
      <c r="K207" s="1562"/>
      <c r="L207" s="1562"/>
      <c r="M207" s="1562"/>
    </row>
    <row r="208" spans="1:13" ht="19.5" customHeight="1" x14ac:dyDescent="0.2">
      <c r="A208" s="1563" t="s">
        <v>1235</v>
      </c>
      <c r="B208" s="1563"/>
      <c r="C208" s="1563"/>
      <c r="D208" s="1563"/>
      <c r="E208" s="1563"/>
      <c r="F208" s="1563"/>
      <c r="G208" s="1563"/>
      <c r="H208" s="1563"/>
      <c r="I208" s="1563"/>
      <c r="J208" s="1563"/>
      <c r="K208" s="1563"/>
      <c r="L208" s="1563"/>
      <c r="M208" s="1563"/>
    </row>
    <row r="209" spans="1:13" ht="18" customHeight="1" x14ac:dyDescent="0.2">
      <c r="A209" s="1008" t="s">
        <v>184</v>
      </c>
      <c r="B209" s="1008" t="s">
        <v>48</v>
      </c>
      <c r="C209" s="1564" t="s">
        <v>49</v>
      </c>
      <c r="D209" s="1565"/>
      <c r="E209" s="1565"/>
      <c r="F209" s="1565"/>
      <c r="G209" s="1565"/>
      <c r="H209" s="1565"/>
      <c r="I209" s="1566"/>
      <c r="J209" s="1008" t="s">
        <v>50</v>
      </c>
      <c r="K209" s="1008" t="s">
        <v>18</v>
      </c>
      <c r="L209" s="1009" t="s">
        <v>51</v>
      </c>
      <c r="M209" s="990" t="s">
        <v>47</v>
      </c>
    </row>
    <row r="210" spans="1:13" ht="64.5" customHeight="1" x14ac:dyDescent="0.2">
      <c r="A210" s="320" t="s">
        <v>319</v>
      </c>
      <c r="B210" s="1010" t="s">
        <v>2211</v>
      </c>
      <c r="C210" s="1569" t="s">
        <v>2212</v>
      </c>
      <c r="D210" s="1570"/>
      <c r="E210" s="1570"/>
      <c r="F210" s="1570"/>
      <c r="G210" s="1570"/>
      <c r="H210" s="1570"/>
      <c r="I210" s="1571"/>
      <c r="J210" s="1011" t="s">
        <v>335</v>
      </c>
      <c r="K210" s="1012">
        <v>1</v>
      </c>
      <c r="L210" s="1013">
        <v>44.51</v>
      </c>
      <c r="M210" s="1014">
        <f>ROUND(L210*K210,2)</f>
        <v>44.51</v>
      </c>
    </row>
    <row r="211" spans="1:13" ht="18" customHeight="1" x14ac:dyDescent="0.2">
      <c r="A211" s="320" t="s">
        <v>183</v>
      </c>
      <c r="B211" s="1010">
        <v>88247</v>
      </c>
      <c r="C211" s="1572" t="s">
        <v>387</v>
      </c>
      <c r="D211" s="1572"/>
      <c r="E211" s="1572"/>
      <c r="F211" s="1572"/>
      <c r="G211" s="1572"/>
      <c r="H211" s="1572"/>
      <c r="I211" s="1572"/>
      <c r="J211" s="1011" t="s">
        <v>158</v>
      </c>
      <c r="K211" s="1012">
        <v>0.08</v>
      </c>
      <c r="L211" s="1013">
        <v>17.04</v>
      </c>
      <c r="M211" s="1014">
        <f t="shared" ref="M211:M212" si="17">ROUND(L211*K211,2)</f>
        <v>1.36</v>
      </c>
    </row>
    <row r="212" spans="1:13" ht="18" customHeight="1" x14ac:dyDescent="0.2">
      <c r="A212" s="320" t="s">
        <v>183</v>
      </c>
      <c r="B212" s="1010">
        <v>88264</v>
      </c>
      <c r="C212" s="1572" t="s">
        <v>388</v>
      </c>
      <c r="D212" s="1572"/>
      <c r="E212" s="1572"/>
      <c r="F212" s="1572"/>
      <c r="G212" s="1572"/>
      <c r="H212" s="1572"/>
      <c r="I212" s="1572"/>
      <c r="J212" s="1011" t="s">
        <v>158</v>
      </c>
      <c r="K212" s="1012">
        <v>0.1</v>
      </c>
      <c r="L212" s="1013">
        <v>21.52</v>
      </c>
      <c r="M212" s="1014">
        <f t="shared" si="17"/>
        <v>2.15</v>
      </c>
    </row>
    <row r="213" spans="1:13" ht="15" x14ac:dyDescent="0.2">
      <c r="A213" s="1016"/>
      <c r="B213" s="1016"/>
      <c r="C213" s="1558" t="s">
        <v>389</v>
      </c>
      <c r="D213" s="1558"/>
      <c r="E213" s="1558"/>
      <c r="F213" s="1558"/>
      <c r="G213" s="1558"/>
      <c r="H213" s="1558"/>
      <c r="I213" s="1558"/>
      <c r="J213" s="1558"/>
      <c r="K213" s="1243"/>
      <c r="L213" s="1017"/>
      <c r="M213" s="1018">
        <f>ROUND(SUM(M210:M212),2)</f>
        <v>48.02</v>
      </c>
    </row>
    <row r="215" spans="1:13" s="933" customFormat="1" ht="18" customHeight="1" x14ac:dyDescent="0.2">
      <c r="A215" s="1242" t="s">
        <v>343</v>
      </c>
      <c r="B215" s="1126"/>
      <c r="C215" s="1559" t="s">
        <v>344</v>
      </c>
      <c r="D215" s="1560"/>
      <c r="E215" s="1560"/>
      <c r="F215" s="1560"/>
      <c r="G215" s="1560"/>
      <c r="H215" s="1560"/>
      <c r="I215" s="1560"/>
      <c r="J215" s="1560"/>
      <c r="K215" s="1560"/>
      <c r="L215" s="1561"/>
      <c r="M215" s="1127"/>
    </row>
    <row r="216" spans="1:13" ht="47.25" customHeight="1" x14ac:dyDescent="0.2">
      <c r="A216" s="1005" t="str">
        <f>ORÇ!A228</f>
        <v>12.4.6</v>
      </c>
      <c r="B216" s="1011" t="s">
        <v>335</v>
      </c>
      <c r="C216" s="1562" t="s">
        <v>2561</v>
      </c>
      <c r="D216" s="1562"/>
      <c r="E216" s="1562"/>
      <c r="F216" s="1562"/>
      <c r="G216" s="1562"/>
      <c r="H216" s="1562"/>
      <c r="I216" s="1562"/>
      <c r="J216" s="1562"/>
      <c r="K216" s="1562"/>
      <c r="L216" s="1562"/>
      <c r="M216" s="1562"/>
    </row>
    <row r="217" spans="1:13" ht="19.5" customHeight="1" x14ac:dyDescent="0.2">
      <c r="A217" s="1563" t="s">
        <v>1236</v>
      </c>
      <c r="B217" s="1563"/>
      <c r="C217" s="1563"/>
      <c r="D217" s="1563"/>
      <c r="E217" s="1563"/>
      <c r="F217" s="1563"/>
      <c r="G217" s="1563"/>
      <c r="H217" s="1563"/>
      <c r="I217" s="1563"/>
      <c r="J217" s="1563"/>
      <c r="K217" s="1563"/>
      <c r="L217" s="1563"/>
      <c r="M217" s="1563"/>
    </row>
    <row r="218" spans="1:13" ht="18" customHeight="1" x14ac:dyDescent="0.2">
      <c r="A218" s="1008" t="s">
        <v>184</v>
      </c>
      <c r="B218" s="1008" t="s">
        <v>48</v>
      </c>
      <c r="C218" s="1564" t="s">
        <v>49</v>
      </c>
      <c r="D218" s="1565"/>
      <c r="E218" s="1565"/>
      <c r="F218" s="1565"/>
      <c r="G218" s="1565"/>
      <c r="H218" s="1565"/>
      <c r="I218" s="1566"/>
      <c r="J218" s="1008" t="s">
        <v>50</v>
      </c>
      <c r="K218" s="1008" t="s">
        <v>18</v>
      </c>
      <c r="L218" s="1009" t="s">
        <v>51</v>
      </c>
      <c r="M218" s="990" t="s">
        <v>47</v>
      </c>
    </row>
    <row r="219" spans="1:13" ht="64.5" customHeight="1" x14ac:dyDescent="0.2">
      <c r="A219" s="1567" t="str">
        <f>COTAÇÃO!A178</f>
        <v>COTAÇÃO 23</v>
      </c>
      <c r="B219" s="1568"/>
      <c r="C219" s="1569" t="str">
        <f>COTAÇÃO!A177</f>
        <v>CENTRO DE DISTRIBUIÇÃO DE EMBUTIR COM BARRAMENTO TRIFÁSICO PARA 225A, BARRA DE NEUTRO E TERRA, COM CAPACIDADE PARA 56 DISJUNTORES MONOPOLARES DIN PADRÃO IEC, FAB. CEMAR OU SIMILAR. (QFAC)</v>
      </c>
      <c r="D219" s="1570"/>
      <c r="E219" s="1570"/>
      <c r="F219" s="1570"/>
      <c r="G219" s="1570"/>
      <c r="H219" s="1570"/>
      <c r="I219" s="1571"/>
      <c r="J219" s="1011" t="s">
        <v>335</v>
      </c>
      <c r="K219" s="1012">
        <v>1</v>
      </c>
      <c r="L219" s="1013">
        <f>COTAÇÃO!E180</f>
        <v>1596.9366666666667</v>
      </c>
      <c r="M219" s="1014">
        <f>ROUND(L219*K219,2)</f>
        <v>1596.94</v>
      </c>
    </row>
    <row r="220" spans="1:13" ht="60.75" customHeight="1" x14ac:dyDescent="0.2">
      <c r="A220" s="320" t="s">
        <v>183</v>
      </c>
      <c r="B220" s="1010" t="s">
        <v>2559</v>
      </c>
      <c r="C220" s="1569" t="s">
        <v>2560</v>
      </c>
      <c r="D220" s="1570"/>
      <c r="E220" s="1570"/>
      <c r="F220" s="1570"/>
      <c r="G220" s="1570"/>
      <c r="H220" s="1570"/>
      <c r="I220" s="1571"/>
      <c r="J220" s="1011" t="s">
        <v>739</v>
      </c>
      <c r="K220" s="1012">
        <v>0.02</v>
      </c>
      <c r="L220" s="1013">
        <v>761.35</v>
      </c>
      <c r="M220" s="1014">
        <f t="shared" ref="M220" si="18">ROUND(L220*K220,2)</f>
        <v>15.23</v>
      </c>
    </row>
    <row r="221" spans="1:13" ht="18" customHeight="1" x14ac:dyDescent="0.2">
      <c r="A221" s="320" t="s">
        <v>183</v>
      </c>
      <c r="B221" s="1010">
        <v>88247</v>
      </c>
      <c r="C221" s="1572" t="s">
        <v>387</v>
      </c>
      <c r="D221" s="1572"/>
      <c r="E221" s="1572"/>
      <c r="F221" s="1572"/>
      <c r="G221" s="1572"/>
      <c r="H221" s="1572"/>
      <c r="I221" s="1572"/>
      <c r="J221" s="1011" t="s">
        <v>158</v>
      </c>
      <c r="K221" s="1012">
        <v>0.64</v>
      </c>
      <c r="L221" s="1013">
        <v>17.04</v>
      </c>
      <c r="M221" s="1014">
        <f t="shared" ref="M221:M222" si="19">ROUND(L221*K221,2)</f>
        <v>10.91</v>
      </c>
    </row>
    <row r="222" spans="1:13" ht="18" customHeight="1" x14ac:dyDescent="0.2">
      <c r="A222" s="320" t="s">
        <v>183</v>
      </c>
      <c r="B222" s="1010">
        <v>88264</v>
      </c>
      <c r="C222" s="1572" t="s">
        <v>388</v>
      </c>
      <c r="D222" s="1572"/>
      <c r="E222" s="1572"/>
      <c r="F222" s="1572"/>
      <c r="G222" s="1572"/>
      <c r="H222" s="1572"/>
      <c r="I222" s="1572"/>
      <c r="J222" s="1011" t="s">
        <v>158</v>
      </c>
      <c r="K222" s="1012">
        <v>0.64</v>
      </c>
      <c r="L222" s="1013">
        <v>21.52</v>
      </c>
      <c r="M222" s="1014">
        <f t="shared" si="19"/>
        <v>13.77</v>
      </c>
    </row>
    <row r="223" spans="1:13" ht="15" x14ac:dyDescent="0.2">
      <c r="A223" s="1016"/>
      <c r="B223" s="1016"/>
      <c r="C223" s="1558" t="s">
        <v>389</v>
      </c>
      <c r="D223" s="1558"/>
      <c r="E223" s="1558"/>
      <c r="F223" s="1558"/>
      <c r="G223" s="1558"/>
      <c r="H223" s="1558"/>
      <c r="I223" s="1558"/>
      <c r="J223" s="1558"/>
      <c r="K223" s="1243"/>
      <c r="L223" s="1017"/>
      <c r="M223" s="1018">
        <f>ROUND(SUM(M219:M222),2)</f>
        <v>1636.85</v>
      </c>
    </row>
    <row r="225" spans="1:13" s="933" customFormat="1" ht="18" customHeight="1" x14ac:dyDescent="0.2">
      <c r="A225" s="1242" t="s">
        <v>343</v>
      </c>
      <c r="B225" s="1126"/>
      <c r="C225" s="1559" t="s">
        <v>344</v>
      </c>
      <c r="D225" s="1560"/>
      <c r="E225" s="1560"/>
      <c r="F225" s="1560"/>
      <c r="G225" s="1560"/>
      <c r="H225" s="1560"/>
      <c r="I225" s="1560"/>
      <c r="J225" s="1560"/>
      <c r="K225" s="1560"/>
      <c r="L225" s="1561"/>
      <c r="M225" s="1127"/>
    </row>
    <row r="226" spans="1:13" ht="25.5" customHeight="1" x14ac:dyDescent="0.2">
      <c r="A226" s="1005" t="str">
        <f>ORÇ!A245</f>
        <v>12.5.6</v>
      </c>
      <c r="B226" s="1005" t="s">
        <v>218</v>
      </c>
      <c r="C226" s="1562" t="s">
        <v>2302</v>
      </c>
      <c r="D226" s="1562"/>
      <c r="E226" s="1562"/>
      <c r="F226" s="1562"/>
      <c r="G226" s="1562"/>
      <c r="H226" s="1562"/>
      <c r="I226" s="1562"/>
      <c r="J226" s="1562"/>
      <c r="K226" s="1562"/>
      <c r="L226" s="1562"/>
      <c r="M226" s="1562"/>
    </row>
    <row r="227" spans="1:13" ht="19.5" customHeight="1" x14ac:dyDescent="0.2">
      <c r="A227" s="1563" t="s">
        <v>1237</v>
      </c>
      <c r="B227" s="1563"/>
      <c r="C227" s="1563"/>
      <c r="D227" s="1563"/>
      <c r="E227" s="1563"/>
      <c r="F227" s="1563"/>
      <c r="G227" s="1563"/>
      <c r="H227" s="1563"/>
      <c r="I227" s="1563"/>
      <c r="J227" s="1563"/>
      <c r="K227" s="1563"/>
      <c r="L227" s="1563"/>
      <c r="M227" s="1563"/>
    </row>
    <row r="228" spans="1:13" ht="18" customHeight="1" x14ac:dyDescent="0.2">
      <c r="A228" s="1008" t="s">
        <v>184</v>
      </c>
      <c r="B228" s="1008" t="s">
        <v>48</v>
      </c>
      <c r="C228" s="1564" t="s">
        <v>49</v>
      </c>
      <c r="D228" s="1565"/>
      <c r="E228" s="1565"/>
      <c r="F228" s="1565"/>
      <c r="G228" s="1565"/>
      <c r="H228" s="1565"/>
      <c r="I228" s="1566"/>
      <c r="J228" s="1008" t="s">
        <v>50</v>
      </c>
      <c r="K228" s="1008" t="s">
        <v>18</v>
      </c>
      <c r="L228" s="1009" t="s">
        <v>51</v>
      </c>
      <c r="M228" s="990" t="s">
        <v>47</v>
      </c>
    </row>
    <row r="229" spans="1:13" ht="21.75" customHeight="1" x14ac:dyDescent="0.2">
      <c r="A229" s="1567" t="str">
        <f>COTAÇÃO!A115</f>
        <v>COTAÇÃO 15</v>
      </c>
      <c r="B229" s="1568"/>
      <c r="C229" s="1569" t="str">
        <f>COTAÇÃO!A114</f>
        <v>TUBO ISOLANTE ESPONJOSO 5/8"</v>
      </c>
      <c r="D229" s="1570"/>
      <c r="E229" s="1570"/>
      <c r="F229" s="1570"/>
      <c r="G229" s="1570"/>
      <c r="H229" s="1570"/>
      <c r="I229" s="1571"/>
      <c r="J229" s="1011" t="s">
        <v>218</v>
      </c>
      <c r="K229" s="1012">
        <v>1.02</v>
      </c>
      <c r="L229" s="1013">
        <f>COTAÇÃO!E117</f>
        <v>3.3550000000000004</v>
      </c>
      <c r="M229" s="1014">
        <f>ROUND(L229*K229,2)</f>
        <v>3.42</v>
      </c>
    </row>
    <row r="230" spans="1:13" ht="18" customHeight="1" x14ac:dyDescent="0.2">
      <c r="A230" s="320" t="s">
        <v>183</v>
      </c>
      <c r="B230" s="1010">
        <v>88247</v>
      </c>
      <c r="C230" s="1572" t="s">
        <v>387</v>
      </c>
      <c r="D230" s="1572"/>
      <c r="E230" s="1572"/>
      <c r="F230" s="1572"/>
      <c r="G230" s="1572"/>
      <c r="H230" s="1572"/>
      <c r="I230" s="1572"/>
      <c r="J230" s="1011" t="s">
        <v>158</v>
      </c>
      <c r="K230" s="1012">
        <v>0.02</v>
      </c>
      <c r="L230" s="1013">
        <v>17.04</v>
      </c>
      <c r="M230" s="1014">
        <f t="shared" ref="M230:M231" si="20">ROUND(L230*K230,2)</f>
        <v>0.34</v>
      </c>
    </row>
    <row r="231" spans="1:13" ht="18" customHeight="1" x14ac:dyDescent="0.2">
      <c r="A231" s="320" t="s">
        <v>183</v>
      </c>
      <c r="B231" s="1010">
        <v>88264</v>
      </c>
      <c r="C231" s="1572" t="s">
        <v>388</v>
      </c>
      <c r="D231" s="1572"/>
      <c r="E231" s="1572"/>
      <c r="F231" s="1572"/>
      <c r="G231" s="1572"/>
      <c r="H231" s="1572"/>
      <c r="I231" s="1572"/>
      <c r="J231" s="1011" t="s">
        <v>158</v>
      </c>
      <c r="K231" s="1012">
        <v>0.01</v>
      </c>
      <c r="L231" s="1013">
        <v>21.52</v>
      </c>
      <c r="M231" s="1014">
        <f t="shared" si="20"/>
        <v>0.22</v>
      </c>
    </row>
    <row r="232" spans="1:13" ht="15" x14ac:dyDescent="0.2">
      <c r="A232" s="1016"/>
      <c r="B232" s="1016"/>
      <c r="C232" s="1558" t="s">
        <v>389</v>
      </c>
      <c r="D232" s="1558"/>
      <c r="E232" s="1558"/>
      <c r="F232" s="1558"/>
      <c r="G232" s="1558"/>
      <c r="H232" s="1558"/>
      <c r="I232" s="1558"/>
      <c r="J232" s="1558"/>
      <c r="K232" s="1243"/>
      <c r="L232" s="1017"/>
      <c r="M232" s="1018">
        <f>ROUND(SUM(M229:M231),2)</f>
        <v>3.98</v>
      </c>
    </row>
    <row r="234" spans="1:13" s="933" customFormat="1" ht="18" customHeight="1" x14ac:dyDescent="0.2">
      <c r="A234" s="1242" t="s">
        <v>343</v>
      </c>
      <c r="B234" s="1126"/>
      <c r="C234" s="1559" t="s">
        <v>344</v>
      </c>
      <c r="D234" s="1560"/>
      <c r="E234" s="1560"/>
      <c r="F234" s="1560"/>
      <c r="G234" s="1560"/>
      <c r="H234" s="1560"/>
      <c r="I234" s="1560"/>
      <c r="J234" s="1560"/>
      <c r="K234" s="1560"/>
      <c r="L234" s="1561"/>
      <c r="M234" s="1127"/>
    </row>
    <row r="235" spans="1:13" ht="36" customHeight="1" x14ac:dyDescent="0.2">
      <c r="A235" s="1005" t="str">
        <f>ORÇ!A246</f>
        <v>12.5.7</v>
      </c>
      <c r="B235" s="1005" t="s">
        <v>218</v>
      </c>
      <c r="C235" s="1562" t="s">
        <v>2277</v>
      </c>
      <c r="D235" s="1562"/>
      <c r="E235" s="1562"/>
      <c r="F235" s="1562"/>
      <c r="G235" s="1562"/>
      <c r="H235" s="1562"/>
      <c r="I235" s="1562"/>
      <c r="J235" s="1562"/>
      <c r="K235" s="1562"/>
      <c r="L235" s="1562"/>
      <c r="M235" s="1562"/>
    </row>
    <row r="236" spans="1:13" ht="19.5" customHeight="1" x14ac:dyDescent="0.2">
      <c r="A236" s="1563" t="s">
        <v>2381</v>
      </c>
      <c r="B236" s="1563"/>
      <c r="C236" s="1563"/>
      <c r="D236" s="1563"/>
      <c r="E236" s="1563"/>
      <c r="F236" s="1563"/>
      <c r="G236" s="1563"/>
      <c r="H236" s="1563"/>
      <c r="I236" s="1563"/>
      <c r="J236" s="1563"/>
      <c r="K236" s="1563"/>
      <c r="L236" s="1563"/>
      <c r="M236" s="1563"/>
    </row>
    <row r="237" spans="1:13" ht="18" customHeight="1" x14ac:dyDescent="0.2">
      <c r="A237" s="1008" t="s">
        <v>184</v>
      </c>
      <c r="B237" s="1008" t="s">
        <v>48</v>
      </c>
      <c r="C237" s="1564" t="s">
        <v>49</v>
      </c>
      <c r="D237" s="1565"/>
      <c r="E237" s="1565"/>
      <c r="F237" s="1565"/>
      <c r="G237" s="1565"/>
      <c r="H237" s="1565"/>
      <c r="I237" s="1566"/>
      <c r="J237" s="1008" t="s">
        <v>50</v>
      </c>
      <c r="K237" s="1008" t="s">
        <v>18</v>
      </c>
      <c r="L237" s="1009" t="s">
        <v>51</v>
      </c>
      <c r="M237" s="990" t="s">
        <v>47</v>
      </c>
    </row>
    <row r="238" spans="1:13" ht="47.25" customHeight="1" x14ac:dyDescent="0.2">
      <c r="A238" s="320" t="s">
        <v>319</v>
      </c>
      <c r="B238" s="1010" t="s">
        <v>2275</v>
      </c>
      <c r="C238" s="1569" t="s">
        <v>2276</v>
      </c>
      <c r="D238" s="1570"/>
      <c r="E238" s="1570"/>
      <c r="F238" s="1570"/>
      <c r="G238" s="1570"/>
      <c r="H238" s="1570"/>
      <c r="I238" s="1571"/>
      <c r="J238" s="1011" t="s">
        <v>218</v>
      </c>
      <c r="K238" s="1012">
        <v>1.02</v>
      </c>
      <c r="L238" s="1013">
        <v>1.89</v>
      </c>
      <c r="M238" s="1014">
        <f>ROUND(L238*K238,2)</f>
        <v>1.93</v>
      </c>
    </row>
    <row r="239" spans="1:13" ht="36.75" customHeight="1" x14ac:dyDescent="0.2">
      <c r="A239" s="320" t="s">
        <v>183</v>
      </c>
      <c r="B239" s="1010" t="s">
        <v>2278</v>
      </c>
      <c r="C239" s="1569" t="s">
        <v>2279</v>
      </c>
      <c r="D239" s="1570"/>
      <c r="E239" s="1570"/>
      <c r="F239" s="1570"/>
      <c r="G239" s="1570"/>
      <c r="H239" s="1570"/>
      <c r="I239" s="1571"/>
      <c r="J239" s="1011" t="s">
        <v>219</v>
      </c>
      <c r="K239" s="1012">
        <v>0.3</v>
      </c>
      <c r="L239" s="1013">
        <v>28.01</v>
      </c>
      <c r="M239" s="1014">
        <f t="shared" ref="M239:M241" si="21">ROUND(L239*K239,2)</f>
        <v>8.4</v>
      </c>
    </row>
    <row r="240" spans="1:13" ht="18" customHeight="1" x14ac:dyDescent="0.2">
      <c r="A240" s="320" t="s">
        <v>183</v>
      </c>
      <c r="B240" s="1010">
        <v>88247</v>
      </c>
      <c r="C240" s="1572" t="s">
        <v>387</v>
      </c>
      <c r="D240" s="1572"/>
      <c r="E240" s="1572"/>
      <c r="F240" s="1572"/>
      <c r="G240" s="1572"/>
      <c r="H240" s="1572"/>
      <c r="I240" s="1572"/>
      <c r="J240" s="1011" t="s">
        <v>158</v>
      </c>
      <c r="K240" s="1012">
        <v>0.02</v>
      </c>
      <c r="L240" s="1013">
        <v>17.04</v>
      </c>
      <c r="M240" s="1014">
        <f t="shared" si="21"/>
        <v>0.34</v>
      </c>
    </row>
    <row r="241" spans="1:13" ht="18" customHeight="1" x14ac:dyDescent="0.2">
      <c r="A241" s="320" t="s">
        <v>183</v>
      </c>
      <c r="B241" s="1010">
        <v>88264</v>
      </c>
      <c r="C241" s="1572" t="s">
        <v>388</v>
      </c>
      <c r="D241" s="1572"/>
      <c r="E241" s="1572"/>
      <c r="F241" s="1572"/>
      <c r="G241" s="1572"/>
      <c r="H241" s="1572"/>
      <c r="I241" s="1572"/>
      <c r="J241" s="1011" t="s">
        <v>158</v>
      </c>
      <c r="K241" s="1012">
        <v>0.01</v>
      </c>
      <c r="L241" s="1013">
        <v>21.52</v>
      </c>
      <c r="M241" s="1014">
        <f t="shared" si="21"/>
        <v>0.22</v>
      </c>
    </row>
    <row r="242" spans="1:13" ht="15" x14ac:dyDescent="0.2">
      <c r="A242" s="1016"/>
      <c r="B242" s="1016"/>
      <c r="C242" s="1558" t="s">
        <v>389</v>
      </c>
      <c r="D242" s="1558"/>
      <c r="E242" s="1558"/>
      <c r="F242" s="1558"/>
      <c r="G242" s="1558"/>
      <c r="H242" s="1558"/>
      <c r="I242" s="1558"/>
      <c r="J242" s="1558"/>
      <c r="K242" s="1243"/>
      <c r="L242" s="1017"/>
      <c r="M242" s="1018">
        <f>ROUND(SUM(M238:M241),2)</f>
        <v>10.89</v>
      </c>
    </row>
    <row r="244" spans="1:13" s="933" customFormat="1" ht="18" customHeight="1" x14ac:dyDescent="0.2">
      <c r="A244" s="1242" t="s">
        <v>343</v>
      </c>
      <c r="B244" s="1126"/>
      <c r="C244" s="1559" t="s">
        <v>344</v>
      </c>
      <c r="D244" s="1560"/>
      <c r="E244" s="1560"/>
      <c r="F244" s="1560"/>
      <c r="G244" s="1560"/>
      <c r="H244" s="1560"/>
      <c r="I244" s="1560"/>
      <c r="J244" s="1560"/>
      <c r="K244" s="1560"/>
      <c r="L244" s="1561"/>
      <c r="M244" s="1127"/>
    </row>
    <row r="245" spans="1:13" ht="36" customHeight="1" x14ac:dyDescent="0.2">
      <c r="A245" s="1005" t="str">
        <f>ORÇ!A247</f>
        <v>12.5.8</v>
      </c>
      <c r="B245" s="1005" t="s">
        <v>218</v>
      </c>
      <c r="C245" s="1562" t="s">
        <v>2282</v>
      </c>
      <c r="D245" s="1562"/>
      <c r="E245" s="1562"/>
      <c r="F245" s="1562"/>
      <c r="G245" s="1562"/>
      <c r="H245" s="1562"/>
      <c r="I245" s="1562"/>
      <c r="J245" s="1562"/>
      <c r="K245" s="1562"/>
      <c r="L245" s="1562"/>
      <c r="M245" s="1562"/>
    </row>
    <row r="246" spans="1:13" ht="19.5" customHeight="1" x14ac:dyDescent="0.2">
      <c r="A246" s="1563" t="s">
        <v>2382</v>
      </c>
      <c r="B246" s="1563"/>
      <c r="C246" s="1563"/>
      <c r="D246" s="1563"/>
      <c r="E246" s="1563"/>
      <c r="F246" s="1563"/>
      <c r="G246" s="1563"/>
      <c r="H246" s="1563"/>
      <c r="I246" s="1563"/>
      <c r="J246" s="1563"/>
      <c r="K246" s="1563"/>
      <c r="L246" s="1563"/>
      <c r="M246" s="1563"/>
    </row>
    <row r="247" spans="1:13" ht="18" customHeight="1" x14ac:dyDescent="0.2">
      <c r="A247" s="1008" t="s">
        <v>184</v>
      </c>
      <c r="B247" s="1008" t="s">
        <v>48</v>
      </c>
      <c r="C247" s="1564" t="s">
        <v>49</v>
      </c>
      <c r="D247" s="1565"/>
      <c r="E247" s="1565"/>
      <c r="F247" s="1565"/>
      <c r="G247" s="1565"/>
      <c r="H247" s="1565"/>
      <c r="I247" s="1566"/>
      <c r="J247" s="1008" t="s">
        <v>50</v>
      </c>
      <c r="K247" s="1008" t="s">
        <v>18</v>
      </c>
      <c r="L247" s="1009" t="s">
        <v>51</v>
      </c>
      <c r="M247" s="990" t="s">
        <v>47</v>
      </c>
    </row>
    <row r="248" spans="1:13" ht="47.25" customHeight="1" x14ac:dyDescent="0.2">
      <c r="A248" s="320" t="s">
        <v>319</v>
      </c>
      <c r="B248" s="1010" t="s">
        <v>2280</v>
      </c>
      <c r="C248" s="1569" t="s">
        <v>2281</v>
      </c>
      <c r="D248" s="1570"/>
      <c r="E248" s="1570"/>
      <c r="F248" s="1570"/>
      <c r="G248" s="1570"/>
      <c r="H248" s="1570"/>
      <c r="I248" s="1571"/>
      <c r="J248" s="1011" t="s">
        <v>218</v>
      </c>
      <c r="K248" s="1012">
        <v>1.02</v>
      </c>
      <c r="L248" s="1013">
        <v>1.85</v>
      </c>
      <c r="M248" s="1014">
        <f>ROUND(L248*K248,2)</f>
        <v>1.89</v>
      </c>
    </row>
    <row r="249" spans="1:13" ht="36.75" customHeight="1" x14ac:dyDescent="0.2">
      <c r="A249" s="320" t="s">
        <v>183</v>
      </c>
      <c r="B249" s="1010" t="s">
        <v>2278</v>
      </c>
      <c r="C249" s="1569" t="s">
        <v>2279</v>
      </c>
      <c r="D249" s="1570"/>
      <c r="E249" s="1570"/>
      <c r="F249" s="1570"/>
      <c r="G249" s="1570"/>
      <c r="H249" s="1570"/>
      <c r="I249" s="1571"/>
      <c r="J249" s="1011" t="s">
        <v>219</v>
      </c>
      <c r="K249" s="1012">
        <v>0.3</v>
      </c>
      <c r="L249" s="1013">
        <v>28.01</v>
      </c>
      <c r="M249" s="1014">
        <f t="shared" ref="M249:M251" si="22">ROUND(L249*K249,2)</f>
        <v>8.4</v>
      </c>
    </row>
    <row r="250" spans="1:13" ht="18" customHeight="1" x14ac:dyDescent="0.2">
      <c r="A250" s="320" t="s">
        <v>183</v>
      </c>
      <c r="B250" s="1010">
        <v>88247</v>
      </c>
      <c r="C250" s="1572" t="s">
        <v>387</v>
      </c>
      <c r="D250" s="1572"/>
      <c r="E250" s="1572"/>
      <c r="F250" s="1572"/>
      <c r="G250" s="1572"/>
      <c r="H250" s="1572"/>
      <c r="I250" s="1572"/>
      <c r="J250" s="1011" t="s">
        <v>158</v>
      </c>
      <c r="K250" s="1012">
        <v>0.02</v>
      </c>
      <c r="L250" s="1013">
        <v>17.04</v>
      </c>
      <c r="M250" s="1014">
        <f t="shared" si="22"/>
        <v>0.34</v>
      </c>
    </row>
    <row r="251" spans="1:13" ht="18" customHeight="1" x14ac:dyDescent="0.2">
      <c r="A251" s="320" t="s">
        <v>183</v>
      </c>
      <c r="B251" s="1010">
        <v>88264</v>
      </c>
      <c r="C251" s="1572" t="s">
        <v>388</v>
      </c>
      <c r="D251" s="1572"/>
      <c r="E251" s="1572"/>
      <c r="F251" s="1572"/>
      <c r="G251" s="1572"/>
      <c r="H251" s="1572"/>
      <c r="I251" s="1572"/>
      <c r="J251" s="1011" t="s">
        <v>158</v>
      </c>
      <c r="K251" s="1012">
        <v>0.01</v>
      </c>
      <c r="L251" s="1013">
        <v>21.52</v>
      </c>
      <c r="M251" s="1014">
        <f t="shared" si="22"/>
        <v>0.22</v>
      </c>
    </row>
    <row r="252" spans="1:13" ht="15" x14ac:dyDescent="0.2">
      <c r="A252" s="1016"/>
      <c r="B252" s="1016"/>
      <c r="C252" s="1558" t="s">
        <v>389</v>
      </c>
      <c r="D252" s="1558"/>
      <c r="E252" s="1558"/>
      <c r="F252" s="1558"/>
      <c r="G252" s="1558"/>
      <c r="H252" s="1558"/>
      <c r="I252" s="1558"/>
      <c r="J252" s="1558"/>
      <c r="K252" s="1243"/>
      <c r="L252" s="1017"/>
      <c r="M252" s="1018">
        <f>ROUND(SUM(M248:M251),2)</f>
        <v>10.85</v>
      </c>
    </row>
    <row r="254" spans="1:13" s="933" customFormat="1" ht="18" customHeight="1" x14ac:dyDescent="0.2">
      <c r="A254" s="1242" t="s">
        <v>343</v>
      </c>
      <c r="B254" s="1126"/>
      <c r="C254" s="1559" t="s">
        <v>344</v>
      </c>
      <c r="D254" s="1560"/>
      <c r="E254" s="1560"/>
      <c r="F254" s="1560"/>
      <c r="G254" s="1560"/>
      <c r="H254" s="1560"/>
      <c r="I254" s="1560"/>
      <c r="J254" s="1560"/>
      <c r="K254" s="1560"/>
      <c r="L254" s="1561"/>
      <c r="M254" s="1127"/>
    </row>
    <row r="255" spans="1:13" ht="36" customHeight="1" x14ac:dyDescent="0.2">
      <c r="A255" s="1005" t="str">
        <f>ORÇ!A248</f>
        <v>12.5.9</v>
      </c>
      <c r="B255" s="1005" t="s">
        <v>218</v>
      </c>
      <c r="C255" s="1562" t="s">
        <v>2285</v>
      </c>
      <c r="D255" s="1562"/>
      <c r="E255" s="1562"/>
      <c r="F255" s="1562"/>
      <c r="G255" s="1562"/>
      <c r="H255" s="1562"/>
      <c r="I255" s="1562"/>
      <c r="J255" s="1562"/>
      <c r="K255" s="1562"/>
      <c r="L255" s="1562"/>
      <c r="M255" s="1562"/>
    </row>
    <row r="256" spans="1:13" ht="19.5" customHeight="1" x14ac:dyDescent="0.2">
      <c r="A256" s="1563" t="s">
        <v>1238</v>
      </c>
      <c r="B256" s="1563"/>
      <c r="C256" s="1563"/>
      <c r="D256" s="1563"/>
      <c r="E256" s="1563"/>
      <c r="F256" s="1563"/>
      <c r="G256" s="1563"/>
      <c r="H256" s="1563"/>
      <c r="I256" s="1563"/>
      <c r="J256" s="1563"/>
      <c r="K256" s="1563"/>
      <c r="L256" s="1563"/>
      <c r="M256" s="1563"/>
    </row>
    <row r="257" spans="1:13" ht="18" customHeight="1" x14ac:dyDescent="0.2">
      <c r="A257" s="1008" t="s">
        <v>184</v>
      </c>
      <c r="B257" s="1008" t="s">
        <v>48</v>
      </c>
      <c r="C257" s="1564" t="s">
        <v>49</v>
      </c>
      <c r="D257" s="1565"/>
      <c r="E257" s="1565"/>
      <c r="F257" s="1565"/>
      <c r="G257" s="1565"/>
      <c r="H257" s="1565"/>
      <c r="I257" s="1566"/>
      <c r="J257" s="1008" t="s">
        <v>50</v>
      </c>
      <c r="K257" s="1008" t="s">
        <v>18</v>
      </c>
      <c r="L257" s="1009" t="s">
        <v>51</v>
      </c>
      <c r="M257" s="990" t="s">
        <v>47</v>
      </c>
    </row>
    <row r="258" spans="1:13" ht="47.25" customHeight="1" x14ac:dyDescent="0.2">
      <c r="A258" s="320" t="s">
        <v>319</v>
      </c>
      <c r="B258" s="1010" t="s">
        <v>2283</v>
      </c>
      <c r="C258" s="1569" t="s">
        <v>2284</v>
      </c>
      <c r="D258" s="1570"/>
      <c r="E258" s="1570"/>
      <c r="F258" s="1570"/>
      <c r="G258" s="1570"/>
      <c r="H258" s="1570"/>
      <c r="I258" s="1571"/>
      <c r="J258" s="1011" t="s">
        <v>218</v>
      </c>
      <c r="K258" s="1012">
        <v>1.02</v>
      </c>
      <c r="L258" s="1013">
        <v>1.49</v>
      </c>
      <c r="M258" s="1014">
        <f>ROUND(L258*K258,2)</f>
        <v>1.52</v>
      </c>
    </row>
    <row r="259" spans="1:13" ht="36.75" customHeight="1" x14ac:dyDescent="0.2">
      <c r="A259" s="320" t="s">
        <v>183</v>
      </c>
      <c r="B259" s="1010" t="s">
        <v>2278</v>
      </c>
      <c r="C259" s="1569" t="s">
        <v>2279</v>
      </c>
      <c r="D259" s="1570"/>
      <c r="E259" s="1570"/>
      <c r="F259" s="1570"/>
      <c r="G259" s="1570"/>
      <c r="H259" s="1570"/>
      <c r="I259" s="1571"/>
      <c r="J259" s="1011" t="s">
        <v>219</v>
      </c>
      <c r="K259" s="1012">
        <v>0.3</v>
      </c>
      <c r="L259" s="1013">
        <v>28.01</v>
      </c>
      <c r="M259" s="1014">
        <f t="shared" ref="M259:M261" si="23">ROUND(L259*K259,2)</f>
        <v>8.4</v>
      </c>
    </row>
    <row r="260" spans="1:13" ht="18" customHeight="1" x14ac:dyDescent="0.2">
      <c r="A260" s="320" t="s">
        <v>183</v>
      </c>
      <c r="B260" s="1010">
        <v>88247</v>
      </c>
      <c r="C260" s="1572" t="s">
        <v>387</v>
      </c>
      <c r="D260" s="1572"/>
      <c r="E260" s="1572"/>
      <c r="F260" s="1572"/>
      <c r="G260" s="1572"/>
      <c r="H260" s="1572"/>
      <c r="I260" s="1572"/>
      <c r="J260" s="1011" t="s">
        <v>158</v>
      </c>
      <c r="K260" s="1012">
        <v>0.02</v>
      </c>
      <c r="L260" s="1013">
        <v>17.04</v>
      </c>
      <c r="M260" s="1014">
        <f t="shared" si="23"/>
        <v>0.34</v>
      </c>
    </row>
    <row r="261" spans="1:13" ht="18" customHeight="1" x14ac:dyDescent="0.2">
      <c r="A261" s="320" t="s">
        <v>183</v>
      </c>
      <c r="B261" s="1010">
        <v>88264</v>
      </c>
      <c r="C261" s="1572" t="s">
        <v>388</v>
      </c>
      <c r="D261" s="1572"/>
      <c r="E261" s="1572"/>
      <c r="F261" s="1572"/>
      <c r="G261" s="1572"/>
      <c r="H261" s="1572"/>
      <c r="I261" s="1572"/>
      <c r="J261" s="1011" t="s">
        <v>158</v>
      </c>
      <c r="K261" s="1012">
        <v>0.01</v>
      </c>
      <c r="L261" s="1013">
        <v>21.52</v>
      </c>
      <c r="M261" s="1014">
        <f t="shared" si="23"/>
        <v>0.22</v>
      </c>
    </row>
    <row r="262" spans="1:13" ht="15" x14ac:dyDescent="0.2">
      <c r="A262" s="1016"/>
      <c r="B262" s="1016"/>
      <c r="C262" s="1558" t="s">
        <v>389</v>
      </c>
      <c r="D262" s="1558"/>
      <c r="E262" s="1558"/>
      <c r="F262" s="1558"/>
      <c r="G262" s="1558"/>
      <c r="H262" s="1558"/>
      <c r="I262" s="1558"/>
      <c r="J262" s="1558"/>
      <c r="K262" s="1243"/>
      <c r="L262" s="1017"/>
      <c r="M262" s="1018">
        <f>ROUND(SUM(M258:M261),2)</f>
        <v>10.48</v>
      </c>
    </row>
    <row r="264" spans="1:13" s="933" customFormat="1" ht="18" customHeight="1" x14ac:dyDescent="0.2">
      <c r="A264" s="1242" t="s">
        <v>343</v>
      </c>
      <c r="B264" s="1126"/>
      <c r="C264" s="1559" t="s">
        <v>344</v>
      </c>
      <c r="D264" s="1560"/>
      <c r="E264" s="1560"/>
      <c r="F264" s="1560"/>
      <c r="G264" s="1560"/>
      <c r="H264" s="1560"/>
      <c r="I264" s="1560"/>
      <c r="J264" s="1560"/>
      <c r="K264" s="1560"/>
      <c r="L264" s="1561"/>
      <c r="M264" s="1127"/>
    </row>
    <row r="265" spans="1:13" ht="38.25" customHeight="1" x14ac:dyDescent="0.2">
      <c r="A265" s="1005" t="str">
        <f>ORÇ!A249</f>
        <v>12.5.10</v>
      </c>
      <c r="B265" s="1005" t="s">
        <v>218</v>
      </c>
      <c r="C265" s="1562" t="s">
        <v>2291</v>
      </c>
      <c r="D265" s="1562"/>
      <c r="E265" s="1562"/>
      <c r="F265" s="1562"/>
      <c r="G265" s="1562"/>
      <c r="H265" s="1562"/>
      <c r="I265" s="1562"/>
      <c r="J265" s="1562"/>
      <c r="K265" s="1562"/>
      <c r="L265" s="1562"/>
      <c r="M265" s="1562"/>
    </row>
    <row r="266" spans="1:13" ht="19.5" customHeight="1" x14ac:dyDescent="0.2">
      <c r="A266" s="1563" t="s">
        <v>1239</v>
      </c>
      <c r="B266" s="1563"/>
      <c r="C266" s="1563"/>
      <c r="D266" s="1563"/>
      <c r="E266" s="1563"/>
      <c r="F266" s="1563"/>
      <c r="G266" s="1563"/>
      <c r="H266" s="1563"/>
      <c r="I266" s="1563"/>
      <c r="J266" s="1563"/>
      <c r="K266" s="1563"/>
      <c r="L266" s="1563"/>
      <c r="M266" s="1563"/>
    </row>
    <row r="267" spans="1:13" ht="15" x14ac:dyDescent="0.2">
      <c r="A267" s="1008" t="s">
        <v>184</v>
      </c>
      <c r="B267" s="1008" t="s">
        <v>48</v>
      </c>
      <c r="C267" s="1564" t="s">
        <v>49</v>
      </c>
      <c r="D267" s="1565"/>
      <c r="E267" s="1565"/>
      <c r="F267" s="1565"/>
      <c r="G267" s="1565"/>
      <c r="H267" s="1565"/>
      <c r="I267" s="1566"/>
      <c r="J267" s="1008" t="s">
        <v>50</v>
      </c>
      <c r="K267" s="1008" t="s">
        <v>18</v>
      </c>
      <c r="L267" s="1009" t="s">
        <v>51</v>
      </c>
      <c r="M267" s="990" t="s">
        <v>47</v>
      </c>
    </row>
    <row r="268" spans="1:13" ht="51" customHeight="1" x14ac:dyDescent="0.2">
      <c r="A268" s="320" t="s">
        <v>319</v>
      </c>
      <c r="B268" s="1010" t="s">
        <v>2289</v>
      </c>
      <c r="C268" s="1569" t="s">
        <v>2290</v>
      </c>
      <c r="D268" s="1570"/>
      <c r="E268" s="1570"/>
      <c r="F268" s="1570"/>
      <c r="G268" s="1570"/>
      <c r="H268" s="1570"/>
      <c r="I268" s="1571"/>
      <c r="J268" s="986" t="s">
        <v>728</v>
      </c>
      <c r="K268" s="1012">
        <v>1.05</v>
      </c>
      <c r="L268" s="1013">
        <v>7.01</v>
      </c>
      <c r="M268" s="1014">
        <f>ROUND(L268*K268,2)</f>
        <v>7.36</v>
      </c>
    </row>
    <row r="269" spans="1:13" x14ac:dyDescent="0.2">
      <c r="A269" s="320" t="s">
        <v>183</v>
      </c>
      <c r="B269" s="1010">
        <v>88247</v>
      </c>
      <c r="C269" s="1572" t="s">
        <v>387</v>
      </c>
      <c r="D269" s="1572"/>
      <c r="E269" s="1572"/>
      <c r="F269" s="1572"/>
      <c r="G269" s="1572"/>
      <c r="H269" s="1572"/>
      <c r="I269" s="1572"/>
      <c r="J269" s="1011" t="s">
        <v>158</v>
      </c>
      <c r="K269" s="1012">
        <v>0.01</v>
      </c>
      <c r="L269" s="1013">
        <v>17.04</v>
      </c>
      <c r="M269" s="1014">
        <f t="shared" ref="M269:M270" si="24">ROUND(L269*K269,2)</f>
        <v>0.17</v>
      </c>
    </row>
    <row r="270" spans="1:13" x14ac:dyDescent="0.2">
      <c r="A270" s="320" t="s">
        <v>183</v>
      </c>
      <c r="B270" s="1010">
        <v>88264</v>
      </c>
      <c r="C270" s="1572" t="s">
        <v>388</v>
      </c>
      <c r="D270" s="1572"/>
      <c r="E270" s="1572"/>
      <c r="F270" s="1572"/>
      <c r="G270" s="1572"/>
      <c r="H270" s="1572"/>
      <c r="I270" s="1572"/>
      <c r="J270" s="1011" t="s">
        <v>158</v>
      </c>
      <c r="K270" s="1012">
        <v>0.01</v>
      </c>
      <c r="L270" s="1013">
        <v>21.52</v>
      </c>
      <c r="M270" s="1014">
        <f t="shared" si="24"/>
        <v>0.22</v>
      </c>
    </row>
    <row r="271" spans="1:13" ht="15" x14ac:dyDescent="0.2">
      <c r="A271" s="1016"/>
      <c r="B271" s="1016"/>
      <c r="C271" s="1558" t="s">
        <v>389</v>
      </c>
      <c r="D271" s="1558"/>
      <c r="E271" s="1558"/>
      <c r="F271" s="1558"/>
      <c r="G271" s="1558"/>
      <c r="H271" s="1558"/>
      <c r="I271" s="1558"/>
      <c r="J271" s="1558"/>
      <c r="K271" s="1243"/>
      <c r="L271" s="1017"/>
      <c r="M271" s="1018">
        <f>ROUND(SUM(M268:M270),2)</f>
        <v>7.75</v>
      </c>
    </row>
    <row r="273" spans="1:13" s="933" customFormat="1" ht="18" customHeight="1" x14ac:dyDescent="0.2">
      <c r="A273" s="1242" t="s">
        <v>343</v>
      </c>
      <c r="B273" s="1126"/>
      <c r="C273" s="1559" t="s">
        <v>344</v>
      </c>
      <c r="D273" s="1560"/>
      <c r="E273" s="1560"/>
      <c r="F273" s="1560"/>
      <c r="G273" s="1560"/>
      <c r="H273" s="1560"/>
      <c r="I273" s="1560"/>
      <c r="J273" s="1560"/>
      <c r="K273" s="1560"/>
      <c r="L273" s="1561"/>
      <c r="M273" s="1127"/>
    </row>
    <row r="274" spans="1:13" ht="21.75" customHeight="1" x14ac:dyDescent="0.2">
      <c r="A274" s="1005" t="str">
        <f>ORÇ!A250</f>
        <v>12.5.11</v>
      </c>
      <c r="B274" s="1005" t="s">
        <v>218</v>
      </c>
      <c r="C274" s="1649" t="s">
        <v>2288</v>
      </c>
      <c r="D274" s="1649"/>
      <c r="E274" s="1649"/>
      <c r="F274" s="1649"/>
      <c r="G274" s="1649"/>
      <c r="H274" s="1649"/>
      <c r="I274" s="1649"/>
      <c r="J274" s="1649"/>
      <c r="K274" s="1649"/>
      <c r="L274" s="1649"/>
      <c r="M274" s="1649"/>
    </row>
    <row r="275" spans="1:13" ht="19.5" customHeight="1" x14ac:dyDescent="0.2">
      <c r="A275" s="1563" t="s">
        <v>1240</v>
      </c>
      <c r="B275" s="1563"/>
      <c r="C275" s="1563"/>
      <c r="D275" s="1563"/>
      <c r="E275" s="1563"/>
      <c r="F275" s="1563"/>
      <c r="G275" s="1563"/>
      <c r="H275" s="1563"/>
      <c r="I275" s="1563"/>
      <c r="J275" s="1563"/>
      <c r="K275" s="1563"/>
      <c r="L275" s="1563"/>
      <c r="M275" s="1563"/>
    </row>
    <row r="276" spans="1:13" ht="15" x14ac:dyDescent="0.2">
      <c r="A276" s="1008" t="s">
        <v>184</v>
      </c>
      <c r="B276" s="1008" t="s">
        <v>48</v>
      </c>
      <c r="C276" s="1564" t="s">
        <v>49</v>
      </c>
      <c r="D276" s="1565"/>
      <c r="E276" s="1565"/>
      <c r="F276" s="1565"/>
      <c r="G276" s="1565"/>
      <c r="H276" s="1565"/>
      <c r="I276" s="1566"/>
      <c r="J276" s="1008" t="s">
        <v>50</v>
      </c>
      <c r="K276" s="1008" t="s">
        <v>18</v>
      </c>
      <c r="L276" s="1009" t="s">
        <v>51</v>
      </c>
      <c r="M276" s="990" t="s">
        <v>47</v>
      </c>
    </row>
    <row r="277" spans="1:13" ht="33" customHeight="1" x14ac:dyDescent="0.2">
      <c r="A277" s="320" t="s">
        <v>319</v>
      </c>
      <c r="B277" s="1010" t="s">
        <v>2286</v>
      </c>
      <c r="C277" s="1569" t="s">
        <v>2287</v>
      </c>
      <c r="D277" s="1570"/>
      <c r="E277" s="1570"/>
      <c r="F277" s="1570"/>
      <c r="G277" s="1570"/>
      <c r="H277" s="1570"/>
      <c r="I277" s="1571"/>
      <c r="J277" s="1011" t="s">
        <v>162</v>
      </c>
      <c r="K277" s="1012">
        <v>0.1</v>
      </c>
      <c r="L277" s="1013">
        <v>83.8</v>
      </c>
      <c r="M277" s="1014">
        <f>ROUND(L277*K277,2)</f>
        <v>8.3800000000000008</v>
      </c>
    </row>
    <row r="278" spans="1:13" x14ac:dyDescent="0.2">
      <c r="A278" s="320" t="s">
        <v>183</v>
      </c>
      <c r="B278" s="1010">
        <v>88247</v>
      </c>
      <c r="C278" s="1572" t="s">
        <v>387</v>
      </c>
      <c r="D278" s="1572"/>
      <c r="E278" s="1572"/>
      <c r="F278" s="1572"/>
      <c r="G278" s="1572"/>
      <c r="H278" s="1572"/>
      <c r="I278" s="1572"/>
      <c r="J278" s="1011" t="s">
        <v>158</v>
      </c>
      <c r="K278" s="1012">
        <v>0.01</v>
      </c>
      <c r="L278" s="1013">
        <v>17.04</v>
      </c>
      <c r="M278" s="1014">
        <f t="shared" ref="M278:M279" si="25">ROUND(L278*K278,2)</f>
        <v>0.17</v>
      </c>
    </row>
    <row r="279" spans="1:13" x14ac:dyDescent="0.2">
      <c r="A279" s="320" t="s">
        <v>183</v>
      </c>
      <c r="B279" s="1010">
        <v>88264</v>
      </c>
      <c r="C279" s="1572" t="s">
        <v>388</v>
      </c>
      <c r="D279" s="1572"/>
      <c r="E279" s="1572"/>
      <c r="F279" s="1572"/>
      <c r="G279" s="1572"/>
      <c r="H279" s="1572"/>
      <c r="I279" s="1572"/>
      <c r="J279" s="1011" t="s">
        <v>158</v>
      </c>
      <c r="K279" s="1012">
        <v>0.01</v>
      </c>
      <c r="L279" s="1013">
        <v>21.52</v>
      </c>
      <c r="M279" s="1014">
        <f t="shared" si="25"/>
        <v>0.22</v>
      </c>
    </row>
    <row r="280" spans="1:13" ht="15" x14ac:dyDescent="0.2">
      <c r="A280" s="1016"/>
      <c r="B280" s="1016"/>
      <c r="C280" s="1558" t="s">
        <v>389</v>
      </c>
      <c r="D280" s="1558"/>
      <c r="E280" s="1558"/>
      <c r="F280" s="1558"/>
      <c r="G280" s="1558"/>
      <c r="H280" s="1558"/>
      <c r="I280" s="1558"/>
      <c r="J280" s="1558"/>
      <c r="K280" s="1243"/>
      <c r="L280" s="1017"/>
      <c r="M280" s="1018">
        <f>ROUND(SUM(M277:M279),2)</f>
        <v>8.77</v>
      </c>
    </row>
    <row r="282" spans="1:13" s="933" customFormat="1" ht="18" customHeight="1" x14ac:dyDescent="0.2">
      <c r="A282" s="1242" t="s">
        <v>343</v>
      </c>
      <c r="B282" s="1126"/>
      <c r="C282" s="1559" t="s">
        <v>344</v>
      </c>
      <c r="D282" s="1560"/>
      <c r="E282" s="1560"/>
      <c r="F282" s="1560"/>
      <c r="G282" s="1560"/>
      <c r="H282" s="1560"/>
      <c r="I282" s="1560"/>
      <c r="J282" s="1560"/>
      <c r="K282" s="1560"/>
      <c r="L282" s="1561"/>
      <c r="M282" s="1127"/>
    </row>
    <row r="283" spans="1:13" ht="20.25" customHeight="1" x14ac:dyDescent="0.2">
      <c r="A283" s="1005" t="str">
        <f>ORÇ!A253</f>
        <v>12.6.2</v>
      </c>
      <c r="B283" s="1005" t="s">
        <v>50</v>
      </c>
      <c r="C283" s="1649" t="s">
        <v>391</v>
      </c>
      <c r="D283" s="1649"/>
      <c r="E283" s="1649"/>
      <c r="F283" s="1649"/>
      <c r="G283" s="1649"/>
      <c r="H283" s="1649"/>
      <c r="I283" s="1649"/>
      <c r="J283" s="1649"/>
      <c r="K283" s="1649"/>
      <c r="L283" s="1649"/>
      <c r="M283" s="1649"/>
    </row>
    <row r="284" spans="1:13" ht="19.5" customHeight="1" x14ac:dyDescent="0.2">
      <c r="A284" s="1563" t="s">
        <v>2383</v>
      </c>
      <c r="B284" s="1563"/>
      <c r="C284" s="1563"/>
      <c r="D284" s="1563"/>
      <c r="E284" s="1563"/>
      <c r="F284" s="1563"/>
      <c r="G284" s="1563"/>
      <c r="H284" s="1563"/>
      <c r="I284" s="1563"/>
      <c r="J284" s="1563"/>
      <c r="K284" s="1563"/>
      <c r="L284" s="1563"/>
      <c r="M284" s="1563"/>
    </row>
    <row r="285" spans="1:13" ht="15" x14ac:dyDescent="0.2">
      <c r="A285" s="1008" t="s">
        <v>184</v>
      </c>
      <c r="B285" s="1008" t="s">
        <v>48</v>
      </c>
      <c r="C285" s="1564" t="s">
        <v>49</v>
      </c>
      <c r="D285" s="1565"/>
      <c r="E285" s="1565"/>
      <c r="F285" s="1565"/>
      <c r="G285" s="1565"/>
      <c r="H285" s="1565"/>
      <c r="I285" s="1566"/>
      <c r="J285" s="1008" t="s">
        <v>50</v>
      </c>
      <c r="K285" s="1008" t="s">
        <v>18</v>
      </c>
      <c r="L285" s="1009" t="s">
        <v>51</v>
      </c>
      <c r="M285" s="990" t="s">
        <v>47</v>
      </c>
    </row>
    <row r="286" spans="1:13" ht="16.5" customHeight="1" x14ac:dyDescent="0.2">
      <c r="A286" s="320" t="s">
        <v>319</v>
      </c>
      <c r="B286" s="1010">
        <v>39603</v>
      </c>
      <c r="C286" s="1572" t="s">
        <v>386</v>
      </c>
      <c r="D286" s="1572"/>
      <c r="E286" s="1572"/>
      <c r="F286" s="1572"/>
      <c r="G286" s="1572"/>
      <c r="H286" s="1572"/>
      <c r="I286" s="1572"/>
      <c r="J286" s="1011" t="s">
        <v>162</v>
      </c>
      <c r="K286" s="1012">
        <v>1</v>
      </c>
      <c r="L286" s="1013">
        <v>3.77</v>
      </c>
      <c r="M286" s="1014">
        <f>ROUND(L286*K286,2)</f>
        <v>3.77</v>
      </c>
    </row>
    <row r="287" spans="1:13" ht="16.5" customHeight="1" x14ac:dyDescent="0.2">
      <c r="A287" s="320" t="s">
        <v>183</v>
      </c>
      <c r="B287" s="1010">
        <v>88247</v>
      </c>
      <c r="C287" s="1572" t="s">
        <v>387</v>
      </c>
      <c r="D287" s="1572"/>
      <c r="E287" s="1572"/>
      <c r="F287" s="1572"/>
      <c r="G287" s="1572"/>
      <c r="H287" s="1572"/>
      <c r="I287" s="1572"/>
      <c r="J287" s="1011" t="s">
        <v>158</v>
      </c>
      <c r="K287" s="1012">
        <v>0.02</v>
      </c>
      <c r="L287" s="1013">
        <v>17.04</v>
      </c>
      <c r="M287" s="1014">
        <f t="shared" ref="M287:M288" si="26">ROUND(L287*K287,2)</f>
        <v>0.34</v>
      </c>
    </row>
    <row r="288" spans="1:13" ht="16.5" customHeight="1" x14ac:dyDescent="0.2">
      <c r="A288" s="320" t="s">
        <v>183</v>
      </c>
      <c r="B288" s="1010">
        <v>88264</v>
      </c>
      <c r="C288" s="1572" t="s">
        <v>388</v>
      </c>
      <c r="D288" s="1572"/>
      <c r="E288" s="1572"/>
      <c r="F288" s="1572"/>
      <c r="G288" s="1572"/>
      <c r="H288" s="1572"/>
      <c r="I288" s="1572"/>
      <c r="J288" s="1011" t="s">
        <v>158</v>
      </c>
      <c r="K288" s="1012">
        <v>0.01</v>
      </c>
      <c r="L288" s="1013">
        <v>21.52</v>
      </c>
      <c r="M288" s="1014">
        <f t="shared" si="26"/>
        <v>0.22</v>
      </c>
    </row>
    <row r="289" spans="1:13" ht="15" x14ac:dyDescent="0.2">
      <c r="A289" s="1016"/>
      <c r="B289" s="1016"/>
      <c r="C289" s="1558" t="s">
        <v>389</v>
      </c>
      <c r="D289" s="1558"/>
      <c r="E289" s="1558"/>
      <c r="F289" s="1558"/>
      <c r="G289" s="1558"/>
      <c r="H289" s="1558"/>
      <c r="I289" s="1558"/>
      <c r="J289" s="1558"/>
      <c r="K289" s="1243"/>
      <c r="L289" s="1017"/>
      <c r="M289" s="1018">
        <f>ROUND(SUM(M286:M288),2)</f>
        <v>4.33</v>
      </c>
    </row>
    <row r="291" spans="1:13" s="933" customFormat="1" ht="18" customHeight="1" x14ac:dyDescent="0.2">
      <c r="A291" s="1242" t="s">
        <v>343</v>
      </c>
      <c r="B291" s="1126"/>
      <c r="C291" s="1559" t="s">
        <v>344</v>
      </c>
      <c r="D291" s="1560"/>
      <c r="E291" s="1560"/>
      <c r="F291" s="1560"/>
      <c r="G291" s="1560"/>
      <c r="H291" s="1560"/>
      <c r="I291" s="1560"/>
      <c r="J291" s="1560"/>
      <c r="K291" s="1560"/>
      <c r="L291" s="1561"/>
      <c r="M291" s="1127"/>
    </row>
    <row r="292" spans="1:13" ht="20.25" customHeight="1" x14ac:dyDescent="0.2">
      <c r="A292" s="1005" t="str">
        <f>ORÇ!A263</f>
        <v>12.6.12</v>
      </c>
      <c r="B292" s="1005" t="s">
        <v>218</v>
      </c>
      <c r="C292" s="1649" t="s">
        <v>2200</v>
      </c>
      <c r="D292" s="1649"/>
      <c r="E292" s="1649"/>
      <c r="F292" s="1649"/>
      <c r="G292" s="1649"/>
      <c r="H292" s="1649"/>
      <c r="I292" s="1649"/>
      <c r="J292" s="1649"/>
      <c r="K292" s="1649"/>
      <c r="L292" s="1649"/>
      <c r="M292" s="1649"/>
    </row>
    <row r="293" spans="1:13" ht="19.5" customHeight="1" x14ac:dyDescent="0.2">
      <c r="A293" s="1563" t="s">
        <v>2384</v>
      </c>
      <c r="B293" s="1563"/>
      <c r="C293" s="1563"/>
      <c r="D293" s="1563"/>
      <c r="E293" s="1563"/>
      <c r="F293" s="1563"/>
      <c r="G293" s="1563"/>
      <c r="H293" s="1563"/>
      <c r="I293" s="1563"/>
      <c r="J293" s="1563"/>
      <c r="K293" s="1563"/>
      <c r="L293" s="1563"/>
      <c r="M293" s="1563"/>
    </row>
    <row r="294" spans="1:13" ht="15" x14ac:dyDescent="0.2">
      <c r="A294" s="1008" t="s">
        <v>184</v>
      </c>
      <c r="B294" s="1008" t="s">
        <v>48</v>
      </c>
      <c r="C294" s="1564" t="s">
        <v>49</v>
      </c>
      <c r="D294" s="1565"/>
      <c r="E294" s="1565"/>
      <c r="F294" s="1565"/>
      <c r="G294" s="1565"/>
      <c r="H294" s="1565"/>
      <c r="I294" s="1566"/>
      <c r="J294" s="1008" t="s">
        <v>50</v>
      </c>
      <c r="K294" s="1008" t="s">
        <v>18</v>
      </c>
      <c r="L294" s="1009" t="s">
        <v>51</v>
      </c>
      <c r="M294" s="990" t="s">
        <v>47</v>
      </c>
    </row>
    <row r="295" spans="1:13" ht="24" customHeight="1" x14ac:dyDescent="0.2">
      <c r="A295" s="320" t="s">
        <v>319</v>
      </c>
      <c r="B295" s="1010" t="s">
        <v>2198</v>
      </c>
      <c r="C295" s="1569" t="s">
        <v>2199</v>
      </c>
      <c r="D295" s="1570"/>
      <c r="E295" s="1570"/>
      <c r="F295" s="1570"/>
      <c r="G295" s="1570"/>
      <c r="H295" s="1570"/>
      <c r="I295" s="1571"/>
      <c r="J295" s="1011" t="s">
        <v>218</v>
      </c>
      <c r="K295" s="1012">
        <v>1.02</v>
      </c>
      <c r="L295" s="1013">
        <v>8.75</v>
      </c>
      <c r="M295" s="1014">
        <f>ROUND(L295*K295,2)</f>
        <v>8.93</v>
      </c>
    </row>
    <row r="296" spans="1:13" ht="24" customHeight="1" x14ac:dyDescent="0.2">
      <c r="A296" s="320" t="s">
        <v>183</v>
      </c>
      <c r="B296" s="1010">
        <v>88247</v>
      </c>
      <c r="C296" s="1572" t="s">
        <v>387</v>
      </c>
      <c r="D296" s="1572"/>
      <c r="E296" s="1572"/>
      <c r="F296" s="1572"/>
      <c r="G296" s="1572"/>
      <c r="H296" s="1572"/>
      <c r="I296" s="1572"/>
      <c r="J296" s="1011" t="s">
        <v>158</v>
      </c>
      <c r="K296" s="1015">
        <v>0.12</v>
      </c>
      <c r="L296" s="1013">
        <v>17.04</v>
      </c>
      <c r="M296" s="1014">
        <f t="shared" ref="M296:M297" si="27">ROUND(L296*K296,2)</f>
        <v>2.04</v>
      </c>
    </row>
    <row r="297" spans="1:13" ht="24" customHeight="1" x14ac:dyDescent="0.2">
      <c r="A297" s="320" t="s">
        <v>183</v>
      </c>
      <c r="B297" s="1010">
        <v>88264</v>
      </c>
      <c r="C297" s="1572" t="s">
        <v>388</v>
      </c>
      <c r="D297" s="1572"/>
      <c r="E297" s="1572"/>
      <c r="F297" s="1572"/>
      <c r="G297" s="1572"/>
      <c r="H297" s="1572"/>
      <c r="I297" s="1572"/>
      <c r="J297" s="1011" t="s">
        <v>158</v>
      </c>
      <c r="K297" s="1015">
        <v>0.12</v>
      </c>
      <c r="L297" s="1013">
        <v>21.52</v>
      </c>
      <c r="M297" s="1014">
        <f t="shared" si="27"/>
        <v>2.58</v>
      </c>
    </row>
    <row r="298" spans="1:13" ht="15" x14ac:dyDescent="0.2">
      <c r="A298" s="1016"/>
      <c r="B298" s="1016"/>
      <c r="C298" s="1558" t="s">
        <v>389</v>
      </c>
      <c r="D298" s="1558"/>
      <c r="E298" s="1558"/>
      <c r="F298" s="1558"/>
      <c r="G298" s="1558"/>
      <c r="H298" s="1558"/>
      <c r="I298" s="1558"/>
      <c r="J298" s="1558"/>
      <c r="K298" s="1243"/>
      <c r="L298" s="1017"/>
      <c r="M298" s="1018">
        <f>ROUND(SUM(M295:M297),2)</f>
        <v>13.55</v>
      </c>
    </row>
    <row r="300" spans="1:13" s="933" customFormat="1" ht="18" customHeight="1" x14ac:dyDescent="0.2">
      <c r="A300" s="1242" t="s">
        <v>343</v>
      </c>
      <c r="B300" s="1126"/>
      <c r="C300" s="1559" t="s">
        <v>344</v>
      </c>
      <c r="D300" s="1560"/>
      <c r="E300" s="1560"/>
      <c r="F300" s="1560"/>
      <c r="G300" s="1560"/>
      <c r="H300" s="1560"/>
      <c r="I300" s="1560"/>
      <c r="J300" s="1560"/>
      <c r="K300" s="1560"/>
      <c r="L300" s="1561"/>
      <c r="M300" s="1127"/>
    </row>
    <row r="301" spans="1:13" ht="47.25" customHeight="1" x14ac:dyDescent="0.2">
      <c r="A301" s="1005" t="str">
        <f>ORÇ!A269</f>
        <v>12.6.18</v>
      </c>
      <c r="B301" s="1011" t="s">
        <v>335</v>
      </c>
      <c r="C301" s="1562" t="s">
        <v>2213</v>
      </c>
      <c r="D301" s="1562"/>
      <c r="E301" s="1562"/>
      <c r="F301" s="1562"/>
      <c r="G301" s="1562"/>
      <c r="H301" s="1562"/>
      <c r="I301" s="1562"/>
      <c r="J301" s="1562"/>
      <c r="K301" s="1562"/>
      <c r="L301" s="1562"/>
      <c r="M301" s="1562"/>
    </row>
    <row r="302" spans="1:13" ht="19.5" customHeight="1" x14ac:dyDescent="0.2">
      <c r="A302" s="1563" t="s">
        <v>1241</v>
      </c>
      <c r="B302" s="1563"/>
      <c r="C302" s="1563"/>
      <c r="D302" s="1563"/>
      <c r="E302" s="1563"/>
      <c r="F302" s="1563"/>
      <c r="G302" s="1563"/>
      <c r="H302" s="1563"/>
      <c r="I302" s="1563"/>
      <c r="J302" s="1563"/>
      <c r="K302" s="1563"/>
      <c r="L302" s="1563"/>
      <c r="M302" s="1563"/>
    </row>
    <row r="303" spans="1:13" ht="15" x14ac:dyDescent="0.2">
      <c r="A303" s="1008" t="s">
        <v>184</v>
      </c>
      <c r="B303" s="1008" t="s">
        <v>48</v>
      </c>
      <c r="C303" s="1564" t="s">
        <v>49</v>
      </c>
      <c r="D303" s="1565"/>
      <c r="E303" s="1565"/>
      <c r="F303" s="1565"/>
      <c r="G303" s="1565"/>
      <c r="H303" s="1565"/>
      <c r="I303" s="1566"/>
      <c r="J303" s="1008" t="s">
        <v>50</v>
      </c>
      <c r="K303" s="1008" t="s">
        <v>18</v>
      </c>
      <c r="L303" s="1009" t="s">
        <v>51</v>
      </c>
      <c r="M303" s="990" t="s">
        <v>47</v>
      </c>
    </row>
    <row r="304" spans="1:13" ht="66" customHeight="1" x14ac:dyDescent="0.2">
      <c r="A304" s="320" t="s">
        <v>319</v>
      </c>
      <c r="B304" s="1010" t="s">
        <v>2211</v>
      </c>
      <c r="C304" s="1569" t="s">
        <v>2212</v>
      </c>
      <c r="D304" s="1570"/>
      <c r="E304" s="1570"/>
      <c r="F304" s="1570"/>
      <c r="G304" s="1570"/>
      <c r="H304" s="1570"/>
      <c r="I304" s="1571"/>
      <c r="J304" s="1011" t="s">
        <v>335</v>
      </c>
      <c r="K304" s="1012">
        <v>1</v>
      </c>
      <c r="L304" s="1013">
        <v>44.51</v>
      </c>
      <c r="M304" s="1014">
        <f>ROUND(L304*K304,2)</f>
        <v>44.51</v>
      </c>
    </row>
    <row r="305" spans="1:13" ht="24" customHeight="1" x14ac:dyDescent="0.2">
      <c r="A305" s="320" t="s">
        <v>183</v>
      </c>
      <c r="B305" s="1010">
        <v>88247</v>
      </c>
      <c r="C305" s="1572" t="s">
        <v>387</v>
      </c>
      <c r="D305" s="1572"/>
      <c r="E305" s="1572"/>
      <c r="F305" s="1572"/>
      <c r="G305" s="1572"/>
      <c r="H305" s="1572"/>
      <c r="I305" s="1572"/>
      <c r="J305" s="1011" t="s">
        <v>158</v>
      </c>
      <c r="K305" s="1015">
        <v>0.12</v>
      </c>
      <c r="L305" s="1013">
        <v>17.04</v>
      </c>
      <c r="M305" s="1014">
        <f t="shared" ref="M305:M306" si="28">ROUND(L305*K305,2)</f>
        <v>2.04</v>
      </c>
    </row>
    <row r="306" spans="1:13" ht="24" customHeight="1" x14ac:dyDescent="0.2">
      <c r="A306" s="320" t="s">
        <v>183</v>
      </c>
      <c r="B306" s="1010">
        <v>88264</v>
      </c>
      <c r="C306" s="1572" t="s">
        <v>388</v>
      </c>
      <c r="D306" s="1572"/>
      <c r="E306" s="1572"/>
      <c r="F306" s="1572"/>
      <c r="G306" s="1572"/>
      <c r="H306" s="1572"/>
      <c r="I306" s="1572"/>
      <c r="J306" s="1011" t="s">
        <v>158</v>
      </c>
      <c r="K306" s="1015">
        <v>0.12</v>
      </c>
      <c r="L306" s="1013">
        <v>21.52</v>
      </c>
      <c r="M306" s="1014">
        <f t="shared" si="28"/>
        <v>2.58</v>
      </c>
    </row>
    <row r="307" spans="1:13" ht="15" x14ac:dyDescent="0.2">
      <c r="A307" s="1016"/>
      <c r="B307" s="1016"/>
      <c r="C307" s="1558" t="s">
        <v>389</v>
      </c>
      <c r="D307" s="1558"/>
      <c r="E307" s="1558"/>
      <c r="F307" s="1558"/>
      <c r="G307" s="1558"/>
      <c r="H307" s="1558"/>
      <c r="I307" s="1558"/>
      <c r="J307" s="1558"/>
      <c r="K307" s="1243"/>
      <c r="L307" s="1017"/>
      <c r="M307" s="1018">
        <f>ROUND(SUM(M304:M306),2)</f>
        <v>49.13</v>
      </c>
    </row>
    <row r="309" spans="1:13" s="933" customFormat="1" ht="18" customHeight="1" x14ac:dyDescent="0.2">
      <c r="A309" s="1242" t="s">
        <v>343</v>
      </c>
      <c r="B309" s="1126"/>
      <c r="C309" s="1559" t="s">
        <v>344</v>
      </c>
      <c r="D309" s="1560"/>
      <c r="E309" s="1560"/>
      <c r="F309" s="1560"/>
      <c r="G309" s="1560"/>
      <c r="H309" s="1560"/>
      <c r="I309" s="1560"/>
      <c r="J309" s="1560"/>
      <c r="K309" s="1560"/>
      <c r="L309" s="1561"/>
      <c r="M309" s="1127"/>
    </row>
    <row r="310" spans="1:13" ht="24" customHeight="1" x14ac:dyDescent="0.2">
      <c r="A310" s="1005" t="str">
        <f>ORÇ!A280</f>
        <v>12.6.29</v>
      </c>
      <c r="B310" s="1011" t="s">
        <v>218</v>
      </c>
      <c r="C310" s="1562" t="s">
        <v>2236</v>
      </c>
      <c r="D310" s="1562"/>
      <c r="E310" s="1562"/>
      <c r="F310" s="1562"/>
      <c r="G310" s="1562"/>
      <c r="H310" s="1562"/>
      <c r="I310" s="1562"/>
      <c r="J310" s="1562"/>
      <c r="K310" s="1562"/>
      <c r="L310" s="1562"/>
      <c r="M310" s="1562"/>
    </row>
    <row r="311" spans="1:13" ht="19.5" customHeight="1" x14ac:dyDescent="0.2">
      <c r="A311" s="1563" t="s">
        <v>1365</v>
      </c>
      <c r="B311" s="1563"/>
      <c r="C311" s="1563"/>
      <c r="D311" s="1563"/>
      <c r="E311" s="1563"/>
      <c r="F311" s="1563"/>
      <c r="G311" s="1563"/>
      <c r="H311" s="1563"/>
      <c r="I311" s="1563"/>
      <c r="J311" s="1563"/>
      <c r="K311" s="1563"/>
      <c r="L311" s="1563"/>
      <c r="M311" s="1563"/>
    </row>
    <row r="312" spans="1:13" ht="15" x14ac:dyDescent="0.2">
      <c r="A312" s="1008" t="s">
        <v>184</v>
      </c>
      <c r="B312" s="1008" t="s">
        <v>48</v>
      </c>
      <c r="C312" s="1564" t="s">
        <v>49</v>
      </c>
      <c r="D312" s="1565"/>
      <c r="E312" s="1565"/>
      <c r="F312" s="1565"/>
      <c r="G312" s="1565"/>
      <c r="H312" s="1565"/>
      <c r="I312" s="1566"/>
      <c r="J312" s="1008" t="s">
        <v>50</v>
      </c>
      <c r="K312" s="1008" t="s">
        <v>18</v>
      </c>
      <c r="L312" s="1009" t="s">
        <v>51</v>
      </c>
      <c r="M312" s="990" t="s">
        <v>47</v>
      </c>
    </row>
    <row r="313" spans="1:13" ht="22.5" customHeight="1" x14ac:dyDescent="0.2">
      <c r="A313" s="320" t="s">
        <v>319</v>
      </c>
      <c r="B313" s="1010" t="s">
        <v>2234</v>
      </c>
      <c r="C313" s="1569" t="s">
        <v>2235</v>
      </c>
      <c r="D313" s="1570"/>
      <c r="E313" s="1570"/>
      <c r="F313" s="1570"/>
      <c r="G313" s="1570"/>
      <c r="H313" s="1570"/>
      <c r="I313" s="1571"/>
      <c r="J313" s="1011" t="s">
        <v>205</v>
      </c>
      <c r="K313" s="1012">
        <v>0.01</v>
      </c>
      <c r="L313" s="1013">
        <v>31.51</v>
      </c>
      <c r="M313" s="1014">
        <f>ROUND(L313*K313,2)</f>
        <v>0.32</v>
      </c>
    </row>
    <row r="314" spans="1:13" ht="22.5" customHeight="1" x14ac:dyDescent="0.2">
      <c r="A314" s="320" t="s">
        <v>183</v>
      </c>
      <c r="B314" s="1010">
        <v>88247</v>
      </c>
      <c r="C314" s="1572" t="s">
        <v>387</v>
      </c>
      <c r="D314" s="1572"/>
      <c r="E314" s="1572"/>
      <c r="F314" s="1572"/>
      <c r="G314" s="1572"/>
      <c r="H314" s="1572"/>
      <c r="I314" s="1572"/>
      <c r="J314" s="1011" t="s">
        <v>158</v>
      </c>
      <c r="K314" s="1015">
        <v>0.12</v>
      </c>
      <c r="L314" s="1013">
        <v>17.04</v>
      </c>
      <c r="M314" s="1014">
        <f t="shared" ref="M314:M315" si="29">ROUND(L314*K314,2)</f>
        <v>2.04</v>
      </c>
    </row>
    <row r="315" spans="1:13" ht="22.5" customHeight="1" x14ac:dyDescent="0.2">
      <c r="A315" s="320" t="s">
        <v>183</v>
      </c>
      <c r="B315" s="1010">
        <v>88264</v>
      </c>
      <c r="C315" s="1572" t="s">
        <v>388</v>
      </c>
      <c r="D315" s="1572"/>
      <c r="E315" s="1572"/>
      <c r="F315" s="1572"/>
      <c r="G315" s="1572"/>
      <c r="H315" s="1572"/>
      <c r="I315" s="1572"/>
      <c r="J315" s="1011" t="s">
        <v>158</v>
      </c>
      <c r="K315" s="1015">
        <v>0.12</v>
      </c>
      <c r="L315" s="1013">
        <v>21.52</v>
      </c>
      <c r="M315" s="1014">
        <f t="shared" si="29"/>
        <v>2.58</v>
      </c>
    </row>
    <row r="316" spans="1:13" ht="15" x14ac:dyDescent="0.2">
      <c r="A316" s="1016"/>
      <c r="B316" s="1016"/>
      <c r="C316" s="1558" t="s">
        <v>389</v>
      </c>
      <c r="D316" s="1558"/>
      <c r="E316" s="1558"/>
      <c r="F316" s="1558"/>
      <c r="G316" s="1558"/>
      <c r="H316" s="1558"/>
      <c r="I316" s="1558"/>
      <c r="J316" s="1558"/>
      <c r="K316" s="1243"/>
      <c r="L316" s="1017"/>
      <c r="M316" s="1018">
        <f>ROUND(SUM(M313:M315),2)</f>
        <v>4.9400000000000004</v>
      </c>
    </row>
    <row r="318" spans="1:13" s="933" customFormat="1" ht="18" customHeight="1" x14ac:dyDescent="0.2">
      <c r="A318" s="1242" t="s">
        <v>343</v>
      </c>
      <c r="B318" s="1126"/>
      <c r="C318" s="1559" t="s">
        <v>344</v>
      </c>
      <c r="D318" s="1560"/>
      <c r="E318" s="1560"/>
      <c r="F318" s="1560"/>
      <c r="G318" s="1560"/>
      <c r="H318" s="1560"/>
      <c r="I318" s="1560"/>
      <c r="J318" s="1560"/>
      <c r="K318" s="1560"/>
      <c r="L318" s="1561"/>
      <c r="M318" s="1127"/>
    </row>
    <row r="319" spans="1:13" ht="24" customHeight="1" x14ac:dyDescent="0.2">
      <c r="A319" s="1005" t="str">
        <f>ORÇ!A283</f>
        <v>12.6.32</v>
      </c>
      <c r="B319" s="1011" t="s">
        <v>335</v>
      </c>
      <c r="C319" s="1562" t="s">
        <v>2249</v>
      </c>
      <c r="D319" s="1562"/>
      <c r="E319" s="1562"/>
      <c r="F319" s="1562"/>
      <c r="G319" s="1562"/>
      <c r="H319" s="1562"/>
      <c r="I319" s="1562"/>
      <c r="J319" s="1562"/>
      <c r="K319" s="1562"/>
      <c r="L319" s="1562"/>
      <c r="M319" s="1562"/>
    </row>
    <row r="320" spans="1:13" ht="19.5" customHeight="1" x14ac:dyDescent="0.2">
      <c r="A320" s="1563" t="s">
        <v>1415</v>
      </c>
      <c r="B320" s="1563"/>
      <c r="C320" s="1563"/>
      <c r="D320" s="1563"/>
      <c r="E320" s="1563"/>
      <c r="F320" s="1563"/>
      <c r="G320" s="1563"/>
      <c r="H320" s="1563"/>
      <c r="I320" s="1563"/>
      <c r="J320" s="1563"/>
      <c r="K320" s="1563"/>
      <c r="L320" s="1563"/>
      <c r="M320" s="1563"/>
    </row>
    <row r="321" spans="1:13" ht="19.5" customHeight="1" x14ac:dyDescent="0.2">
      <c r="A321" s="1008" t="s">
        <v>184</v>
      </c>
      <c r="B321" s="1008" t="s">
        <v>48</v>
      </c>
      <c r="C321" s="1564" t="s">
        <v>49</v>
      </c>
      <c r="D321" s="1565"/>
      <c r="E321" s="1565"/>
      <c r="F321" s="1565"/>
      <c r="G321" s="1565"/>
      <c r="H321" s="1565"/>
      <c r="I321" s="1566"/>
      <c r="J321" s="1008" t="s">
        <v>50</v>
      </c>
      <c r="K321" s="1008" t="s">
        <v>18</v>
      </c>
      <c r="L321" s="1009" t="s">
        <v>51</v>
      </c>
      <c r="M321" s="990" t="s">
        <v>47</v>
      </c>
    </row>
    <row r="322" spans="1:13" ht="22.5" customHeight="1" x14ac:dyDescent="0.2">
      <c r="A322" s="1567" t="str">
        <f>COTAÇÃO!A101</f>
        <v>COTAÇÃO 13</v>
      </c>
      <c r="B322" s="1568"/>
      <c r="C322" s="1569" t="str">
        <f>COTAÇÃO!A100</f>
        <v>BLOCO BLI 10P P/ TELEFONIA</v>
      </c>
      <c r="D322" s="1570"/>
      <c r="E322" s="1570"/>
      <c r="F322" s="1570"/>
      <c r="G322" s="1570"/>
      <c r="H322" s="1570"/>
      <c r="I322" s="1571"/>
      <c r="J322" s="1011" t="s">
        <v>335</v>
      </c>
      <c r="K322" s="1012">
        <v>1</v>
      </c>
      <c r="L322" s="1013">
        <f>COTAÇÃO!E103</f>
        <v>45.82</v>
      </c>
      <c r="M322" s="1014">
        <f>ROUND(L322*K322,2)</f>
        <v>45.82</v>
      </c>
    </row>
    <row r="323" spans="1:13" ht="22.5" customHeight="1" x14ac:dyDescent="0.2">
      <c r="A323" s="320" t="s">
        <v>183</v>
      </c>
      <c r="B323" s="1010">
        <v>88247</v>
      </c>
      <c r="C323" s="1572" t="s">
        <v>387</v>
      </c>
      <c r="D323" s="1572"/>
      <c r="E323" s="1572"/>
      <c r="F323" s="1572"/>
      <c r="G323" s="1572"/>
      <c r="H323" s="1572"/>
      <c r="I323" s="1572"/>
      <c r="J323" s="1011" t="s">
        <v>158</v>
      </c>
      <c r="K323" s="1015">
        <v>0.12</v>
      </c>
      <c r="L323" s="1013">
        <v>17.04</v>
      </c>
      <c r="M323" s="1014">
        <f t="shared" ref="M323:M324" si="30">ROUND(L323*K323,2)</f>
        <v>2.04</v>
      </c>
    </row>
    <row r="324" spans="1:13" ht="22.5" customHeight="1" x14ac:dyDescent="0.2">
      <c r="A324" s="320" t="s">
        <v>183</v>
      </c>
      <c r="B324" s="1010">
        <v>88264</v>
      </c>
      <c r="C324" s="1572" t="s">
        <v>388</v>
      </c>
      <c r="D324" s="1572"/>
      <c r="E324" s="1572"/>
      <c r="F324" s="1572"/>
      <c r="G324" s="1572"/>
      <c r="H324" s="1572"/>
      <c r="I324" s="1572"/>
      <c r="J324" s="1011" t="s">
        <v>158</v>
      </c>
      <c r="K324" s="1015">
        <v>0.12</v>
      </c>
      <c r="L324" s="1013">
        <v>21.52</v>
      </c>
      <c r="M324" s="1014">
        <f t="shared" si="30"/>
        <v>2.58</v>
      </c>
    </row>
    <row r="325" spans="1:13" ht="15" x14ac:dyDescent="0.2">
      <c r="A325" s="1016"/>
      <c r="B325" s="1016"/>
      <c r="C325" s="1558" t="s">
        <v>389</v>
      </c>
      <c r="D325" s="1558"/>
      <c r="E325" s="1558"/>
      <c r="F325" s="1558"/>
      <c r="G325" s="1558"/>
      <c r="H325" s="1558"/>
      <c r="I325" s="1558"/>
      <c r="J325" s="1558"/>
      <c r="K325" s="1243"/>
      <c r="L325" s="1017"/>
      <c r="M325" s="1018">
        <f>ROUND(SUM(M322:M324),2)</f>
        <v>50.44</v>
      </c>
    </row>
    <row r="327" spans="1:13" s="933" customFormat="1" ht="18" customHeight="1" x14ac:dyDescent="0.2">
      <c r="A327" s="1242" t="s">
        <v>343</v>
      </c>
      <c r="B327" s="1126"/>
      <c r="C327" s="1559" t="s">
        <v>344</v>
      </c>
      <c r="D327" s="1560"/>
      <c r="E327" s="1560"/>
      <c r="F327" s="1560"/>
      <c r="G327" s="1560"/>
      <c r="H327" s="1560"/>
      <c r="I327" s="1560"/>
      <c r="J327" s="1560"/>
      <c r="K327" s="1560"/>
      <c r="L327" s="1561"/>
      <c r="M327" s="1127"/>
    </row>
    <row r="328" spans="1:13" ht="19.5" customHeight="1" x14ac:dyDescent="0.2">
      <c r="A328" s="1005" t="str">
        <f>ORÇ!A285</f>
        <v>12.6.34</v>
      </c>
      <c r="B328" s="1011" t="s">
        <v>335</v>
      </c>
      <c r="C328" s="1562" t="s">
        <v>2256</v>
      </c>
      <c r="D328" s="1562"/>
      <c r="E328" s="1562"/>
      <c r="F328" s="1562"/>
      <c r="G328" s="1562"/>
      <c r="H328" s="1562"/>
      <c r="I328" s="1562"/>
      <c r="J328" s="1562"/>
      <c r="K328" s="1562"/>
      <c r="L328" s="1562"/>
      <c r="M328" s="1562"/>
    </row>
    <row r="329" spans="1:13" ht="19.5" customHeight="1" x14ac:dyDescent="0.2">
      <c r="A329" s="1563" t="s">
        <v>1427</v>
      </c>
      <c r="B329" s="1563"/>
      <c r="C329" s="1563"/>
      <c r="D329" s="1563"/>
      <c r="E329" s="1563"/>
      <c r="F329" s="1563"/>
      <c r="G329" s="1563"/>
      <c r="H329" s="1563"/>
      <c r="I329" s="1563"/>
      <c r="J329" s="1563"/>
      <c r="K329" s="1563"/>
      <c r="L329" s="1563"/>
      <c r="M329" s="1563"/>
    </row>
    <row r="330" spans="1:13" ht="19.5" customHeight="1" x14ac:dyDescent="0.2">
      <c r="A330" s="1008" t="s">
        <v>184</v>
      </c>
      <c r="B330" s="1008" t="s">
        <v>48</v>
      </c>
      <c r="C330" s="1564" t="s">
        <v>49</v>
      </c>
      <c r="D330" s="1565"/>
      <c r="E330" s="1565"/>
      <c r="F330" s="1565"/>
      <c r="G330" s="1565"/>
      <c r="H330" s="1565"/>
      <c r="I330" s="1566"/>
      <c r="J330" s="1008" t="s">
        <v>50</v>
      </c>
      <c r="K330" s="1008" t="s">
        <v>18</v>
      </c>
      <c r="L330" s="1009" t="s">
        <v>51</v>
      </c>
      <c r="M330" s="990" t="s">
        <v>47</v>
      </c>
    </row>
    <row r="331" spans="1:13" ht="22.5" customHeight="1" x14ac:dyDescent="0.2">
      <c r="A331" s="1567" t="str">
        <f>COTAÇÃO!A108</f>
        <v>COTAÇÃO 14</v>
      </c>
      <c r="B331" s="1568"/>
      <c r="C331" s="1569" t="str">
        <f>COTAÇÃO!A107</f>
        <v>DISTRIBUIDOR INTERNO ÓPTICO (DIO)</v>
      </c>
      <c r="D331" s="1570"/>
      <c r="E331" s="1570"/>
      <c r="F331" s="1570"/>
      <c r="G331" s="1570"/>
      <c r="H331" s="1570"/>
      <c r="I331" s="1571"/>
      <c r="J331" s="1011" t="s">
        <v>335</v>
      </c>
      <c r="K331" s="1012">
        <v>1</v>
      </c>
      <c r="L331" s="1013">
        <f>COTAÇÃO!E110</f>
        <v>777.99000000000012</v>
      </c>
      <c r="M331" s="1014">
        <f>ROUND(L331*K331,2)</f>
        <v>777.99</v>
      </c>
    </row>
    <row r="332" spans="1:13" ht="22.5" customHeight="1" x14ac:dyDescent="0.2">
      <c r="A332" s="320" t="s">
        <v>183</v>
      </c>
      <c r="B332" s="1010">
        <v>88247</v>
      </c>
      <c r="C332" s="1572" t="s">
        <v>387</v>
      </c>
      <c r="D332" s="1572"/>
      <c r="E332" s="1572"/>
      <c r="F332" s="1572"/>
      <c r="G332" s="1572"/>
      <c r="H332" s="1572"/>
      <c r="I332" s="1572"/>
      <c r="J332" s="1011" t="s">
        <v>158</v>
      </c>
      <c r="K332" s="1015">
        <v>0.2</v>
      </c>
      <c r="L332" s="1013">
        <v>17.04</v>
      </c>
      <c r="M332" s="1014">
        <f t="shared" ref="M332:M333" si="31">ROUND(L332*K332,2)</f>
        <v>3.41</v>
      </c>
    </row>
    <row r="333" spans="1:13" ht="22.5" customHeight="1" x14ac:dyDescent="0.2">
      <c r="A333" s="320" t="s">
        <v>183</v>
      </c>
      <c r="B333" s="1010">
        <v>88264</v>
      </c>
      <c r="C333" s="1572" t="s">
        <v>388</v>
      </c>
      <c r="D333" s="1572"/>
      <c r="E333" s="1572"/>
      <c r="F333" s="1572"/>
      <c r="G333" s="1572"/>
      <c r="H333" s="1572"/>
      <c r="I333" s="1572"/>
      <c r="J333" s="1011" t="s">
        <v>158</v>
      </c>
      <c r="K333" s="1015">
        <v>0.2</v>
      </c>
      <c r="L333" s="1013">
        <v>21.52</v>
      </c>
      <c r="M333" s="1014">
        <f t="shared" si="31"/>
        <v>4.3</v>
      </c>
    </row>
    <row r="334" spans="1:13" ht="15" x14ac:dyDescent="0.2">
      <c r="A334" s="1016"/>
      <c r="B334" s="1016"/>
      <c r="C334" s="1558" t="s">
        <v>389</v>
      </c>
      <c r="D334" s="1558"/>
      <c r="E334" s="1558"/>
      <c r="F334" s="1558"/>
      <c r="G334" s="1558"/>
      <c r="H334" s="1558"/>
      <c r="I334" s="1558"/>
      <c r="J334" s="1558"/>
      <c r="K334" s="1243"/>
      <c r="L334" s="1017"/>
      <c r="M334" s="1018">
        <f>ROUND(SUM(M331:M333),2)</f>
        <v>785.7</v>
      </c>
    </row>
    <row r="336" spans="1:13" s="933" customFormat="1" ht="21" customHeight="1" x14ac:dyDescent="0.2">
      <c r="A336" s="1242" t="s">
        <v>15</v>
      </c>
      <c r="B336" s="1242" t="s">
        <v>588</v>
      </c>
      <c r="C336" s="1000"/>
      <c r="D336" s="1001"/>
      <c r="E336" s="1001"/>
      <c r="F336" s="1001"/>
      <c r="G336" s="1001" t="s">
        <v>84</v>
      </c>
      <c r="H336" s="1001"/>
      <c r="I336" s="1001"/>
      <c r="J336" s="1001"/>
      <c r="K336" s="1001"/>
      <c r="L336" s="1001"/>
      <c r="M336" s="1002"/>
    </row>
    <row r="337" spans="1:18" ht="21.75" customHeight="1" x14ac:dyDescent="0.2">
      <c r="A337" s="923" t="str">
        <f>ORÇ!A294</f>
        <v>12.7.4</v>
      </c>
      <c r="B337" s="943" t="s">
        <v>219</v>
      </c>
      <c r="C337" s="1573" t="s">
        <v>2176</v>
      </c>
      <c r="D337" s="1574"/>
      <c r="E337" s="1574"/>
      <c r="F337" s="1574"/>
      <c r="G337" s="1574"/>
      <c r="H337" s="1574"/>
      <c r="I337" s="1574"/>
      <c r="J337" s="1574"/>
      <c r="K337" s="1574"/>
      <c r="L337" s="1574"/>
      <c r="M337" s="1579"/>
    </row>
    <row r="338" spans="1:18" ht="18" customHeight="1" x14ac:dyDescent="0.25">
      <c r="A338" s="1580" t="s">
        <v>2080</v>
      </c>
      <c r="B338" s="1560"/>
      <c r="C338" s="1560"/>
      <c r="D338" s="1560"/>
      <c r="E338" s="1560"/>
      <c r="F338" s="1560"/>
      <c r="G338" s="1560"/>
      <c r="H338" s="1560"/>
      <c r="I338" s="1560"/>
      <c r="J338" s="1560"/>
      <c r="K338" s="1560"/>
      <c r="L338" s="1561"/>
      <c r="M338" s="924"/>
    </row>
    <row r="339" spans="1:18" ht="15" x14ac:dyDescent="0.25">
      <c r="A339" s="925" t="s">
        <v>184</v>
      </c>
      <c r="B339" s="926" t="s">
        <v>48</v>
      </c>
      <c r="C339" s="927"/>
      <c r="D339" s="928"/>
      <c r="E339" s="928"/>
      <c r="F339" s="928" t="s">
        <v>49</v>
      </c>
      <c r="G339" s="928"/>
      <c r="H339" s="928"/>
      <c r="I339" s="929"/>
      <c r="J339" s="930" t="s">
        <v>50</v>
      </c>
      <c r="K339" s="930" t="s">
        <v>18</v>
      </c>
      <c r="L339" s="931" t="s">
        <v>51</v>
      </c>
      <c r="M339" s="931" t="s">
        <v>47</v>
      </c>
    </row>
    <row r="340" spans="1:18" ht="48.75" customHeight="1" x14ac:dyDescent="0.2">
      <c r="A340" s="1205" t="s">
        <v>319</v>
      </c>
      <c r="B340" s="1245" t="s">
        <v>2168</v>
      </c>
      <c r="C340" s="1573" t="s">
        <v>2169</v>
      </c>
      <c r="D340" s="1574"/>
      <c r="E340" s="1574"/>
      <c r="F340" s="1574"/>
      <c r="G340" s="1574"/>
      <c r="H340" s="1574"/>
      <c r="I340" s="1575"/>
      <c r="J340" s="943" t="s">
        <v>219</v>
      </c>
      <c r="K340" s="260">
        <v>2</v>
      </c>
      <c r="L340" s="258">
        <v>0.3</v>
      </c>
      <c r="M340" s="259">
        <f>ROUND(K340*L340,2)</f>
        <v>0.6</v>
      </c>
      <c r="R340" s="946"/>
    </row>
    <row r="341" spans="1:18" ht="31.5" customHeight="1" x14ac:dyDescent="0.2">
      <c r="A341" s="1205" t="s">
        <v>319</v>
      </c>
      <c r="B341" s="1245" t="s">
        <v>2170</v>
      </c>
      <c r="C341" s="1573" t="s">
        <v>2171</v>
      </c>
      <c r="D341" s="1574"/>
      <c r="E341" s="1574"/>
      <c r="F341" s="1574"/>
      <c r="G341" s="1574"/>
      <c r="H341" s="1574"/>
      <c r="I341" s="1575"/>
      <c r="J341" s="943" t="s">
        <v>219</v>
      </c>
      <c r="K341" s="260">
        <v>1</v>
      </c>
      <c r="L341" s="258">
        <v>7.74</v>
      </c>
      <c r="M341" s="259">
        <f t="shared" ref="M341:M344" si="32">ROUND(K341*L341,2)</f>
        <v>7.74</v>
      </c>
    </row>
    <row r="342" spans="1:18" ht="18" customHeight="1" x14ac:dyDescent="0.2">
      <c r="A342" s="1205" t="s">
        <v>183</v>
      </c>
      <c r="B342" s="1245" t="s">
        <v>2172</v>
      </c>
      <c r="C342" s="1573" t="s">
        <v>387</v>
      </c>
      <c r="D342" s="1574"/>
      <c r="E342" s="1574"/>
      <c r="F342" s="1574"/>
      <c r="G342" s="1574"/>
      <c r="H342" s="1574"/>
      <c r="I342" s="1575"/>
      <c r="J342" s="943" t="s">
        <v>158</v>
      </c>
      <c r="K342" s="260">
        <v>0.32</v>
      </c>
      <c r="L342" s="258">
        <v>17.04</v>
      </c>
      <c r="M342" s="259">
        <f t="shared" si="32"/>
        <v>5.45</v>
      </c>
    </row>
    <row r="343" spans="1:18" ht="18" customHeight="1" x14ac:dyDescent="0.2">
      <c r="A343" s="1205" t="s">
        <v>183</v>
      </c>
      <c r="B343" s="1245" t="s">
        <v>2173</v>
      </c>
      <c r="C343" s="1581" t="s">
        <v>388</v>
      </c>
      <c r="D343" s="1582"/>
      <c r="E343" s="1582"/>
      <c r="F343" s="1582"/>
      <c r="G343" s="1582"/>
      <c r="H343" s="1582"/>
      <c r="I343" s="1583"/>
      <c r="J343" s="943" t="s">
        <v>158</v>
      </c>
      <c r="K343" s="257">
        <v>0.32</v>
      </c>
      <c r="L343" s="258">
        <v>21.52</v>
      </c>
      <c r="M343" s="259">
        <f t="shared" si="32"/>
        <v>6.89</v>
      </c>
    </row>
    <row r="344" spans="1:18" ht="31.5" customHeight="1" x14ac:dyDescent="0.2">
      <c r="A344" s="1205" t="s">
        <v>319</v>
      </c>
      <c r="B344" s="1207" t="s">
        <v>2174</v>
      </c>
      <c r="C344" s="1573" t="s">
        <v>2175</v>
      </c>
      <c r="D344" s="1574"/>
      <c r="E344" s="1574"/>
      <c r="F344" s="1574"/>
      <c r="G344" s="1574"/>
      <c r="H344" s="1574"/>
      <c r="I344" s="1575"/>
      <c r="J344" s="943" t="s">
        <v>205</v>
      </c>
      <c r="K344" s="257">
        <f>0.075*0.3*49.85</f>
        <v>1.1216250000000001</v>
      </c>
      <c r="L344" s="258">
        <v>9.98</v>
      </c>
      <c r="M344" s="259">
        <f t="shared" si="32"/>
        <v>11.19</v>
      </c>
    </row>
    <row r="345" spans="1:18" ht="15" x14ac:dyDescent="0.25">
      <c r="A345" s="941"/>
      <c r="B345" s="1204"/>
      <c r="C345" s="1576" t="s">
        <v>53</v>
      </c>
      <c r="D345" s="1577"/>
      <c r="E345" s="1577"/>
      <c r="F345" s="1577"/>
      <c r="G345" s="1577"/>
      <c r="H345" s="1577"/>
      <c r="I345" s="1577"/>
      <c r="J345" s="1578"/>
      <c r="K345" s="1253"/>
      <c r="L345" s="942"/>
      <c r="M345" s="945">
        <f>ROUND(SUM(M340:P344),2)</f>
        <v>31.87</v>
      </c>
    </row>
    <row r="347" spans="1:18" ht="18.75" customHeight="1" x14ac:dyDescent="0.25">
      <c r="A347" s="1242" t="s">
        <v>15</v>
      </c>
      <c r="B347" s="1242" t="s">
        <v>588</v>
      </c>
      <c r="C347" s="920"/>
      <c r="D347" s="921"/>
      <c r="E347" s="921"/>
      <c r="F347" s="921"/>
      <c r="G347" s="1001" t="s">
        <v>84</v>
      </c>
      <c r="H347" s="921"/>
      <c r="I347" s="921"/>
      <c r="J347" s="921"/>
      <c r="K347" s="921"/>
      <c r="L347" s="921"/>
      <c r="M347" s="922"/>
    </row>
    <row r="348" spans="1:18" ht="18.75" customHeight="1" x14ac:dyDescent="0.2">
      <c r="A348" s="923" t="str">
        <f>ORÇ!A306</f>
        <v>13.1.3</v>
      </c>
      <c r="B348" s="943" t="s">
        <v>219</v>
      </c>
      <c r="C348" s="1573" t="s">
        <v>1760</v>
      </c>
      <c r="D348" s="1574"/>
      <c r="E348" s="1574"/>
      <c r="F348" s="1574"/>
      <c r="G348" s="1574"/>
      <c r="H348" s="1574"/>
      <c r="I348" s="1574"/>
      <c r="J348" s="1574"/>
      <c r="K348" s="1574"/>
      <c r="L348" s="1574"/>
      <c r="M348" s="1579"/>
    </row>
    <row r="349" spans="1:18" ht="21" customHeight="1" x14ac:dyDescent="0.25">
      <c r="A349" s="1580" t="s">
        <v>2385</v>
      </c>
      <c r="B349" s="1560"/>
      <c r="C349" s="1560"/>
      <c r="D349" s="1560"/>
      <c r="E349" s="1560"/>
      <c r="F349" s="1560"/>
      <c r="G349" s="1560"/>
      <c r="H349" s="1560"/>
      <c r="I349" s="1560"/>
      <c r="J349" s="1560"/>
      <c r="K349" s="1560"/>
      <c r="L349" s="1561"/>
      <c r="M349" s="924"/>
    </row>
    <row r="350" spans="1:18" ht="15" x14ac:dyDescent="0.25">
      <c r="A350" s="925" t="s">
        <v>184</v>
      </c>
      <c r="B350" s="926" t="s">
        <v>48</v>
      </c>
      <c r="C350" s="927"/>
      <c r="D350" s="928"/>
      <c r="E350" s="928"/>
      <c r="F350" s="928" t="s">
        <v>49</v>
      </c>
      <c r="G350" s="928"/>
      <c r="H350" s="928"/>
      <c r="I350" s="929"/>
      <c r="J350" s="930" t="s">
        <v>50</v>
      </c>
      <c r="K350" s="930" t="s">
        <v>18</v>
      </c>
      <c r="L350" s="931" t="s">
        <v>51</v>
      </c>
      <c r="M350" s="931" t="s">
        <v>47</v>
      </c>
    </row>
    <row r="351" spans="1:18" ht="30" customHeight="1" x14ac:dyDescent="0.2">
      <c r="A351" s="996" t="s">
        <v>319</v>
      </c>
      <c r="B351" s="1251" t="s">
        <v>1758</v>
      </c>
      <c r="C351" s="1589" t="s">
        <v>1759</v>
      </c>
      <c r="D351" s="1590"/>
      <c r="E351" s="1590"/>
      <c r="F351" s="1590"/>
      <c r="G351" s="1590"/>
      <c r="H351" s="1590"/>
      <c r="I351" s="1591"/>
      <c r="J351" s="943" t="s">
        <v>219</v>
      </c>
      <c r="K351" s="257">
        <v>1</v>
      </c>
      <c r="L351" s="258">
        <v>145.6</v>
      </c>
      <c r="M351" s="259">
        <f>ROUND(K351*L351,2)</f>
        <v>145.6</v>
      </c>
    </row>
    <row r="352" spans="1:18" ht="21" customHeight="1" x14ac:dyDescent="0.2">
      <c r="A352" s="996" t="s">
        <v>319</v>
      </c>
      <c r="B352" s="1251">
        <v>119</v>
      </c>
      <c r="C352" s="1601" t="s">
        <v>293</v>
      </c>
      <c r="D352" s="1602"/>
      <c r="E352" s="1602"/>
      <c r="F352" s="1602"/>
      <c r="G352" s="1602"/>
      <c r="H352" s="1602"/>
      <c r="I352" s="1603"/>
      <c r="J352" s="943" t="s">
        <v>219</v>
      </c>
      <c r="K352" s="257">
        <v>0.433</v>
      </c>
      <c r="L352" s="258">
        <v>8</v>
      </c>
      <c r="M352" s="259">
        <f t="shared" ref="M352:M356" si="33">ROUND(K352*L352,2)</f>
        <v>3.46</v>
      </c>
    </row>
    <row r="353" spans="1:17" ht="22.5" customHeight="1" x14ac:dyDescent="0.2">
      <c r="A353" s="996" t="s">
        <v>319</v>
      </c>
      <c r="B353" s="1251">
        <v>20083</v>
      </c>
      <c r="C353" s="1601" t="s">
        <v>297</v>
      </c>
      <c r="D353" s="1602"/>
      <c r="E353" s="1602"/>
      <c r="F353" s="1602"/>
      <c r="G353" s="1602"/>
      <c r="H353" s="1602"/>
      <c r="I353" s="1603"/>
      <c r="J353" s="943" t="s">
        <v>219</v>
      </c>
      <c r="K353" s="257">
        <v>0.114</v>
      </c>
      <c r="L353" s="258">
        <v>69.739999999999995</v>
      </c>
      <c r="M353" s="259">
        <f t="shared" si="33"/>
        <v>7.95</v>
      </c>
    </row>
    <row r="354" spans="1:17" ht="21.75" customHeight="1" x14ac:dyDescent="0.2">
      <c r="A354" s="996" t="s">
        <v>319</v>
      </c>
      <c r="B354" s="1251">
        <v>38383</v>
      </c>
      <c r="C354" s="1601" t="s">
        <v>294</v>
      </c>
      <c r="D354" s="1602"/>
      <c r="E354" s="1602"/>
      <c r="F354" s="1602"/>
      <c r="G354" s="1602"/>
      <c r="H354" s="1602"/>
      <c r="I354" s="1603"/>
      <c r="J354" s="943" t="s">
        <v>219</v>
      </c>
      <c r="K354" s="257">
        <v>9.7000000000000003E-2</v>
      </c>
      <c r="L354" s="258">
        <v>1.59</v>
      </c>
      <c r="M354" s="259">
        <f t="shared" si="33"/>
        <v>0.15</v>
      </c>
    </row>
    <row r="355" spans="1:17" ht="36" customHeight="1" x14ac:dyDescent="0.2">
      <c r="A355" s="996" t="s">
        <v>183</v>
      </c>
      <c r="B355" s="1030">
        <v>88248</v>
      </c>
      <c r="C355" s="1601" t="s">
        <v>295</v>
      </c>
      <c r="D355" s="1602"/>
      <c r="E355" s="1602"/>
      <c r="F355" s="1602"/>
      <c r="G355" s="1602"/>
      <c r="H355" s="1602"/>
      <c r="I355" s="1603"/>
      <c r="J355" s="943" t="s">
        <v>158</v>
      </c>
      <c r="K355" s="257">
        <v>0.64600000000000002</v>
      </c>
      <c r="L355" s="258">
        <v>16.989999999999998</v>
      </c>
      <c r="M355" s="259">
        <f t="shared" si="33"/>
        <v>10.98</v>
      </c>
    </row>
    <row r="356" spans="1:17" ht="30" customHeight="1" x14ac:dyDescent="0.2">
      <c r="A356" s="996" t="s">
        <v>183</v>
      </c>
      <c r="B356" s="1030">
        <v>88267</v>
      </c>
      <c r="C356" s="1589" t="s">
        <v>296</v>
      </c>
      <c r="D356" s="1590"/>
      <c r="E356" s="1590"/>
      <c r="F356" s="1590"/>
      <c r="G356" s="1590"/>
      <c r="H356" s="1590"/>
      <c r="I356" s="1591"/>
      <c r="J356" s="943" t="s">
        <v>158</v>
      </c>
      <c r="K356" s="257">
        <v>0.64600000000000002</v>
      </c>
      <c r="L356" s="258">
        <v>20.7</v>
      </c>
      <c r="M356" s="259">
        <f t="shared" si="33"/>
        <v>13.37</v>
      </c>
    </row>
    <row r="357" spans="1:17" ht="15" x14ac:dyDescent="0.25">
      <c r="A357" s="941"/>
      <c r="B357" s="1204"/>
      <c r="C357" s="1576" t="s">
        <v>53</v>
      </c>
      <c r="D357" s="1577"/>
      <c r="E357" s="1577"/>
      <c r="F357" s="1577"/>
      <c r="G357" s="1577"/>
      <c r="H357" s="1577"/>
      <c r="I357" s="1577"/>
      <c r="J357" s="1578"/>
      <c r="K357" s="1253"/>
      <c r="L357" s="942"/>
      <c r="M357" s="945">
        <f>ROUND(SUM(M351:M356),2)</f>
        <v>181.51</v>
      </c>
    </row>
    <row r="359" spans="1:17" ht="15" x14ac:dyDescent="0.25">
      <c r="A359" s="1242" t="s">
        <v>343</v>
      </c>
      <c r="B359" s="920"/>
      <c r="C359" s="920"/>
      <c r="D359" s="921"/>
      <c r="E359" s="921"/>
      <c r="F359" s="921"/>
      <c r="G359" s="921" t="s">
        <v>344</v>
      </c>
      <c r="H359" s="921"/>
      <c r="I359" s="921"/>
      <c r="J359" s="921"/>
      <c r="K359" s="921"/>
      <c r="L359" s="921"/>
      <c r="M359" s="1003"/>
      <c r="Q359" s="1004"/>
    </row>
    <row r="360" spans="1:17" ht="21.75" customHeight="1" x14ac:dyDescent="0.2">
      <c r="A360" s="1005" t="str">
        <f>ORÇ!A311</f>
        <v>13.1.8</v>
      </c>
      <c r="B360" s="1247"/>
      <c r="C360" s="1650" t="s">
        <v>369</v>
      </c>
      <c r="D360" s="1651"/>
      <c r="E360" s="1651"/>
      <c r="F360" s="1651"/>
      <c r="G360" s="1651"/>
      <c r="H360" s="1651"/>
      <c r="I360" s="1651"/>
      <c r="J360" s="1651"/>
      <c r="K360" s="1651"/>
      <c r="L360" s="1651"/>
      <c r="M360" s="1652"/>
      <c r="Q360" s="1004"/>
    </row>
    <row r="361" spans="1:17" ht="20.25" customHeight="1" x14ac:dyDescent="0.25">
      <c r="A361" s="1006"/>
      <c r="B361" s="949"/>
      <c r="C361" s="949"/>
      <c r="D361" s="949"/>
      <c r="E361" s="949"/>
      <c r="F361" s="949"/>
      <c r="G361" s="1001" t="s">
        <v>2386</v>
      </c>
      <c r="H361" s="949"/>
      <c r="I361" s="949"/>
      <c r="J361" s="949"/>
      <c r="K361" s="949"/>
      <c r="L361" s="950"/>
      <c r="M361" s="1007"/>
      <c r="Q361" s="1004"/>
    </row>
    <row r="362" spans="1:17" ht="15" x14ac:dyDescent="0.25">
      <c r="A362" s="939" t="s">
        <v>184</v>
      </c>
      <c r="B362" s="926" t="s">
        <v>48</v>
      </c>
      <c r="C362" s="927"/>
      <c r="D362" s="928"/>
      <c r="E362" s="928"/>
      <c r="F362" s="928" t="s">
        <v>49</v>
      </c>
      <c r="G362" s="928"/>
      <c r="H362" s="928"/>
      <c r="I362" s="929"/>
      <c r="J362" s="930" t="s">
        <v>50</v>
      </c>
      <c r="K362" s="930" t="s">
        <v>18</v>
      </c>
      <c r="L362" s="931" t="s">
        <v>51</v>
      </c>
      <c r="M362" s="990" t="s">
        <v>47</v>
      </c>
      <c r="Q362" s="1004"/>
    </row>
    <row r="363" spans="1:17" ht="20.25" customHeight="1" x14ac:dyDescent="0.2">
      <c r="A363" s="923" t="s">
        <v>319</v>
      </c>
      <c r="B363" s="994" t="s">
        <v>360</v>
      </c>
      <c r="C363" s="1589" t="s">
        <v>361</v>
      </c>
      <c r="D363" s="1590"/>
      <c r="E363" s="1590"/>
      <c r="F363" s="1590"/>
      <c r="G363" s="1590"/>
      <c r="H363" s="1590"/>
      <c r="I363" s="1591"/>
      <c r="J363" s="320" t="s">
        <v>335</v>
      </c>
      <c r="K363" s="321">
        <v>5.0000000000000001E-3</v>
      </c>
      <c r="L363" s="322">
        <v>61.55</v>
      </c>
      <c r="M363" s="259">
        <f>ROUND(K363*L363,2)</f>
        <v>0.31</v>
      </c>
    </row>
    <row r="364" spans="1:17" ht="20.25" customHeight="1" x14ac:dyDescent="0.2">
      <c r="A364" s="923" t="s">
        <v>319</v>
      </c>
      <c r="B364" s="994" t="s">
        <v>362</v>
      </c>
      <c r="C364" s="1589" t="s">
        <v>363</v>
      </c>
      <c r="D364" s="1590"/>
      <c r="E364" s="1590"/>
      <c r="F364" s="1590"/>
      <c r="G364" s="1590"/>
      <c r="H364" s="1590"/>
      <c r="I364" s="1591"/>
      <c r="J364" s="320" t="s">
        <v>335</v>
      </c>
      <c r="K364" s="321">
        <v>1</v>
      </c>
      <c r="L364" s="322">
        <v>25.58</v>
      </c>
      <c r="M364" s="259">
        <f t="shared" ref="M364:M368" si="34">ROUND(K364*L364,2)</f>
        <v>25.58</v>
      </c>
    </row>
    <row r="365" spans="1:17" ht="31.5" customHeight="1" x14ac:dyDescent="0.2">
      <c r="A365" s="923" t="s">
        <v>319</v>
      </c>
      <c r="B365" s="994" t="s">
        <v>364</v>
      </c>
      <c r="C365" s="1589" t="s">
        <v>365</v>
      </c>
      <c r="D365" s="1590"/>
      <c r="E365" s="1590"/>
      <c r="F365" s="1590"/>
      <c r="G365" s="1590"/>
      <c r="H365" s="1590"/>
      <c r="I365" s="1591"/>
      <c r="J365" s="320" t="s">
        <v>335</v>
      </c>
      <c r="K365" s="321">
        <v>7.4999999999999997E-3</v>
      </c>
      <c r="L365" s="322">
        <v>69.739999999999995</v>
      </c>
      <c r="M365" s="259">
        <f t="shared" si="34"/>
        <v>0.52</v>
      </c>
    </row>
    <row r="366" spans="1:17" ht="19.5" customHeight="1" x14ac:dyDescent="0.2">
      <c r="A366" s="995" t="s">
        <v>319</v>
      </c>
      <c r="B366" s="996" t="s">
        <v>366</v>
      </c>
      <c r="C366" s="1589" t="s">
        <v>294</v>
      </c>
      <c r="D366" s="1590"/>
      <c r="E366" s="1590"/>
      <c r="F366" s="1590"/>
      <c r="G366" s="1590"/>
      <c r="H366" s="1590"/>
      <c r="I366" s="1591"/>
      <c r="J366" s="320" t="s">
        <v>335</v>
      </c>
      <c r="K366" s="321">
        <v>1.7000000000000001E-2</v>
      </c>
      <c r="L366" s="322">
        <v>1.59</v>
      </c>
      <c r="M366" s="259">
        <f t="shared" si="34"/>
        <v>0.03</v>
      </c>
    </row>
    <row r="367" spans="1:17" ht="28.5" customHeight="1" x14ac:dyDescent="0.2">
      <c r="A367" s="1205" t="s">
        <v>183</v>
      </c>
      <c r="B367" s="997" t="s">
        <v>367</v>
      </c>
      <c r="C367" s="1589" t="s">
        <v>295</v>
      </c>
      <c r="D367" s="1590"/>
      <c r="E367" s="1590"/>
      <c r="F367" s="1590"/>
      <c r="G367" s="1590"/>
      <c r="H367" s="1590"/>
      <c r="I367" s="1591"/>
      <c r="J367" s="320" t="s">
        <v>158</v>
      </c>
      <c r="K367" s="321">
        <v>7.0000000000000007E-2</v>
      </c>
      <c r="L367" s="322">
        <v>16.989999999999998</v>
      </c>
      <c r="M367" s="259">
        <f t="shared" si="34"/>
        <v>1.19</v>
      </c>
    </row>
    <row r="368" spans="1:17" ht="28.5" customHeight="1" x14ac:dyDescent="0.2">
      <c r="A368" s="1205" t="s">
        <v>183</v>
      </c>
      <c r="B368" s="997" t="s">
        <v>368</v>
      </c>
      <c r="C368" s="1589" t="s">
        <v>296</v>
      </c>
      <c r="D368" s="1590"/>
      <c r="E368" s="1590"/>
      <c r="F368" s="1590"/>
      <c r="G368" s="1590"/>
      <c r="H368" s="1590"/>
      <c r="I368" s="1591"/>
      <c r="J368" s="320" t="s">
        <v>158</v>
      </c>
      <c r="K368" s="321">
        <v>7.0000000000000007E-2</v>
      </c>
      <c r="L368" s="322">
        <v>20.7</v>
      </c>
      <c r="M368" s="259">
        <f t="shared" si="34"/>
        <v>1.45</v>
      </c>
    </row>
    <row r="369" spans="1:18" ht="15" x14ac:dyDescent="0.25">
      <c r="A369" s="941"/>
      <c r="B369" s="1204"/>
      <c r="C369" s="1576" t="s">
        <v>53</v>
      </c>
      <c r="D369" s="1577"/>
      <c r="E369" s="1577"/>
      <c r="F369" s="1577"/>
      <c r="G369" s="1577"/>
      <c r="H369" s="1577"/>
      <c r="I369" s="1577"/>
      <c r="J369" s="1578"/>
      <c r="K369" s="1253"/>
      <c r="L369" s="942"/>
      <c r="M369" s="944">
        <f>ROUND(SUM(M362:M368),2)</f>
        <v>29.08</v>
      </c>
    </row>
    <row r="371" spans="1:18" ht="15" x14ac:dyDescent="0.25">
      <c r="A371" s="1242" t="s">
        <v>15</v>
      </c>
      <c r="B371" s="1242" t="s">
        <v>588</v>
      </c>
      <c r="C371" s="920"/>
      <c r="D371" s="921"/>
      <c r="E371" s="921"/>
      <c r="F371" s="921"/>
      <c r="G371" s="921" t="s">
        <v>84</v>
      </c>
      <c r="H371" s="921"/>
      <c r="I371" s="921"/>
      <c r="J371" s="921"/>
      <c r="K371" s="921"/>
      <c r="L371" s="921"/>
      <c r="M371" s="922"/>
    </row>
    <row r="372" spans="1:18" ht="21.75" customHeight="1" x14ac:dyDescent="0.2">
      <c r="A372" s="923" t="str">
        <f>ORÇ!A327</f>
        <v>13.2.15</v>
      </c>
      <c r="B372" s="943" t="s">
        <v>219</v>
      </c>
      <c r="C372" s="1573" t="s">
        <v>1815</v>
      </c>
      <c r="D372" s="1574"/>
      <c r="E372" s="1574"/>
      <c r="F372" s="1574"/>
      <c r="G372" s="1574"/>
      <c r="H372" s="1574"/>
      <c r="I372" s="1574"/>
      <c r="J372" s="1574"/>
      <c r="K372" s="1574"/>
      <c r="L372" s="1574"/>
      <c r="M372" s="1579"/>
    </row>
    <row r="373" spans="1:18" ht="21" customHeight="1" x14ac:dyDescent="0.25">
      <c r="A373" s="1580" t="s">
        <v>2387</v>
      </c>
      <c r="B373" s="1560"/>
      <c r="C373" s="1560"/>
      <c r="D373" s="1560"/>
      <c r="E373" s="1560"/>
      <c r="F373" s="1560"/>
      <c r="G373" s="1560"/>
      <c r="H373" s="1560"/>
      <c r="I373" s="1560"/>
      <c r="J373" s="1560"/>
      <c r="K373" s="1560"/>
      <c r="L373" s="1561"/>
      <c r="M373" s="924"/>
    </row>
    <row r="374" spans="1:18" s="933" customFormat="1" ht="18.75" customHeight="1" x14ac:dyDescent="0.2">
      <c r="A374" s="925" t="s">
        <v>184</v>
      </c>
      <c r="B374" s="926" t="s">
        <v>48</v>
      </c>
      <c r="C374" s="936"/>
      <c r="D374" s="937"/>
      <c r="E374" s="937"/>
      <c r="F374" s="937" t="s">
        <v>49</v>
      </c>
      <c r="G374" s="937"/>
      <c r="H374" s="937"/>
      <c r="I374" s="938"/>
      <c r="J374" s="939" t="s">
        <v>50</v>
      </c>
      <c r="K374" s="939" t="s">
        <v>18</v>
      </c>
      <c r="L374" s="940" t="s">
        <v>51</v>
      </c>
      <c r="M374" s="940" t="s">
        <v>47</v>
      </c>
    </row>
    <row r="375" spans="1:18" ht="21.75" customHeight="1" x14ac:dyDescent="0.2">
      <c r="A375" s="1584" t="str">
        <f>COTAÇÃO!A45</f>
        <v>COTAÇÃO 05</v>
      </c>
      <c r="B375" s="1585"/>
      <c r="C375" s="1573" t="str">
        <f>COTAÇÃO!A44</f>
        <v>CAIXA DE PROTEÇÃO PARA HIDRÔMETRO - PASSEIO TAF</v>
      </c>
      <c r="D375" s="1574"/>
      <c r="E375" s="1574"/>
      <c r="F375" s="1574"/>
      <c r="G375" s="1574"/>
      <c r="H375" s="1574"/>
      <c r="I375" s="1575"/>
      <c r="J375" s="943" t="s">
        <v>219</v>
      </c>
      <c r="K375" s="260">
        <v>1</v>
      </c>
      <c r="L375" s="258">
        <f>COTAÇÃO!E47</f>
        <v>165.10999999999999</v>
      </c>
      <c r="M375" s="259">
        <f>ROUND(K375*L375,2)</f>
        <v>165.11</v>
      </c>
      <c r="R375" s="946"/>
    </row>
    <row r="376" spans="1:18" ht="21.75" customHeight="1" x14ac:dyDescent="0.2">
      <c r="A376" s="1205" t="s">
        <v>182</v>
      </c>
      <c r="B376" s="1245" t="s">
        <v>1016</v>
      </c>
      <c r="C376" s="1573" t="s">
        <v>1310</v>
      </c>
      <c r="D376" s="1574"/>
      <c r="E376" s="1574"/>
      <c r="F376" s="1574"/>
      <c r="G376" s="1574"/>
      <c r="H376" s="1574"/>
      <c r="I376" s="1575"/>
      <c r="J376" s="1030" t="s">
        <v>739</v>
      </c>
      <c r="K376" s="1031">
        <v>3.7499999999999999E-2</v>
      </c>
      <c r="L376" s="258">
        <v>51.21</v>
      </c>
      <c r="M376" s="259">
        <f t="shared" ref="M376:M378" si="35">ROUND(K376*L376,2)</f>
        <v>1.92</v>
      </c>
    </row>
    <row r="377" spans="1:18" ht="21.75" customHeight="1" x14ac:dyDescent="0.2">
      <c r="A377" s="1205" t="s">
        <v>183</v>
      </c>
      <c r="B377" s="1245" t="s">
        <v>1306</v>
      </c>
      <c r="C377" s="1589" t="s">
        <v>1307</v>
      </c>
      <c r="D377" s="1590"/>
      <c r="E377" s="1590"/>
      <c r="F377" s="1590"/>
      <c r="G377" s="1590"/>
      <c r="H377" s="1590"/>
      <c r="I377" s="1591"/>
      <c r="J377" s="1030" t="s">
        <v>739</v>
      </c>
      <c r="K377" s="1031">
        <v>1.5650000000000001E-2</v>
      </c>
      <c r="L377" s="258">
        <v>40.99</v>
      </c>
      <c r="M377" s="259">
        <f t="shared" si="35"/>
        <v>0.64</v>
      </c>
    </row>
    <row r="378" spans="1:18" ht="21.75" customHeight="1" x14ac:dyDescent="0.2">
      <c r="A378" s="1205" t="s">
        <v>182</v>
      </c>
      <c r="B378" s="1245" t="s">
        <v>1814</v>
      </c>
      <c r="C378" s="1653" t="s">
        <v>318</v>
      </c>
      <c r="D378" s="1654"/>
      <c r="E378" s="1654"/>
      <c r="F378" s="1654"/>
      <c r="G378" s="1654"/>
      <c r="H378" s="1654"/>
      <c r="I378" s="1655"/>
      <c r="J378" s="943" t="s">
        <v>158</v>
      </c>
      <c r="K378" s="260">
        <v>0.08</v>
      </c>
      <c r="L378" s="258">
        <v>17.07</v>
      </c>
      <c r="M378" s="259">
        <f t="shared" si="35"/>
        <v>1.37</v>
      </c>
    </row>
    <row r="379" spans="1:18" ht="15" x14ac:dyDescent="0.25">
      <c r="A379" s="941"/>
      <c r="B379" s="1204"/>
      <c r="C379" s="1576" t="s">
        <v>53</v>
      </c>
      <c r="D379" s="1577"/>
      <c r="E379" s="1577"/>
      <c r="F379" s="1577"/>
      <c r="G379" s="1577"/>
      <c r="H379" s="1577"/>
      <c r="I379" s="1577"/>
      <c r="J379" s="1578"/>
      <c r="K379" s="1253"/>
      <c r="L379" s="942"/>
      <c r="M379" s="945">
        <f>ROUND(SUM(M375:P378),2)</f>
        <v>169.04</v>
      </c>
    </row>
    <row r="381" spans="1:18" ht="15" x14ac:dyDescent="0.25">
      <c r="A381" s="1242" t="s">
        <v>15</v>
      </c>
      <c r="B381" s="1242" t="s">
        <v>588</v>
      </c>
      <c r="C381" s="920"/>
      <c r="D381" s="921"/>
      <c r="E381" s="921"/>
      <c r="F381" s="921"/>
      <c r="G381" s="921" t="s">
        <v>84</v>
      </c>
      <c r="H381" s="921"/>
      <c r="I381" s="921"/>
      <c r="J381" s="921"/>
      <c r="K381" s="921"/>
      <c r="L381" s="921"/>
      <c r="M381" s="922"/>
    </row>
    <row r="382" spans="1:18" ht="18" customHeight="1" x14ac:dyDescent="0.2">
      <c r="A382" s="923" t="str">
        <f>ORÇ!A345</f>
        <v>13.3.15</v>
      </c>
      <c r="B382" s="943" t="s">
        <v>219</v>
      </c>
      <c r="C382" s="1573" t="s">
        <v>302</v>
      </c>
      <c r="D382" s="1574"/>
      <c r="E382" s="1574"/>
      <c r="F382" s="1574"/>
      <c r="G382" s="1574"/>
      <c r="H382" s="1574"/>
      <c r="I382" s="1574"/>
      <c r="J382" s="1574"/>
      <c r="K382" s="1574"/>
      <c r="L382" s="1574"/>
      <c r="M382" s="1579"/>
    </row>
    <row r="383" spans="1:18" ht="18.75" customHeight="1" x14ac:dyDescent="0.25">
      <c r="A383" s="1580" t="s">
        <v>2388</v>
      </c>
      <c r="B383" s="1560"/>
      <c r="C383" s="1560"/>
      <c r="D383" s="1560"/>
      <c r="E383" s="1560"/>
      <c r="F383" s="1560"/>
      <c r="G383" s="1560"/>
      <c r="H383" s="1560"/>
      <c r="I383" s="1560"/>
      <c r="J383" s="1560"/>
      <c r="K383" s="1560"/>
      <c r="L383" s="1561"/>
      <c r="M383" s="924"/>
    </row>
    <row r="384" spans="1:18" ht="15" x14ac:dyDescent="0.25">
      <c r="A384" s="925" t="s">
        <v>184</v>
      </c>
      <c r="B384" s="926" t="s">
        <v>48</v>
      </c>
      <c r="C384" s="927"/>
      <c r="D384" s="928"/>
      <c r="E384" s="928"/>
      <c r="F384" s="928" t="s">
        <v>49</v>
      </c>
      <c r="G384" s="928"/>
      <c r="H384" s="928"/>
      <c r="I384" s="929"/>
      <c r="J384" s="930" t="s">
        <v>50</v>
      </c>
      <c r="K384" s="930" t="s">
        <v>18</v>
      </c>
      <c r="L384" s="931" t="s">
        <v>51</v>
      </c>
      <c r="M384" s="931" t="s">
        <v>47</v>
      </c>
    </row>
    <row r="385" spans="1:18" ht="30" customHeight="1" x14ac:dyDescent="0.2">
      <c r="A385" s="996" t="s">
        <v>319</v>
      </c>
      <c r="B385" s="1251">
        <v>11378</v>
      </c>
      <c r="C385" s="1601" t="s">
        <v>292</v>
      </c>
      <c r="D385" s="1602"/>
      <c r="E385" s="1602"/>
      <c r="F385" s="1602"/>
      <c r="G385" s="1602"/>
      <c r="H385" s="1602"/>
      <c r="I385" s="1603"/>
      <c r="J385" s="943" t="s">
        <v>219</v>
      </c>
      <c r="K385" s="257">
        <v>1</v>
      </c>
      <c r="L385" s="258">
        <v>115.7</v>
      </c>
      <c r="M385" s="259">
        <f>ROUND(K385*L385,2)</f>
        <v>115.7</v>
      </c>
    </row>
    <row r="386" spans="1:18" ht="21" customHeight="1" x14ac:dyDescent="0.2">
      <c r="A386" s="996" t="s">
        <v>319</v>
      </c>
      <c r="B386" s="1251">
        <v>119</v>
      </c>
      <c r="C386" s="1601" t="s">
        <v>293</v>
      </c>
      <c r="D386" s="1602"/>
      <c r="E386" s="1602"/>
      <c r="F386" s="1602"/>
      <c r="G386" s="1602"/>
      <c r="H386" s="1602"/>
      <c r="I386" s="1603"/>
      <c r="J386" s="943" t="s">
        <v>219</v>
      </c>
      <c r="K386" s="257">
        <v>0.433</v>
      </c>
      <c r="L386" s="258">
        <v>8</v>
      </c>
      <c r="M386" s="259">
        <f t="shared" ref="M386:M390" si="36">ROUND(K386*L386,2)</f>
        <v>3.46</v>
      </c>
    </row>
    <row r="387" spans="1:18" ht="22.5" customHeight="1" x14ac:dyDescent="0.2">
      <c r="A387" s="996" t="s">
        <v>319</v>
      </c>
      <c r="B387" s="1251">
        <v>20083</v>
      </c>
      <c r="C387" s="1601" t="s">
        <v>297</v>
      </c>
      <c r="D387" s="1602"/>
      <c r="E387" s="1602"/>
      <c r="F387" s="1602"/>
      <c r="G387" s="1602"/>
      <c r="H387" s="1602"/>
      <c r="I387" s="1603"/>
      <c r="J387" s="943" t="s">
        <v>219</v>
      </c>
      <c r="K387" s="257">
        <v>0.114</v>
      </c>
      <c r="L387" s="258">
        <v>69.739999999999995</v>
      </c>
      <c r="M387" s="259">
        <f t="shared" si="36"/>
        <v>7.95</v>
      </c>
    </row>
    <row r="388" spans="1:18" ht="21.75" customHeight="1" x14ac:dyDescent="0.2">
      <c r="A388" s="996" t="s">
        <v>319</v>
      </c>
      <c r="B388" s="1251">
        <v>38383</v>
      </c>
      <c r="C388" s="1601" t="s">
        <v>294</v>
      </c>
      <c r="D388" s="1602"/>
      <c r="E388" s="1602"/>
      <c r="F388" s="1602"/>
      <c r="G388" s="1602"/>
      <c r="H388" s="1602"/>
      <c r="I388" s="1603"/>
      <c r="J388" s="943" t="s">
        <v>219</v>
      </c>
      <c r="K388" s="257">
        <v>9.7000000000000003E-2</v>
      </c>
      <c r="L388" s="258">
        <v>1.59</v>
      </c>
      <c r="M388" s="259">
        <f t="shared" si="36"/>
        <v>0.15</v>
      </c>
    </row>
    <row r="389" spans="1:18" ht="36" customHeight="1" x14ac:dyDescent="0.2">
      <c r="A389" s="996" t="s">
        <v>183</v>
      </c>
      <c r="B389" s="1030">
        <v>88248</v>
      </c>
      <c r="C389" s="1601" t="s">
        <v>295</v>
      </c>
      <c r="D389" s="1602"/>
      <c r="E389" s="1602"/>
      <c r="F389" s="1602"/>
      <c r="G389" s="1602"/>
      <c r="H389" s="1602"/>
      <c r="I389" s="1603"/>
      <c r="J389" s="943" t="s">
        <v>158</v>
      </c>
      <c r="K389" s="257">
        <v>0.64600000000000002</v>
      </c>
      <c r="L389" s="258">
        <v>16.989999999999998</v>
      </c>
      <c r="M389" s="259">
        <f t="shared" si="36"/>
        <v>10.98</v>
      </c>
    </row>
    <row r="390" spans="1:18" ht="30" customHeight="1" x14ac:dyDescent="0.2">
      <c r="A390" s="996" t="s">
        <v>183</v>
      </c>
      <c r="B390" s="1030">
        <v>88267</v>
      </c>
      <c r="C390" s="1589" t="s">
        <v>296</v>
      </c>
      <c r="D390" s="1590"/>
      <c r="E390" s="1590"/>
      <c r="F390" s="1590"/>
      <c r="G390" s="1590"/>
      <c r="H390" s="1590"/>
      <c r="I390" s="1591"/>
      <c r="J390" s="943" t="s">
        <v>158</v>
      </c>
      <c r="K390" s="257">
        <v>0.64600000000000002</v>
      </c>
      <c r="L390" s="258">
        <v>20.7</v>
      </c>
      <c r="M390" s="259">
        <f t="shared" si="36"/>
        <v>13.37</v>
      </c>
    </row>
    <row r="391" spans="1:18" ht="15" x14ac:dyDescent="0.25">
      <c r="A391" s="941"/>
      <c r="B391" s="1204"/>
      <c r="C391" s="1576" t="s">
        <v>53</v>
      </c>
      <c r="D391" s="1577"/>
      <c r="E391" s="1577"/>
      <c r="F391" s="1577"/>
      <c r="G391" s="1577"/>
      <c r="H391" s="1577"/>
      <c r="I391" s="1577"/>
      <c r="J391" s="1578"/>
      <c r="K391" s="1253"/>
      <c r="L391" s="942"/>
      <c r="M391" s="945">
        <f>ROUND(SUM(M385:M390),2)</f>
        <v>151.61000000000001</v>
      </c>
    </row>
    <row r="393" spans="1:18" ht="15" x14ac:dyDescent="0.25">
      <c r="A393" s="1242" t="s">
        <v>15</v>
      </c>
      <c r="B393" s="1242" t="s">
        <v>588</v>
      </c>
      <c r="C393" s="920"/>
      <c r="D393" s="921"/>
      <c r="E393" s="921"/>
      <c r="F393" s="921"/>
      <c r="G393" s="921" t="s">
        <v>84</v>
      </c>
      <c r="H393" s="921"/>
      <c r="I393" s="921"/>
      <c r="J393" s="921"/>
      <c r="K393" s="921"/>
      <c r="L393" s="921"/>
      <c r="M393" s="922"/>
    </row>
    <row r="394" spans="1:18" ht="21.75" customHeight="1" x14ac:dyDescent="0.2">
      <c r="A394" s="923" t="str">
        <f>ORÇ!A346</f>
        <v>13.3.16</v>
      </c>
      <c r="B394" s="943" t="s">
        <v>335</v>
      </c>
      <c r="C394" s="1573" t="s">
        <v>1507</v>
      </c>
      <c r="D394" s="1574"/>
      <c r="E394" s="1574"/>
      <c r="F394" s="1574"/>
      <c r="G394" s="1574"/>
      <c r="H394" s="1574"/>
      <c r="I394" s="1574"/>
      <c r="J394" s="1574"/>
      <c r="K394" s="1574"/>
      <c r="L394" s="1574"/>
      <c r="M394" s="1579"/>
    </row>
    <row r="395" spans="1:18" ht="21" customHeight="1" x14ac:dyDescent="0.25">
      <c r="A395" s="1580" t="s">
        <v>2389</v>
      </c>
      <c r="B395" s="1560"/>
      <c r="C395" s="1560"/>
      <c r="D395" s="1560"/>
      <c r="E395" s="1560"/>
      <c r="F395" s="1560"/>
      <c r="G395" s="1560"/>
      <c r="H395" s="1560"/>
      <c r="I395" s="1560"/>
      <c r="J395" s="1560"/>
      <c r="K395" s="1560"/>
      <c r="L395" s="1561"/>
      <c r="M395" s="924"/>
    </row>
    <row r="396" spans="1:18" ht="15" x14ac:dyDescent="0.25">
      <c r="A396" s="925" t="s">
        <v>184</v>
      </c>
      <c r="B396" s="926" t="s">
        <v>48</v>
      </c>
      <c r="C396" s="927"/>
      <c r="D396" s="928"/>
      <c r="E396" s="928"/>
      <c r="F396" s="928" t="s">
        <v>49</v>
      </c>
      <c r="G396" s="928"/>
      <c r="H396" s="928"/>
      <c r="I396" s="929"/>
      <c r="J396" s="930" t="s">
        <v>50</v>
      </c>
      <c r="K396" s="930" t="s">
        <v>18</v>
      </c>
      <c r="L396" s="931" t="s">
        <v>51</v>
      </c>
      <c r="M396" s="931" t="s">
        <v>47</v>
      </c>
    </row>
    <row r="397" spans="1:18" ht="34.5" customHeight="1" x14ac:dyDescent="0.2">
      <c r="A397" s="1205" t="s">
        <v>319</v>
      </c>
      <c r="B397" s="1245" t="s">
        <v>1503</v>
      </c>
      <c r="C397" s="1573" t="s">
        <v>1504</v>
      </c>
      <c r="D397" s="1574"/>
      <c r="E397" s="1574"/>
      <c r="F397" s="1574"/>
      <c r="G397" s="1574"/>
      <c r="H397" s="1574"/>
      <c r="I397" s="1575"/>
      <c r="J397" s="943" t="s">
        <v>335</v>
      </c>
      <c r="K397" s="260">
        <v>1</v>
      </c>
      <c r="L397" s="258">
        <v>7.42</v>
      </c>
      <c r="M397" s="259">
        <f>ROUND(K397*L397,2)</f>
        <v>7.42</v>
      </c>
      <c r="R397" s="946"/>
    </row>
    <row r="398" spans="1:18" ht="34.5" customHeight="1" x14ac:dyDescent="0.2">
      <c r="A398" s="1205" t="s">
        <v>183</v>
      </c>
      <c r="B398" s="1245">
        <v>88248</v>
      </c>
      <c r="C398" s="1573" t="s">
        <v>295</v>
      </c>
      <c r="D398" s="1574"/>
      <c r="E398" s="1574"/>
      <c r="F398" s="1574"/>
      <c r="G398" s="1574"/>
      <c r="H398" s="1574"/>
      <c r="I398" s="1575"/>
      <c r="J398" s="943" t="s">
        <v>158</v>
      </c>
      <c r="K398" s="260">
        <v>0.6</v>
      </c>
      <c r="L398" s="258">
        <v>16.989999999999998</v>
      </c>
      <c r="M398" s="259">
        <f t="shared" ref="M398:M402" si="37">ROUND(K398*L398,2)</f>
        <v>10.19</v>
      </c>
    </row>
    <row r="399" spans="1:18" ht="34.5" customHeight="1" x14ac:dyDescent="0.2">
      <c r="A399" s="1205" t="s">
        <v>183</v>
      </c>
      <c r="B399" s="1245">
        <v>88267</v>
      </c>
      <c r="C399" s="1589" t="s">
        <v>296</v>
      </c>
      <c r="D399" s="1590"/>
      <c r="E399" s="1590"/>
      <c r="F399" s="1590"/>
      <c r="G399" s="1590"/>
      <c r="H399" s="1590"/>
      <c r="I399" s="1591"/>
      <c r="J399" s="943" t="s">
        <v>158</v>
      </c>
      <c r="K399" s="260">
        <v>0.6</v>
      </c>
      <c r="L399" s="258">
        <v>20.7</v>
      </c>
      <c r="M399" s="259">
        <f t="shared" si="37"/>
        <v>12.42</v>
      </c>
    </row>
    <row r="400" spans="1:18" ht="24.75" customHeight="1" x14ac:dyDescent="0.2">
      <c r="A400" s="1205" t="s">
        <v>319</v>
      </c>
      <c r="B400" s="1245" t="s">
        <v>360</v>
      </c>
      <c r="C400" s="1653" t="s">
        <v>361</v>
      </c>
      <c r="D400" s="1654"/>
      <c r="E400" s="1654"/>
      <c r="F400" s="1654"/>
      <c r="G400" s="1654"/>
      <c r="H400" s="1654"/>
      <c r="I400" s="1655"/>
      <c r="J400" s="943" t="s">
        <v>219</v>
      </c>
      <c r="K400" s="257">
        <v>0.02</v>
      </c>
      <c r="L400" s="258">
        <v>61.55</v>
      </c>
      <c r="M400" s="259">
        <f t="shared" si="37"/>
        <v>1.23</v>
      </c>
    </row>
    <row r="401" spans="1:13" ht="46.5" customHeight="1" x14ac:dyDescent="0.2">
      <c r="A401" s="1205" t="s">
        <v>319</v>
      </c>
      <c r="B401" s="1207" t="s">
        <v>1505</v>
      </c>
      <c r="C401" s="1589" t="s">
        <v>1506</v>
      </c>
      <c r="D401" s="1590"/>
      <c r="E401" s="1590"/>
      <c r="F401" s="1590"/>
      <c r="G401" s="1590"/>
      <c r="H401" s="1590"/>
      <c r="I401" s="1591"/>
      <c r="J401" s="943" t="s">
        <v>219</v>
      </c>
      <c r="K401" s="257">
        <v>0.02</v>
      </c>
      <c r="L401" s="258">
        <v>25.4</v>
      </c>
      <c r="M401" s="259">
        <f t="shared" si="37"/>
        <v>0.51</v>
      </c>
    </row>
    <row r="402" spans="1:13" ht="24.75" customHeight="1" x14ac:dyDescent="0.2">
      <c r="A402" s="923" t="s">
        <v>319</v>
      </c>
      <c r="B402" s="1030" t="s">
        <v>366</v>
      </c>
      <c r="C402" s="1589" t="s">
        <v>294</v>
      </c>
      <c r="D402" s="1590"/>
      <c r="E402" s="1590"/>
      <c r="F402" s="1590"/>
      <c r="G402" s="1590"/>
      <c r="H402" s="1590"/>
      <c r="I402" s="1591"/>
      <c r="J402" s="943" t="s">
        <v>219</v>
      </c>
      <c r="K402" s="260">
        <v>0.2</v>
      </c>
      <c r="L402" s="258">
        <v>1.59</v>
      </c>
      <c r="M402" s="259">
        <f t="shared" si="37"/>
        <v>0.32</v>
      </c>
    </row>
    <row r="403" spans="1:13" ht="15" x14ac:dyDescent="0.25">
      <c r="A403" s="941"/>
      <c r="B403" s="1204"/>
      <c r="C403" s="1576" t="s">
        <v>53</v>
      </c>
      <c r="D403" s="1577"/>
      <c r="E403" s="1577"/>
      <c r="F403" s="1577"/>
      <c r="G403" s="1577"/>
      <c r="H403" s="1577"/>
      <c r="I403" s="1577"/>
      <c r="J403" s="1578"/>
      <c r="K403" s="1253"/>
      <c r="L403" s="942"/>
      <c r="M403" s="945">
        <f>ROUND(SUM(M397:P402),2)</f>
        <v>32.090000000000003</v>
      </c>
    </row>
    <row r="405" spans="1:13" ht="15" x14ac:dyDescent="0.25">
      <c r="A405" s="1242" t="s">
        <v>15</v>
      </c>
      <c r="B405" s="1242" t="s">
        <v>588</v>
      </c>
      <c r="C405" s="920"/>
      <c r="D405" s="921"/>
      <c r="E405" s="921"/>
      <c r="F405" s="921"/>
      <c r="G405" s="921" t="s">
        <v>84</v>
      </c>
      <c r="H405" s="921"/>
      <c r="I405" s="921"/>
      <c r="J405" s="921"/>
      <c r="K405" s="921"/>
      <c r="L405" s="921"/>
      <c r="M405" s="922"/>
    </row>
    <row r="406" spans="1:13" ht="33" customHeight="1" x14ac:dyDescent="0.2">
      <c r="A406" s="923" t="str">
        <f>ORÇ!A382</f>
        <v>13.5.5.1</v>
      </c>
      <c r="B406" s="943" t="s">
        <v>219</v>
      </c>
      <c r="C406" s="1573" t="s">
        <v>1599</v>
      </c>
      <c r="D406" s="1574"/>
      <c r="E406" s="1574"/>
      <c r="F406" s="1574"/>
      <c r="G406" s="1574"/>
      <c r="H406" s="1574"/>
      <c r="I406" s="1574"/>
      <c r="J406" s="1574"/>
      <c r="K406" s="1574"/>
      <c r="L406" s="1574"/>
      <c r="M406" s="1579"/>
    </row>
    <row r="407" spans="1:13" ht="18.75" customHeight="1" x14ac:dyDescent="0.25">
      <c r="A407" s="1580" t="s">
        <v>2394</v>
      </c>
      <c r="B407" s="1560"/>
      <c r="C407" s="1560"/>
      <c r="D407" s="1560"/>
      <c r="E407" s="1560"/>
      <c r="F407" s="1560"/>
      <c r="G407" s="1560"/>
      <c r="H407" s="1560"/>
      <c r="I407" s="1560"/>
      <c r="J407" s="1560"/>
      <c r="K407" s="1560"/>
      <c r="L407" s="1561"/>
      <c r="M407" s="924"/>
    </row>
    <row r="408" spans="1:13" ht="15" x14ac:dyDescent="0.25">
      <c r="A408" s="925" t="s">
        <v>184</v>
      </c>
      <c r="B408" s="926" t="s">
        <v>48</v>
      </c>
      <c r="C408" s="927"/>
      <c r="D408" s="928"/>
      <c r="E408" s="928"/>
      <c r="F408" s="928" t="s">
        <v>49</v>
      </c>
      <c r="G408" s="928"/>
      <c r="H408" s="928"/>
      <c r="I408" s="929"/>
      <c r="J408" s="930" t="s">
        <v>50</v>
      </c>
      <c r="K408" s="930" t="s">
        <v>18</v>
      </c>
      <c r="L408" s="931" t="s">
        <v>51</v>
      </c>
      <c r="M408" s="931" t="s">
        <v>47</v>
      </c>
    </row>
    <row r="409" spans="1:13" ht="24" customHeight="1" x14ac:dyDescent="0.2">
      <c r="A409" s="996" t="s">
        <v>319</v>
      </c>
      <c r="B409" s="1251" t="s">
        <v>1587</v>
      </c>
      <c r="C409" s="1589" t="s">
        <v>1588</v>
      </c>
      <c r="D409" s="1590"/>
      <c r="E409" s="1590"/>
      <c r="F409" s="1590"/>
      <c r="G409" s="1590"/>
      <c r="H409" s="1590"/>
      <c r="I409" s="1591"/>
      <c r="J409" s="943" t="s">
        <v>219</v>
      </c>
      <c r="K409" s="257">
        <v>1</v>
      </c>
      <c r="L409" s="258">
        <v>2515.9299999999998</v>
      </c>
      <c r="M409" s="259">
        <f>ROUND(K409*L409,2)</f>
        <v>2515.9299999999998</v>
      </c>
    </row>
    <row r="410" spans="1:13" ht="32.25" customHeight="1" x14ac:dyDescent="0.2">
      <c r="A410" s="996" t="s">
        <v>183</v>
      </c>
      <c r="B410" s="1251" t="s">
        <v>1589</v>
      </c>
      <c r="C410" s="1589" t="s">
        <v>1590</v>
      </c>
      <c r="D410" s="1590"/>
      <c r="E410" s="1590"/>
      <c r="F410" s="1590"/>
      <c r="G410" s="1590"/>
      <c r="H410" s="1590"/>
      <c r="I410" s="1591"/>
      <c r="J410" s="943" t="s">
        <v>219</v>
      </c>
      <c r="K410" s="257">
        <v>1</v>
      </c>
      <c r="L410" s="258">
        <v>3.22</v>
      </c>
      <c r="M410" s="259">
        <f t="shared" ref="M410:M414" si="38">ROUND(K410*L410,2)</f>
        <v>3.22</v>
      </c>
    </row>
    <row r="411" spans="1:13" ht="32.25" customHeight="1" x14ac:dyDescent="0.2">
      <c r="A411" s="996" t="s">
        <v>183</v>
      </c>
      <c r="B411" s="1251" t="s">
        <v>1591</v>
      </c>
      <c r="C411" s="1589" t="s">
        <v>1592</v>
      </c>
      <c r="D411" s="1590"/>
      <c r="E411" s="1590"/>
      <c r="F411" s="1590"/>
      <c r="G411" s="1590"/>
      <c r="H411" s="1590"/>
      <c r="I411" s="1591"/>
      <c r="J411" s="943" t="s">
        <v>219</v>
      </c>
      <c r="K411" s="257">
        <v>3</v>
      </c>
      <c r="L411" s="258">
        <v>4.7</v>
      </c>
      <c r="M411" s="259">
        <f t="shared" si="38"/>
        <v>14.1</v>
      </c>
    </row>
    <row r="412" spans="1:13" ht="44.25" customHeight="1" x14ac:dyDescent="0.2">
      <c r="A412" s="996" t="s">
        <v>183</v>
      </c>
      <c r="B412" s="1251" t="s">
        <v>1593</v>
      </c>
      <c r="C412" s="1589" t="s">
        <v>1594</v>
      </c>
      <c r="D412" s="1590"/>
      <c r="E412" s="1590"/>
      <c r="F412" s="1590"/>
      <c r="G412" s="1590"/>
      <c r="H412" s="1590"/>
      <c r="I412" s="1591"/>
      <c r="J412" s="943" t="s">
        <v>1597</v>
      </c>
      <c r="K412" s="257">
        <v>0.5</v>
      </c>
      <c r="L412" s="258">
        <v>18.41</v>
      </c>
      <c r="M412" s="259">
        <f t="shared" si="38"/>
        <v>9.2100000000000009</v>
      </c>
    </row>
    <row r="413" spans="1:13" ht="44.25" customHeight="1" x14ac:dyDescent="0.2">
      <c r="A413" s="996" t="s">
        <v>183</v>
      </c>
      <c r="B413" s="1030" t="s">
        <v>1595</v>
      </c>
      <c r="C413" s="1589" t="s">
        <v>1596</v>
      </c>
      <c r="D413" s="1590"/>
      <c r="E413" s="1590"/>
      <c r="F413" s="1590"/>
      <c r="G413" s="1590"/>
      <c r="H413" s="1590"/>
      <c r="I413" s="1591"/>
      <c r="J413" s="943" t="s">
        <v>1598</v>
      </c>
      <c r="K413" s="257">
        <v>0.3</v>
      </c>
      <c r="L413" s="258">
        <v>19.54</v>
      </c>
      <c r="M413" s="259">
        <f t="shared" si="38"/>
        <v>5.86</v>
      </c>
    </row>
    <row r="414" spans="1:13" ht="21.75" customHeight="1" x14ac:dyDescent="0.2">
      <c r="A414" s="996" t="s">
        <v>183</v>
      </c>
      <c r="B414" s="1030" t="s">
        <v>324</v>
      </c>
      <c r="C414" s="1589" t="s">
        <v>318</v>
      </c>
      <c r="D414" s="1590"/>
      <c r="E414" s="1590"/>
      <c r="F414" s="1590"/>
      <c r="G414" s="1590"/>
      <c r="H414" s="1590"/>
      <c r="I414" s="1591"/>
      <c r="J414" s="1256" t="s">
        <v>158</v>
      </c>
      <c r="K414" s="257">
        <v>0.3</v>
      </c>
      <c r="L414" s="258">
        <v>17.09</v>
      </c>
      <c r="M414" s="259">
        <f t="shared" si="38"/>
        <v>5.13</v>
      </c>
    </row>
    <row r="415" spans="1:13" ht="15" x14ac:dyDescent="0.25">
      <c r="A415" s="941"/>
      <c r="B415" s="1204"/>
      <c r="C415" s="1576" t="s">
        <v>53</v>
      </c>
      <c r="D415" s="1577"/>
      <c r="E415" s="1577"/>
      <c r="F415" s="1577"/>
      <c r="G415" s="1577"/>
      <c r="H415" s="1577"/>
      <c r="I415" s="1577"/>
      <c r="J415" s="1578"/>
      <c r="K415" s="1253"/>
      <c r="L415" s="942"/>
      <c r="M415" s="945">
        <f>ROUND(SUM(M409:M414),2)</f>
        <v>2553.4499999999998</v>
      </c>
    </row>
    <row r="417" spans="1:13" ht="15" x14ac:dyDescent="0.25">
      <c r="A417" s="1242" t="s">
        <v>15</v>
      </c>
      <c r="B417" s="1242" t="s">
        <v>588</v>
      </c>
      <c r="C417" s="920"/>
      <c r="D417" s="921"/>
      <c r="E417" s="921"/>
      <c r="F417" s="921"/>
      <c r="G417" s="921" t="s">
        <v>84</v>
      </c>
      <c r="H417" s="921"/>
      <c r="I417" s="921"/>
      <c r="J417" s="921"/>
      <c r="K417" s="921"/>
      <c r="L417" s="921"/>
      <c r="M417" s="922"/>
    </row>
    <row r="418" spans="1:13" ht="18" customHeight="1" x14ac:dyDescent="0.2">
      <c r="A418" s="923" t="str">
        <f>ORÇ!A394</f>
        <v>13.5.5.13</v>
      </c>
      <c r="B418" s="943" t="s">
        <v>219</v>
      </c>
      <c r="C418" s="1573" t="s">
        <v>1627</v>
      </c>
      <c r="D418" s="1574"/>
      <c r="E418" s="1574"/>
      <c r="F418" s="1574"/>
      <c r="G418" s="1574"/>
      <c r="H418" s="1574"/>
      <c r="I418" s="1574"/>
      <c r="J418" s="1574"/>
      <c r="K418" s="1574"/>
      <c r="L418" s="1574"/>
      <c r="M418" s="1579"/>
    </row>
    <row r="419" spans="1:13" ht="18.75" customHeight="1" x14ac:dyDescent="0.25">
      <c r="A419" s="1580" t="s">
        <v>2395</v>
      </c>
      <c r="B419" s="1560"/>
      <c r="C419" s="1560"/>
      <c r="D419" s="1560"/>
      <c r="E419" s="1560"/>
      <c r="F419" s="1560"/>
      <c r="G419" s="1560"/>
      <c r="H419" s="1560"/>
      <c r="I419" s="1560"/>
      <c r="J419" s="1560"/>
      <c r="K419" s="1560"/>
      <c r="L419" s="1561"/>
      <c r="M419" s="924"/>
    </row>
    <row r="420" spans="1:13" ht="15.75" customHeight="1" x14ac:dyDescent="0.25">
      <c r="A420" s="925" t="s">
        <v>184</v>
      </c>
      <c r="B420" s="926" t="s">
        <v>48</v>
      </c>
      <c r="C420" s="927"/>
      <c r="D420" s="928"/>
      <c r="E420" s="928"/>
      <c r="F420" s="928" t="s">
        <v>49</v>
      </c>
      <c r="G420" s="928"/>
      <c r="H420" s="928"/>
      <c r="I420" s="929"/>
      <c r="J420" s="930" t="s">
        <v>50</v>
      </c>
      <c r="K420" s="930" t="s">
        <v>18</v>
      </c>
      <c r="L420" s="931" t="s">
        <v>51</v>
      </c>
      <c r="M420" s="931" t="s">
        <v>47</v>
      </c>
    </row>
    <row r="421" spans="1:13" ht="30" customHeight="1" x14ac:dyDescent="0.2">
      <c r="A421" s="996" t="s">
        <v>319</v>
      </c>
      <c r="B421" s="1251" t="s">
        <v>1625</v>
      </c>
      <c r="C421" s="1589" t="s">
        <v>1626</v>
      </c>
      <c r="D421" s="1590"/>
      <c r="E421" s="1590"/>
      <c r="F421" s="1590"/>
      <c r="G421" s="1590"/>
      <c r="H421" s="1590"/>
      <c r="I421" s="1591"/>
      <c r="J421" s="943" t="s">
        <v>219</v>
      </c>
      <c r="K421" s="257">
        <v>1</v>
      </c>
      <c r="L421" s="258">
        <v>13.33</v>
      </c>
      <c r="M421" s="259">
        <f>ROUND(K421*L421,2)</f>
        <v>13.33</v>
      </c>
    </row>
    <row r="422" spans="1:13" ht="21" customHeight="1" x14ac:dyDescent="0.2">
      <c r="A422" s="996" t="s">
        <v>319</v>
      </c>
      <c r="B422" s="1251">
        <v>119</v>
      </c>
      <c r="C422" s="1601" t="s">
        <v>293</v>
      </c>
      <c r="D422" s="1602"/>
      <c r="E422" s="1602"/>
      <c r="F422" s="1602"/>
      <c r="G422" s="1602"/>
      <c r="H422" s="1602"/>
      <c r="I422" s="1603"/>
      <c r="J422" s="943" t="s">
        <v>219</v>
      </c>
      <c r="K422" s="257">
        <v>0.433</v>
      </c>
      <c r="L422" s="258">
        <v>8</v>
      </c>
      <c r="M422" s="259">
        <f t="shared" ref="M422:M426" si="39">ROUND(K422*L422,2)</f>
        <v>3.46</v>
      </c>
    </row>
    <row r="423" spans="1:13" ht="22.5" customHeight="1" x14ac:dyDescent="0.2">
      <c r="A423" s="996" t="s">
        <v>319</v>
      </c>
      <c r="B423" s="1251">
        <v>20083</v>
      </c>
      <c r="C423" s="1601" t="s">
        <v>297</v>
      </c>
      <c r="D423" s="1602"/>
      <c r="E423" s="1602"/>
      <c r="F423" s="1602"/>
      <c r="G423" s="1602"/>
      <c r="H423" s="1602"/>
      <c r="I423" s="1603"/>
      <c r="J423" s="943" t="s">
        <v>219</v>
      </c>
      <c r="K423" s="257">
        <v>0.114</v>
      </c>
      <c r="L423" s="258">
        <v>69.739999999999995</v>
      </c>
      <c r="M423" s="259">
        <f t="shared" si="39"/>
        <v>7.95</v>
      </c>
    </row>
    <row r="424" spans="1:13" ht="21.75" customHeight="1" x14ac:dyDescent="0.2">
      <c r="A424" s="996" t="s">
        <v>319</v>
      </c>
      <c r="B424" s="1251">
        <v>38383</v>
      </c>
      <c r="C424" s="1601" t="s">
        <v>294</v>
      </c>
      <c r="D424" s="1602"/>
      <c r="E424" s="1602"/>
      <c r="F424" s="1602"/>
      <c r="G424" s="1602"/>
      <c r="H424" s="1602"/>
      <c r="I424" s="1603"/>
      <c r="J424" s="943" t="s">
        <v>219</v>
      </c>
      <c r="K424" s="257">
        <v>9.7000000000000003E-2</v>
      </c>
      <c r="L424" s="258">
        <v>1.59</v>
      </c>
      <c r="M424" s="259">
        <f t="shared" si="39"/>
        <v>0.15</v>
      </c>
    </row>
    <row r="425" spans="1:13" ht="36" customHeight="1" x14ac:dyDescent="0.2">
      <c r="A425" s="996" t="s">
        <v>183</v>
      </c>
      <c r="B425" s="1030">
        <v>88248</v>
      </c>
      <c r="C425" s="1601" t="s">
        <v>295</v>
      </c>
      <c r="D425" s="1602"/>
      <c r="E425" s="1602"/>
      <c r="F425" s="1602"/>
      <c r="G425" s="1602"/>
      <c r="H425" s="1602"/>
      <c r="I425" s="1603"/>
      <c r="J425" s="943" t="s">
        <v>158</v>
      </c>
      <c r="K425" s="257">
        <v>0.64600000000000002</v>
      </c>
      <c r="L425" s="258">
        <v>16.989999999999998</v>
      </c>
      <c r="M425" s="259">
        <f t="shared" si="39"/>
        <v>10.98</v>
      </c>
    </row>
    <row r="426" spans="1:13" ht="30" customHeight="1" x14ac:dyDescent="0.2">
      <c r="A426" s="996" t="s">
        <v>183</v>
      </c>
      <c r="B426" s="1030">
        <v>88267</v>
      </c>
      <c r="C426" s="1589" t="s">
        <v>296</v>
      </c>
      <c r="D426" s="1590"/>
      <c r="E426" s="1590"/>
      <c r="F426" s="1590"/>
      <c r="G426" s="1590"/>
      <c r="H426" s="1590"/>
      <c r="I426" s="1591"/>
      <c r="J426" s="943" t="s">
        <v>158</v>
      </c>
      <c r="K426" s="257">
        <v>0.64600000000000002</v>
      </c>
      <c r="L426" s="258">
        <v>20.7</v>
      </c>
      <c r="M426" s="259">
        <f t="shared" si="39"/>
        <v>13.37</v>
      </c>
    </row>
    <row r="427" spans="1:13" ht="15" x14ac:dyDescent="0.25">
      <c r="A427" s="941"/>
      <c r="B427" s="1204"/>
      <c r="C427" s="1576" t="s">
        <v>53</v>
      </c>
      <c r="D427" s="1577"/>
      <c r="E427" s="1577"/>
      <c r="F427" s="1577"/>
      <c r="G427" s="1577"/>
      <c r="H427" s="1577"/>
      <c r="I427" s="1577"/>
      <c r="J427" s="1578"/>
      <c r="K427" s="1253"/>
      <c r="L427" s="942"/>
      <c r="M427" s="945">
        <f>ROUND(SUM(M421:M426),2)</f>
        <v>49.24</v>
      </c>
    </row>
    <row r="429" spans="1:13" ht="15" x14ac:dyDescent="0.25">
      <c r="A429" s="1242" t="s">
        <v>15</v>
      </c>
      <c r="B429" s="1242" t="s">
        <v>588</v>
      </c>
      <c r="C429" s="920"/>
      <c r="D429" s="921"/>
      <c r="E429" s="921"/>
      <c r="F429" s="921"/>
      <c r="G429" s="921" t="s">
        <v>84</v>
      </c>
      <c r="H429" s="921"/>
      <c r="I429" s="921"/>
      <c r="J429" s="921"/>
      <c r="K429" s="921"/>
      <c r="L429" s="921"/>
      <c r="M429" s="922"/>
    </row>
    <row r="430" spans="1:13" ht="31.5" customHeight="1" x14ac:dyDescent="0.2">
      <c r="A430" s="923" t="str">
        <f>ORÇ!A417</f>
        <v>14.14</v>
      </c>
      <c r="B430" s="943" t="s">
        <v>219</v>
      </c>
      <c r="C430" s="1573" t="s">
        <v>709</v>
      </c>
      <c r="D430" s="1574"/>
      <c r="E430" s="1574"/>
      <c r="F430" s="1574"/>
      <c r="G430" s="1574"/>
      <c r="H430" s="1574"/>
      <c r="I430" s="1574"/>
      <c r="J430" s="1574"/>
      <c r="K430" s="1574"/>
      <c r="L430" s="1574"/>
      <c r="M430" s="1579"/>
    </row>
    <row r="431" spans="1:13" ht="18" customHeight="1" x14ac:dyDescent="0.25">
      <c r="A431" s="1580" t="s">
        <v>2396</v>
      </c>
      <c r="B431" s="1560"/>
      <c r="C431" s="1560"/>
      <c r="D431" s="1560"/>
      <c r="E431" s="1560"/>
      <c r="F431" s="1560"/>
      <c r="G431" s="1560"/>
      <c r="H431" s="1560"/>
      <c r="I431" s="1560"/>
      <c r="J431" s="1560"/>
      <c r="K431" s="1560"/>
      <c r="L431" s="1561"/>
      <c r="M431" s="924"/>
    </row>
    <row r="432" spans="1:13" ht="15" x14ac:dyDescent="0.25">
      <c r="A432" s="925" t="s">
        <v>184</v>
      </c>
      <c r="B432" s="926" t="s">
        <v>48</v>
      </c>
      <c r="C432" s="927"/>
      <c r="D432" s="928"/>
      <c r="E432" s="928"/>
      <c r="F432" s="928" t="s">
        <v>49</v>
      </c>
      <c r="G432" s="928"/>
      <c r="H432" s="928"/>
      <c r="I432" s="929"/>
      <c r="J432" s="930" t="s">
        <v>50</v>
      </c>
      <c r="K432" s="930" t="s">
        <v>18</v>
      </c>
      <c r="L432" s="931" t="s">
        <v>51</v>
      </c>
      <c r="M432" s="931" t="s">
        <v>47</v>
      </c>
    </row>
    <row r="433" spans="1:18" ht="31.5" customHeight="1" x14ac:dyDescent="0.2">
      <c r="A433" s="1205" t="s">
        <v>319</v>
      </c>
      <c r="B433" s="1245" t="s">
        <v>701</v>
      </c>
      <c r="C433" s="1573" t="s">
        <v>702</v>
      </c>
      <c r="D433" s="1574"/>
      <c r="E433" s="1574"/>
      <c r="F433" s="1574"/>
      <c r="G433" s="1574"/>
      <c r="H433" s="1574"/>
      <c r="I433" s="1575"/>
      <c r="J433" s="943" t="s">
        <v>335</v>
      </c>
      <c r="K433" s="260">
        <v>1</v>
      </c>
      <c r="L433" s="258">
        <v>457.84</v>
      </c>
      <c r="M433" s="259">
        <f>ROUND(K433*L433,2)</f>
        <v>457.84</v>
      </c>
      <c r="R433" s="946"/>
    </row>
    <row r="434" spans="1:18" ht="20.25" customHeight="1" x14ac:dyDescent="0.2">
      <c r="A434" s="1205" t="s">
        <v>319</v>
      </c>
      <c r="B434" s="1245" t="s">
        <v>703</v>
      </c>
      <c r="C434" s="1573" t="s">
        <v>704</v>
      </c>
      <c r="D434" s="1574"/>
      <c r="E434" s="1574"/>
      <c r="F434" s="1574"/>
      <c r="G434" s="1574"/>
      <c r="H434" s="1574"/>
      <c r="I434" s="1575"/>
      <c r="J434" s="943" t="s">
        <v>335</v>
      </c>
      <c r="K434" s="260">
        <v>1</v>
      </c>
      <c r="L434" s="258">
        <v>15.01</v>
      </c>
      <c r="M434" s="259">
        <f t="shared" ref="M434:M437" si="40">ROUND(K434*L434,2)</f>
        <v>15.01</v>
      </c>
    </row>
    <row r="435" spans="1:18" ht="20.25" customHeight="1" x14ac:dyDescent="0.2">
      <c r="A435" s="1205" t="s">
        <v>319</v>
      </c>
      <c r="B435" s="1245" t="s">
        <v>705</v>
      </c>
      <c r="C435" s="1589" t="s">
        <v>706</v>
      </c>
      <c r="D435" s="1590"/>
      <c r="E435" s="1590"/>
      <c r="F435" s="1590"/>
      <c r="G435" s="1590"/>
      <c r="H435" s="1590"/>
      <c r="I435" s="1591"/>
      <c r="J435" s="943" t="s">
        <v>335</v>
      </c>
      <c r="K435" s="260">
        <v>0.26</v>
      </c>
      <c r="L435" s="258">
        <v>3.6</v>
      </c>
      <c r="M435" s="259">
        <f t="shared" si="40"/>
        <v>0.94</v>
      </c>
    </row>
    <row r="436" spans="1:18" ht="31.5" customHeight="1" x14ac:dyDescent="0.2">
      <c r="A436" s="1205" t="s">
        <v>183</v>
      </c>
      <c r="B436" s="1245" t="s">
        <v>367</v>
      </c>
      <c r="C436" s="1589" t="s">
        <v>295</v>
      </c>
      <c r="D436" s="1590"/>
      <c r="E436" s="1590"/>
      <c r="F436" s="1590"/>
      <c r="G436" s="1590"/>
      <c r="H436" s="1590"/>
      <c r="I436" s="1591"/>
      <c r="J436" s="943" t="s">
        <v>158</v>
      </c>
      <c r="K436" s="257">
        <v>2.5</v>
      </c>
      <c r="L436" s="258">
        <v>16.989999999999998</v>
      </c>
      <c r="M436" s="259">
        <f t="shared" si="40"/>
        <v>42.48</v>
      </c>
    </row>
    <row r="437" spans="1:18" ht="33.75" customHeight="1" x14ac:dyDescent="0.2">
      <c r="A437" s="1205" t="s">
        <v>183</v>
      </c>
      <c r="B437" s="1207" t="s">
        <v>368</v>
      </c>
      <c r="C437" s="1589" t="s">
        <v>296</v>
      </c>
      <c r="D437" s="1590"/>
      <c r="E437" s="1590"/>
      <c r="F437" s="1590"/>
      <c r="G437" s="1590"/>
      <c r="H437" s="1590"/>
      <c r="I437" s="1591"/>
      <c r="J437" s="943" t="s">
        <v>158</v>
      </c>
      <c r="K437" s="257">
        <v>2.5</v>
      </c>
      <c r="L437" s="258">
        <v>20.7</v>
      </c>
      <c r="M437" s="259">
        <f t="shared" si="40"/>
        <v>51.75</v>
      </c>
    </row>
    <row r="438" spans="1:18" ht="15" x14ac:dyDescent="0.25">
      <c r="A438" s="941"/>
      <c r="B438" s="1204"/>
      <c r="C438" s="1576" t="s">
        <v>53</v>
      </c>
      <c r="D438" s="1577"/>
      <c r="E438" s="1577"/>
      <c r="F438" s="1577"/>
      <c r="G438" s="1577"/>
      <c r="H438" s="1577"/>
      <c r="I438" s="1577"/>
      <c r="J438" s="1578"/>
      <c r="K438" s="1253"/>
      <c r="L438" s="942"/>
      <c r="M438" s="945">
        <f>ROUND(SUM(M433:P437),2)</f>
        <v>568.02</v>
      </c>
    </row>
    <row r="440" spans="1:18" ht="12.75" customHeight="1" x14ac:dyDescent="0.25">
      <c r="A440" s="1244" t="s">
        <v>343</v>
      </c>
      <c r="B440" s="1242" t="s">
        <v>588</v>
      </c>
      <c r="C440" s="947"/>
      <c r="D440" s="947"/>
      <c r="E440" s="947"/>
      <c r="F440" s="947"/>
      <c r="G440" s="947" t="s">
        <v>344</v>
      </c>
      <c r="H440" s="947"/>
      <c r="I440" s="947"/>
      <c r="J440" s="947"/>
      <c r="K440" s="947"/>
      <c r="L440" s="947"/>
      <c r="M440" s="922"/>
    </row>
    <row r="441" spans="1:18" ht="38.25" customHeight="1" x14ac:dyDescent="0.2">
      <c r="A441" s="948" t="str">
        <f>ORÇ!A420</f>
        <v>14.17</v>
      </c>
      <c r="B441" s="943" t="s">
        <v>219</v>
      </c>
      <c r="C441" s="1605" t="s">
        <v>1867</v>
      </c>
      <c r="D441" s="1605"/>
      <c r="E441" s="1605"/>
      <c r="F441" s="1605"/>
      <c r="G441" s="1605"/>
      <c r="H441" s="1605"/>
      <c r="I441" s="1605"/>
      <c r="J441" s="1605"/>
      <c r="K441" s="1605"/>
      <c r="L441" s="1605"/>
      <c r="M441" s="1606"/>
    </row>
    <row r="442" spans="1:18" ht="18" customHeight="1" x14ac:dyDescent="0.25">
      <c r="A442" s="1203"/>
      <c r="B442" s="1072"/>
      <c r="C442" s="949"/>
      <c r="D442" s="949"/>
      <c r="E442" s="949"/>
      <c r="F442" s="949"/>
      <c r="G442" s="1001" t="s">
        <v>2397</v>
      </c>
      <c r="H442" s="949"/>
      <c r="I442" s="949"/>
      <c r="J442" s="949"/>
      <c r="K442" s="949"/>
      <c r="L442" s="950"/>
      <c r="M442" s="924"/>
    </row>
    <row r="443" spans="1:18" s="933" customFormat="1" ht="16.5" customHeight="1" x14ac:dyDescent="0.25">
      <c r="A443" s="951" t="s">
        <v>184</v>
      </c>
      <c r="B443" s="939" t="s">
        <v>48</v>
      </c>
      <c r="C443" s="937"/>
      <c r="D443" s="937"/>
      <c r="E443" s="937"/>
      <c r="F443" s="937" t="s">
        <v>49</v>
      </c>
      <c r="G443" s="937"/>
      <c r="H443" s="937"/>
      <c r="I443" s="938"/>
      <c r="J443" s="939" t="s">
        <v>50</v>
      </c>
      <c r="K443" s="939" t="s">
        <v>18</v>
      </c>
      <c r="L443" s="952" t="s">
        <v>51</v>
      </c>
      <c r="M443" s="953" t="s">
        <v>47</v>
      </c>
    </row>
    <row r="444" spans="1:18" ht="31.5" customHeight="1" x14ac:dyDescent="0.2">
      <c r="A444" s="954" t="s">
        <v>319</v>
      </c>
      <c r="B444" s="955" t="s">
        <v>1865</v>
      </c>
      <c r="C444" s="1569" t="s">
        <v>1866</v>
      </c>
      <c r="D444" s="1570"/>
      <c r="E444" s="1570"/>
      <c r="F444" s="1570"/>
      <c r="G444" s="1570"/>
      <c r="H444" s="1570"/>
      <c r="I444" s="1571"/>
      <c r="J444" s="943" t="s">
        <v>219</v>
      </c>
      <c r="K444" s="956">
        <v>1</v>
      </c>
      <c r="L444" s="957">
        <v>183.03</v>
      </c>
      <c r="M444" s="958">
        <f>ROUND(L444*K444,2)</f>
        <v>183.03</v>
      </c>
    </row>
    <row r="445" spans="1:18" ht="48" customHeight="1" x14ac:dyDescent="0.2">
      <c r="A445" s="954" t="s">
        <v>319</v>
      </c>
      <c r="B445" s="955" t="s">
        <v>735</v>
      </c>
      <c r="C445" s="1569" t="s">
        <v>736</v>
      </c>
      <c r="D445" s="1570"/>
      <c r="E445" s="1570"/>
      <c r="F445" s="1570"/>
      <c r="G445" s="1570"/>
      <c r="H445" s="1570"/>
      <c r="I445" s="1571"/>
      <c r="J445" s="943" t="s">
        <v>219</v>
      </c>
      <c r="K445" s="959">
        <v>1</v>
      </c>
      <c r="L445" s="957">
        <v>86.69</v>
      </c>
      <c r="M445" s="958">
        <f t="shared" ref="M445:M458" si="41">ROUND(L445*K445,2)</f>
        <v>86.69</v>
      </c>
    </row>
    <row r="446" spans="1:18" ht="24" customHeight="1" x14ac:dyDescent="0.2">
      <c r="A446" s="954" t="s">
        <v>319</v>
      </c>
      <c r="B446" s="955" t="s">
        <v>705</v>
      </c>
      <c r="C446" s="1569" t="s">
        <v>706</v>
      </c>
      <c r="D446" s="1570"/>
      <c r="E446" s="1570"/>
      <c r="F446" s="1570"/>
      <c r="G446" s="1570"/>
      <c r="H446" s="1570"/>
      <c r="I446" s="1571"/>
      <c r="J446" s="943" t="s">
        <v>219</v>
      </c>
      <c r="K446" s="959">
        <v>0.02</v>
      </c>
      <c r="L446" s="957">
        <v>3.6</v>
      </c>
      <c r="M446" s="958">
        <f t="shared" si="41"/>
        <v>7.0000000000000007E-2</v>
      </c>
    </row>
    <row r="447" spans="1:18" ht="33.75" customHeight="1" x14ac:dyDescent="0.2">
      <c r="A447" s="954" t="s">
        <v>183</v>
      </c>
      <c r="B447" s="955">
        <v>86883</v>
      </c>
      <c r="C447" s="1569" t="s">
        <v>716</v>
      </c>
      <c r="D447" s="1570"/>
      <c r="E447" s="1570"/>
      <c r="F447" s="1570"/>
      <c r="G447" s="1570"/>
      <c r="H447" s="1570"/>
      <c r="I447" s="1571"/>
      <c r="J447" s="943" t="s">
        <v>219</v>
      </c>
      <c r="K447" s="959">
        <v>1</v>
      </c>
      <c r="L447" s="957">
        <v>11.75</v>
      </c>
      <c r="M447" s="958">
        <f t="shared" si="41"/>
        <v>11.75</v>
      </c>
    </row>
    <row r="448" spans="1:18" ht="33.75" customHeight="1" x14ac:dyDescent="0.2">
      <c r="A448" s="954" t="s">
        <v>183</v>
      </c>
      <c r="B448" s="955" t="s">
        <v>717</v>
      </c>
      <c r="C448" s="1569" t="s">
        <v>718</v>
      </c>
      <c r="D448" s="1570"/>
      <c r="E448" s="1570"/>
      <c r="F448" s="1570"/>
      <c r="G448" s="1570"/>
      <c r="H448" s="1570"/>
      <c r="I448" s="1571"/>
      <c r="J448" s="943" t="s">
        <v>219</v>
      </c>
      <c r="K448" s="959">
        <v>1</v>
      </c>
      <c r="L448" s="957">
        <v>11.02</v>
      </c>
      <c r="M448" s="958">
        <f t="shared" si="41"/>
        <v>11.02</v>
      </c>
    </row>
    <row r="449" spans="1:13" ht="35.25" customHeight="1" x14ac:dyDescent="0.2">
      <c r="A449" s="954" t="s">
        <v>319</v>
      </c>
      <c r="B449" s="955" t="s">
        <v>719</v>
      </c>
      <c r="C449" s="1569" t="s">
        <v>720</v>
      </c>
      <c r="D449" s="1570"/>
      <c r="E449" s="1570"/>
      <c r="F449" s="1570"/>
      <c r="G449" s="1570"/>
      <c r="H449" s="1570"/>
      <c r="I449" s="1571"/>
      <c r="J449" s="943" t="s">
        <v>219</v>
      </c>
      <c r="K449" s="959">
        <v>2</v>
      </c>
      <c r="L449" s="957">
        <v>21.45</v>
      </c>
      <c r="M449" s="958">
        <f t="shared" si="41"/>
        <v>42.9</v>
      </c>
    </row>
    <row r="450" spans="1:13" ht="45.75" customHeight="1" x14ac:dyDescent="0.2">
      <c r="A450" s="954" t="s">
        <v>319</v>
      </c>
      <c r="B450" s="955" t="s">
        <v>721</v>
      </c>
      <c r="C450" s="1569" t="s">
        <v>722</v>
      </c>
      <c r="D450" s="1570"/>
      <c r="E450" s="1570"/>
      <c r="F450" s="1570"/>
      <c r="G450" s="1570"/>
      <c r="H450" s="1570"/>
      <c r="I450" s="1571"/>
      <c r="J450" s="943" t="s">
        <v>723</v>
      </c>
      <c r="K450" s="959">
        <f>2.65*0.63</f>
        <v>1.6695</v>
      </c>
      <c r="L450" s="957">
        <v>408.3</v>
      </c>
      <c r="M450" s="958">
        <f t="shared" si="41"/>
        <v>681.66</v>
      </c>
    </row>
    <row r="451" spans="1:13" ht="45" customHeight="1" x14ac:dyDescent="0.2">
      <c r="A451" s="954" t="s">
        <v>319</v>
      </c>
      <c r="B451" s="955" t="s">
        <v>724</v>
      </c>
      <c r="C451" s="1569" t="s">
        <v>725</v>
      </c>
      <c r="D451" s="1570"/>
      <c r="E451" s="1570"/>
      <c r="F451" s="1570"/>
      <c r="G451" s="1570"/>
      <c r="H451" s="1570"/>
      <c r="I451" s="1571"/>
      <c r="J451" s="943" t="s">
        <v>218</v>
      </c>
      <c r="K451" s="959">
        <f>(0.6+2.65+0.6)+2.65</f>
        <v>6.5</v>
      </c>
      <c r="L451" s="957">
        <v>40.26</v>
      </c>
      <c r="M451" s="958">
        <f t="shared" si="41"/>
        <v>261.69</v>
      </c>
    </row>
    <row r="452" spans="1:13" ht="45" customHeight="1" x14ac:dyDescent="0.2">
      <c r="A452" s="954" t="s">
        <v>183</v>
      </c>
      <c r="B452" s="955" t="s">
        <v>737</v>
      </c>
      <c r="C452" s="1569" t="s">
        <v>738</v>
      </c>
      <c r="D452" s="1570"/>
      <c r="E452" s="1570"/>
      <c r="F452" s="1570"/>
      <c r="G452" s="1570"/>
      <c r="H452" s="1570"/>
      <c r="I452" s="1571"/>
      <c r="J452" s="943" t="s">
        <v>739</v>
      </c>
      <c r="K452" s="959">
        <f>(0.15*0.15*0.08)*3</f>
        <v>5.4000000000000003E-3</v>
      </c>
      <c r="L452" s="957">
        <v>524.85</v>
      </c>
      <c r="M452" s="958">
        <f t="shared" si="41"/>
        <v>2.83</v>
      </c>
    </row>
    <row r="453" spans="1:13" ht="34.5" customHeight="1" x14ac:dyDescent="0.2">
      <c r="A453" s="954" t="s">
        <v>319</v>
      </c>
      <c r="B453" s="955" t="s">
        <v>726</v>
      </c>
      <c r="C453" s="1569" t="s">
        <v>727</v>
      </c>
      <c r="D453" s="1570"/>
      <c r="E453" s="1570"/>
      <c r="F453" s="1570"/>
      <c r="G453" s="1570"/>
      <c r="H453" s="1570"/>
      <c r="I453" s="1571"/>
      <c r="J453" s="943" t="s">
        <v>728</v>
      </c>
      <c r="K453" s="959">
        <f>3*0.6</f>
        <v>1.7999999999999998</v>
      </c>
      <c r="L453" s="957">
        <v>14.04</v>
      </c>
      <c r="M453" s="958">
        <f t="shared" si="41"/>
        <v>25.27</v>
      </c>
    </row>
    <row r="454" spans="1:13" ht="24" customHeight="1" x14ac:dyDescent="0.2">
      <c r="A454" s="954" t="s">
        <v>319</v>
      </c>
      <c r="B454" s="955" t="s">
        <v>729</v>
      </c>
      <c r="C454" s="1569" t="s">
        <v>730</v>
      </c>
      <c r="D454" s="1570"/>
      <c r="E454" s="1570"/>
      <c r="F454" s="1570"/>
      <c r="G454" s="1570"/>
      <c r="H454" s="1570"/>
      <c r="I454" s="1571"/>
      <c r="J454" s="943" t="s">
        <v>205</v>
      </c>
      <c r="K454" s="960">
        <f>0.57*K450</f>
        <v>0.95161499999999988</v>
      </c>
      <c r="L454" s="957">
        <v>48.4</v>
      </c>
      <c r="M454" s="958">
        <f t="shared" si="41"/>
        <v>46.06</v>
      </c>
    </row>
    <row r="455" spans="1:13" ht="24" customHeight="1" x14ac:dyDescent="0.2">
      <c r="A455" s="954" t="s">
        <v>319</v>
      </c>
      <c r="B455" s="955" t="s">
        <v>731</v>
      </c>
      <c r="C455" s="1569" t="s">
        <v>732</v>
      </c>
      <c r="D455" s="1570"/>
      <c r="E455" s="1570"/>
      <c r="F455" s="1570"/>
      <c r="G455" s="1570"/>
      <c r="H455" s="1570"/>
      <c r="I455" s="1571"/>
      <c r="J455" s="943" t="s">
        <v>205</v>
      </c>
      <c r="K455" s="959">
        <f>0.33*K450</f>
        <v>0.55093500000000006</v>
      </c>
      <c r="L455" s="957">
        <v>86.57</v>
      </c>
      <c r="M455" s="958">
        <f t="shared" si="41"/>
        <v>47.69</v>
      </c>
    </row>
    <row r="456" spans="1:13" ht="24" customHeight="1" x14ac:dyDescent="0.2">
      <c r="A456" s="954" t="s">
        <v>183</v>
      </c>
      <c r="B456" s="955" t="s">
        <v>576</v>
      </c>
      <c r="C456" s="1569" t="s">
        <v>577</v>
      </c>
      <c r="D456" s="1570"/>
      <c r="E456" s="1570"/>
      <c r="F456" s="1570"/>
      <c r="G456" s="1570"/>
      <c r="H456" s="1570"/>
      <c r="I456" s="1571"/>
      <c r="J456" s="943" t="s">
        <v>158</v>
      </c>
      <c r="K456" s="959">
        <v>0.9</v>
      </c>
      <c r="L456" s="957">
        <v>21.31</v>
      </c>
      <c r="M456" s="958">
        <f t="shared" si="41"/>
        <v>19.18</v>
      </c>
    </row>
    <row r="457" spans="1:13" ht="34.5" customHeight="1" x14ac:dyDescent="0.2">
      <c r="A457" s="954" t="s">
        <v>183</v>
      </c>
      <c r="B457" s="955">
        <v>88267</v>
      </c>
      <c r="C457" s="1569" t="s">
        <v>296</v>
      </c>
      <c r="D457" s="1570"/>
      <c r="E457" s="1570"/>
      <c r="F457" s="1570"/>
      <c r="G457" s="1570"/>
      <c r="H457" s="1570"/>
      <c r="I457" s="1571"/>
      <c r="J457" s="943" t="s">
        <v>158</v>
      </c>
      <c r="K457" s="959">
        <v>0.5</v>
      </c>
      <c r="L457" s="957">
        <v>20.7</v>
      </c>
      <c r="M457" s="958">
        <f t="shared" si="41"/>
        <v>10.35</v>
      </c>
    </row>
    <row r="458" spans="1:13" ht="25.5" customHeight="1" x14ac:dyDescent="0.2">
      <c r="A458" s="954" t="s">
        <v>183</v>
      </c>
      <c r="B458" s="955">
        <v>88316</v>
      </c>
      <c r="C458" s="1569" t="s">
        <v>318</v>
      </c>
      <c r="D458" s="1570"/>
      <c r="E458" s="1570"/>
      <c r="F458" s="1570"/>
      <c r="G458" s="1570"/>
      <c r="H458" s="1570"/>
      <c r="I458" s="1571"/>
      <c r="J458" s="943" t="s">
        <v>158</v>
      </c>
      <c r="K458" s="959">
        <v>0.9</v>
      </c>
      <c r="L458" s="957">
        <v>17.09</v>
      </c>
      <c r="M458" s="958">
        <f t="shared" si="41"/>
        <v>15.38</v>
      </c>
    </row>
    <row r="459" spans="1:13" ht="12.75" customHeight="1" x14ac:dyDescent="0.25">
      <c r="A459" s="1203"/>
      <c r="B459" s="961"/>
      <c r="C459" s="1578" t="s">
        <v>53</v>
      </c>
      <c r="D459" s="1604"/>
      <c r="E459" s="1604"/>
      <c r="F459" s="1604"/>
      <c r="G459" s="1604"/>
      <c r="H459" s="1604"/>
      <c r="I459" s="1604"/>
      <c r="J459" s="1604"/>
      <c r="K459" s="1253"/>
      <c r="L459" s="962"/>
      <c r="M459" s="963">
        <f>ROUND(SUM(M444:M458),2)</f>
        <v>1445.57</v>
      </c>
    </row>
    <row r="460" spans="1:13" ht="12.75" customHeight="1" x14ac:dyDescent="0.2">
      <c r="A460" s="1254"/>
      <c r="B460" s="964"/>
      <c r="C460" s="965"/>
      <c r="D460" s="965"/>
      <c r="E460" s="965"/>
      <c r="F460" s="965"/>
      <c r="G460" s="965"/>
      <c r="H460" s="965"/>
      <c r="I460" s="965"/>
      <c r="J460" s="965"/>
      <c r="K460" s="965"/>
      <c r="L460" s="965"/>
      <c r="M460" s="965"/>
    </row>
    <row r="461" spans="1:13" ht="15.75" customHeight="1" x14ac:dyDescent="0.2">
      <c r="A461" s="1596" t="str">
        <f>CONCATENATE("MEMÓRIA DE CÁLCULO DA ",G478)</f>
        <v>MEMÓRIA DE CÁLCULO DA COMPOSIÇÃO 43</v>
      </c>
      <c r="B461" s="1596"/>
      <c r="C461" s="1596"/>
      <c r="D461" s="1596"/>
      <c r="E461" s="1596"/>
      <c r="F461" s="1596"/>
      <c r="G461" s="1596"/>
      <c r="H461" s="1596"/>
      <c r="I461" s="1596"/>
      <c r="J461" s="1596"/>
      <c r="K461" s="1596"/>
      <c r="L461" s="1596"/>
      <c r="M461" s="1596"/>
    </row>
    <row r="462" spans="1:13" ht="12" customHeight="1" x14ac:dyDescent="0.25">
      <c r="A462" s="966"/>
      <c r="B462" s="967"/>
      <c r="C462" s="967"/>
      <c r="D462" s="967"/>
      <c r="E462" s="967"/>
      <c r="H462" s="967"/>
      <c r="I462" s="967"/>
      <c r="J462" s="967"/>
      <c r="K462" s="968"/>
      <c r="L462" s="969"/>
    </row>
    <row r="463" spans="1:13" ht="16.5" customHeight="1" x14ac:dyDescent="0.25">
      <c r="A463" s="607"/>
      <c r="B463" s="1255" t="s">
        <v>746</v>
      </c>
      <c r="C463" s="967"/>
      <c r="D463" s="967"/>
      <c r="E463" s="967"/>
      <c r="F463" s="970"/>
      <c r="G463" s="970"/>
      <c r="H463" s="1255"/>
      <c r="I463" s="967"/>
      <c r="J463" s="967"/>
      <c r="K463" s="967"/>
      <c r="L463" s="967"/>
      <c r="M463" s="970"/>
    </row>
    <row r="464" spans="1:13" ht="22.5" customHeight="1" x14ac:dyDescent="0.2">
      <c r="A464" s="971"/>
      <c r="B464" s="1250" t="s">
        <v>753</v>
      </c>
      <c r="C464" s="1250"/>
      <c r="D464" s="1250" t="s">
        <v>405</v>
      </c>
      <c r="E464" s="1250"/>
      <c r="F464" s="972" t="s">
        <v>496</v>
      </c>
      <c r="G464" s="970"/>
      <c r="H464" s="973"/>
      <c r="I464" s="973"/>
      <c r="J464" s="973"/>
      <c r="K464" s="973"/>
      <c r="L464" s="973"/>
      <c r="M464" s="968"/>
    </row>
    <row r="465" spans="1:13" ht="17.25" customHeight="1" x14ac:dyDescent="0.2">
      <c r="A465" s="974"/>
      <c r="B465" s="956">
        <v>2.65</v>
      </c>
      <c r="C465" s="975" t="s">
        <v>45</v>
      </c>
      <c r="D465" s="956">
        <v>0.6</v>
      </c>
      <c r="E465" s="975" t="s">
        <v>46</v>
      </c>
      <c r="F465" s="976">
        <f>ROUND(B465*D465,2)</f>
        <v>1.59</v>
      </c>
      <c r="G465" s="970"/>
      <c r="H465" s="977"/>
      <c r="I465" s="978"/>
      <c r="J465" s="966"/>
      <c r="K465" s="978"/>
      <c r="L465" s="966"/>
      <c r="M465" s="979"/>
    </row>
    <row r="466" spans="1:13" ht="16.5" customHeight="1" x14ac:dyDescent="0.2">
      <c r="A466" s="980"/>
      <c r="B466" s="1657" t="s">
        <v>213</v>
      </c>
      <c r="C466" s="1657"/>
      <c r="D466" s="1657"/>
      <c r="E466" s="1657"/>
      <c r="F466" s="976">
        <f>ROUND(SUM(F465:F465),2)</f>
        <v>1.59</v>
      </c>
      <c r="G466" s="970"/>
      <c r="H466" s="1658"/>
      <c r="I466" s="1658"/>
      <c r="J466" s="1658"/>
      <c r="K466" s="1658"/>
      <c r="L466" s="1658"/>
      <c r="M466" s="979"/>
    </row>
    <row r="467" spans="1:13" ht="11.25" customHeight="1" x14ac:dyDescent="0.25">
      <c r="A467" s="981"/>
      <c r="B467" s="966"/>
      <c r="C467" s="967"/>
      <c r="D467" s="967"/>
      <c r="E467" s="967"/>
      <c r="F467" s="970"/>
      <c r="G467" s="970"/>
      <c r="H467" s="966"/>
      <c r="I467" s="966"/>
      <c r="J467" s="967"/>
      <c r="K467" s="967"/>
      <c r="L467" s="967"/>
      <c r="M467" s="970"/>
    </row>
    <row r="468" spans="1:13" ht="16.5" customHeight="1" x14ac:dyDescent="0.25">
      <c r="A468" s="1660" t="s">
        <v>755</v>
      </c>
      <c r="B468" s="1660"/>
      <c r="C468" s="1660"/>
      <c r="D468" s="1660"/>
      <c r="E468" s="967"/>
      <c r="F468" s="970"/>
      <c r="G468" s="970"/>
      <c r="H468" s="1659"/>
      <c r="I468" s="1659"/>
      <c r="J468" s="1659"/>
      <c r="K468" s="1659"/>
      <c r="L468" s="1659"/>
      <c r="M468" s="970"/>
    </row>
    <row r="469" spans="1:13" ht="30" customHeight="1" x14ac:dyDescent="0.2">
      <c r="A469" s="1250" t="s">
        <v>740</v>
      </c>
      <c r="B469" s="1250" t="s">
        <v>753</v>
      </c>
      <c r="C469" s="1250"/>
      <c r="D469" s="1250" t="s">
        <v>311</v>
      </c>
      <c r="E469" s="1250"/>
      <c r="F469" s="982" t="s">
        <v>741</v>
      </c>
      <c r="G469" s="1250"/>
      <c r="H469" s="972" t="s">
        <v>496</v>
      </c>
      <c r="I469" s="973"/>
      <c r="J469" s="973"/>
      <c r="K469" s="973"/>
      <c r="L469" s="973"/>
      <c r="M469" s="968"/>
    </row>
    <row r="470" spans="1:13" ht="17.25" customHeight="1" x14ac:dyDescent="0.2">
      <c r="A470" s="1661" t="s">
        <v>754</v>
      </c>
      <c r="B470" s="983">
        <v>0.6</v>
      </c>
      <c r="C470" s="975" t="s">
        <v>45</v>
      </c>
      <c r="D470" s="983">
        <v>0.1</v>
      </c>
      <c r="E470" s="975" t="s">
        <v>45</v>
      </c>
      <c r="F470" s="956">
        <v>1</v>
      </c>
      <c r="G470" s="975" t="s">
        <v>46</v>
      </c>
      <c r="H470" s="976">
        <f>ROUND(B470*D470*F470,2)</f>
        <v>0.06</v>
      </c>
      <c r="I470" s="978"/>
      <c r="J470" s="966"/>
      <c r="K470" s="978"/>
      <c r="L470" s="966"/>
      <c r="M470" s="979"/>
    </row>
    <row r="471" spans="1:13" ht="17.25" customHeight="1" x14ac:dyDescent="0.2">
      <c r="A471" s="1662"/>
      <c r="B471" s="983">
        <v>0.5</v>
      </c>
      <c r="C471" s="975" t="s">
        <v>45</v>
      </c>
      <c r="D471" s="983">
        <v>0.1</v>
      </c>
      <c r="E471" s="975" t="s">
        <v>45</v>
      </c>
      <c r="F471" s="956">
        <v>1</v>
      </c>
      <c r="G471" s="975" t="s">
        <v>46</v>
      </c>
      <c r="H471" s="976">
        <f t="shared" ref="H471:H473" si="42">ROUND(B471*D471*F471,2)</f>
        <v>0.05</v>
      </c>
      <c r="I471" s="978"/>
      <c r="J471" s="966"/>
      <c r="K471" s="978"/>
      <c r="L471" s="966"/>
      <c r="M471" s="979"/>
    </row>
    <row r="472" spans="1:13" ht="17.25" customHeight="1" x14ac:dyDescent="0.2">
      <c r="A472" s="1662"/>
      <c r="B472" s="983">
        <v>1.55</v>
      </c>
      <c r="C472" s="975" t="s">
        <v>45</v>
      </c>
      <c r="D472" s="983">
        <v>0.1</v>
      </c>
      <c r="E472" s="975" t="s">
        <v>45</v>
      </c>
      <c r="F472" s="956">
        <v>1</v>
      </c>
      <c r="G472" s="975" t="s">
        <v>46</v>
      </c>
      <c r="H472" s="976">
        <f t="shared" si="42"/>
        <v>0.16</v>
      </c>
      <c r="I472" s="978"/>
      <c r="J472" s="966"/>
      <c r="K472" s="978"/>
      <c r="L472" s="966"/>
      <c r="M472" s="979"/>
    </row>
    <row r="473" spans="1:13" ht="17.25" customHeight="1" x14ac:dyDescent="0.2">
      <c r="A473" s="1663"/>
      <c r="B473" s="984">
        <v>0.6</v>
      </c>
      <c r="C473" s="975" t="s">
        <v>45</v>
      </c>
      <c r="D473" s="983">
        <v>0.1</v>
      </c>
      <c r="E473" s="975" t="s">
        <v>45</v>
      </c>
      <c r="F473" s="956">
        <v>1</v>
      </c>
      <c r="G473" s="975" t="s">
        <v>46</v>
      </c>
      <c r="H473" s="976">
        <f t="shared" si="42"/>
        <v>0.06</v>
      </c>
      <c r="I473" s="978"/>
      <c r="J473" s="966"/>
      <c r="K473" s="978"/>
      <c r="L473" s="966"/>
      <c r="M473" s="979"/>
    </row>
    <row r="474" spans="1:13" ht="16.5" customHeight="1" x14ac:dyDescent="0.2">
      <c r="A474" s="1657" t="s">
        <v>213</v>
      </c>
      <c r="B474" s="1657"/>
      <c r="C474" s="1657"/>
      <c r="D474" s="1657"/>
      <c r="E474" s="1657"/>
      <c r="F474" s="1657"/>
      <c r="G474" s="1657"/>
      <c r="H474" s="976">
        <f>ROUND(SUM(H470:H473),2)</f>
        <v>0.33</v>
      </c>
    </row>
    <row r="475" spans="1:13" ht="12.75" customHeight="1" x14ac:dyDescent="0.2">
      <c r="A475" s="1254"/>
      <c r="B475" s="985"/>
      <c r="C475" s="965"/>
      <c r="D475" s="965"/>
      <c r="E475" s="965"/>
      <c r="F475" s="965"/>
      <c r="G475" s="965"/>
      <c r="H475" s="965"/>
      <c r="I475" s="965"/>
      <c r="J475" s="965"/>
      <c r="K475" s="965"/>
      <c r="L475" s="965"/>
      <c r="M475" s="965"/>
    </row>
    <row r="476" spans="1:13" ht="12.75" customHeight="1" x14ac:dyDescent="0.25">
      <c r="A476" s="1244" t="s">
        <v>343</v>
      </c>
      <c r="B476" s="1242" t="s">
        <v>588</v>
      </c>
      <c r="C476" s="947"/>
      <c r="D476" s="947"/>
      <c r="E476" s="947"/>
      <c r="F476" s="947"/>
      <c r="G476" s="947" t="s">
        <v>344</v>
      </c>
      <c r="H476" s="947"/>
      <c r="I476" s="947"/>
      <c r="J476" s="947"/>
      <c r="K476" s="947"/>
      <c r="L476" s="947"/>
      <c r="M476" s="922"/>
    </row>
    <row r="477" spans="1:13" ht="35.25" customHeight="1" x14ac:dyDescent="0.2">
      <c r="A477" s="948" t="str">
        <f>ORÇ!A421</f>
        <v>14.18</v>
      </c>
      <c r="B477" s="943" t="s">
        <v>219</v>
      </c>
      <c r="C477" s="1667" t="s">
        <v>1950</v>
      </c>
      <c r="D477" s="1667"/>
      <c r="E477" s="1667"/>
      <c r="F477" s="1667"/>
      <c r="G477" s="1667"/>
      <c r="H477" s="1667"/>
      <c r="I477" s="1667"/>
      <c r="J477" s="1667"/>
      <c r="K477" s="1667"/>
      <c r="L477" s="1667"/>
      <c r="M477" s="1668"/>
    </row>
    <row r="478" spans="1:13" ht="18" customHeight="1" x14ac:dyDescent="0.25">
      <c r="A478" s="1203"/>
      <c r="B478" s="1072"/>
      <c r="C478" s="949"/>
      <c r="D478" s="949"/>
      <c r="E478" s="949"/>
      <c r="F478" s="949"/>
      <c r="G478" s="1001" t="s">
        <v>2398</v>
      </c>
      <c r="H478" s="949"/>
      <c r="I478" s="949"/>
      <c r="J478" s="949"/>
      <c r="K478" s="949"/>
      <c r="L478" s="950"/>
      <c r="M478" s="924"/>
    </row>
    <row r="479" spans="1:13" s="933" customFormat="1" ht="16.5" customHeight="1" x14ac:dyDescent="0.25">
      <c r="A479" s="951" t="s">
        <v>184</v>
      </c>
      <c r="B479" s="939" t="s">
        <v>48</v>
      </c>
      <c r="C479" s="937"/>
      <c r="D479" s="937"/>
      <c r="E479" s="937"/>
      <c r="F479" s="937" t="s">
        <v>49</v>
      </c>
      <c r="G479" s="937"/>
      <c r="H479" s="937"/>
      <c r="I479" s="938"/>
      <c r="J479" s="939" t="s">
        <v>50</v>
      </c>
      <c r="K479" s="939" t="s">
        <v>18</v>
      </c>
      <c r="L479" s="952" t="s">
        <v>51</v>
      </c>
      <c r="M479" s="953" t="s">
        <v>47</v>
      </c>
    </row>
    <row r="480" spans="1:13" ht="45" customHeight="1" x14ac:dyDescent="0.2">
      <c r="A480" s="954" t="s">
        <v>183</v>
      </c>
      <c r="B480" s="955" t="s">
        <v>744</v>
      </c>
      <c r="C480" s="1569" t="s">
        <v>745</v>
      </c>
      <c r="D480" s="1570"/>
      <c r="E480" s="1570"/>
      <c r="F480" s="1570"/>
      <c r="G480" s="1570"/>
      <c r="H480" s="1570"/>
      <c r="I480" s="1571"/>
      <c r="J480" s="943" t="s">
        <v>328</v>
      </c>
      <c r="K480" s="959">
        <f>F466</f>
        <v>1.59</v>
      </c>
      <c r="L480" s="957">
        <v>51.33</v>
      </c>
      <c r="M480" s="958">
        <f>ROUND(L480*K480,2)</f>
        <v>81.61</v>
      </c>
    </row>
    <row r="481" spans="1:13" ht="31.5" customHeight="1" x14ac:dyDescent="0.2">
      <c r="A481" s="954" t="s">
        <v>183</v>
      </c>
      <c r="B481" s="955" t="s">
        <v>483</v>
      </c>
      <c r="C481" s="1569" t="s">
        <v>203</v>
      </c>
      <c r="D481" s="1570"/>
      <c r="E481" s="1570"/>
      <c r="F481" s="1570"/>
      <c r="G481" s="1570"/>
      <c r="H481" s="1570"/>
      <c r="I481" s="1571"/>
      <c r="J481" s="943" t="s">
        <v>328</v>
      </c>
      <c r="K481" s="959">
        <f>0.6*2.65</f>
        <v>1.5899999999999999</v>
      </c>
      <c r="L481" s="957">
        <v>17.350000000000001</v>
      </c>
      <c r="M481" s="958">
        <f t="shared" ref="M481:M500" si="43">ROUND(L481*K481,2)</f>
        <v>27.59</v>
      </c>
    </row>
    <row r="482" spans="1:13" ht="48" customHeight="1" x14ac:dyDescent="0.2">
      <c r="A482" s="954" t="s">
        <v>183</v>
      </c>
      <c r="B482" s="955" t="s">
        <v>747</v>
      </c>
      <c r="C482" s="1569" t="s">
        <v>748</v>
      </c>
      <c r="D482" s="1570"/>
      <c r="E482" s="1570"/>
      <c r="F482" s="1570"/>
      <c r="G482" s="1570"/>
      <c r="H482" s="1570"/>
      <c r="I482" s="1571"/>
      <c r="J482" s="943" t="s">
        <v>328</v>
      </c>
      <c r="K482" s="959">
        <f>K481</f>
        <v>1.5899999999999999</v>
      </c>
      <c r="L482" s="957">
        <v>77.78</v>
      </c>
      <c r="M482" s="958">
        <f t="shared" si="43"/>
        <v>123.67</v>
      </c>
    </row>
    <row r="483" spans="1:13" ht="45.75" customHeight="1" x14ac:dyDescent="0.2">
      <c r="A483" s="954" t="s">
        <v>183</v>
      </c>
      <c r="B483" s="955" t="s">
        <v>742</v>
      </c>
      <c r="C483" s="1569" t="s">
        <v>743</v>
      </c>
      <c r="D483" s="1570"/>
      <c r="E483" s="1570"/>
      <c r="F483" s="1570"/>
      <c r="G483" s="1570"/>
      <c r="H483" s="1570"/>
      <c r="I483" s="1571"/>
      <c r="J483" s="986" t="s">
        <v>328</v>
      </c>
      <c r="K483" s="959">
        <f>H474</f>
        <v>0.33</v>
      </c>
      <c r="L483" s="957">
        <v>4.3499999999999996</v>
      </c>
      <c r="M483" s="958">
        <f t="shared" si="43"/>
        <v>1.44</v>
      </c>
    </row>
    <row r="484" spans="1:13" ht="62.25" customHeight="1" x14ac:dyDescent="0.2">
      <c r="A484" s="954" t="s">
        <v>183</v>
      </c>
      <c r="B484" s="955" t="s">
        <v>749</v>
      </c>
      <c r="C484" s="1573" t="s">
        <v>750</v>
      </c>
      <c r="D484" s="1574"/>
      <c r="E484" s="1574"/>
      <c r="F484" s="1574"/>
      <c r="G484" s="1574"/>
      <c r="H484" s="1574"/>
      <c r="I484" s="1575"/>
      <c r="J484" s="986" t="s">
        <v>328</v>
      </c>
      <c r="K484" s="959">
        <f>K483</f>
        <v>0.33</v>
      </c>
      <c r="L484" s="957">
        <v>39.369999999999997</v>
      </c>
      <c r="M484" s="958">
        <f t="shared" si="43"/>
        <v>12.99</v>
      </c>
    </row>
    <row r="485" spans="1:13" ht="58.5" customHeight="1" x14ac:dyDescent="0.2">
      <c r="A485" s="954" t="s">
        <v>183</v>
      </c>
      <c r="B485" s="955" t="s">
        <v>751</v>
      </c>
      <c r="C485" s="1573" t="s">
        <v>752</v>
      </c>
      <c r="D485" s="1574"/>
      <c r="E485" s="1574"/>
      <c r="F485" s="1574"/>
      <c r="G485" s="1574"/>
      <c r="H485" s="1574"/>
      <c r="I485" s="1575"/>
      <c r="J485" s="986" t="s">
        <v>328</v>
      </c>
      <c r="K485" s="959">
        <f>K481+K484</f>
        <v>1.92</v>
      </c>
      <c r="L485" s="957">
        <v>47.11</v>
      </c>
      <c r="M485" s="958">
        <f t="shared" si="43"/>
        <v>90.45</v>
      </c>
    </row>
    <row r="486" spans="1:13" ht="31.5" customHeight="1" x14ac:dyDescent="0.2">
      <c r="A486" s="954" t="s">
        <v>319</v>
      </c>
      <c r="B486" s="955" t="s">
        <v>733</v>
      </c>
      <c r="C486" s="1573" t="s">
        <v>734</v>
      </c>
      <c r="D486" s="1574"/>
      <c r="E486" s="1574"/>
      <c r="F486" s="1574"/>
      <c r="G486" s="1574"/>
      <c r="H486" s="1574"/>
      <c r="I486" s="1575"/>
      <c r="J486" s="943" t="s">
        <v>219</v>
      </c>
      <c r="K486" s="956">
        <v>1</v>
      </c>
      <c r="L486" s="957">
        <v>126.77</v>
      </c>
      <c r="M486" s="958">
        <f t="shared" si="43"/>
        <v>126.77</v>
      </c>
    </row>
    <row r="487" spans="1:13" ht="42" customHeight="1" x14ac:dyDescent="0.2">
      <c r="A487" s="954" t="s">
        <v>319</v>
      </c>
      <c r="B487" s="955" t="s">
        <v>735</v>
      </c>
      <c r="C487" s="1573" t="s">
        <v>736</v>
      </c>
      <c r="D487" s="1574"/>
      <c r="E487" s="1574"/>
      <c r="F487" s="1574"/>
      <c r="G487" s="1574"/>
      <c r="H487" s="1574"/>
      <c r="I487" s="1575"/>
      <c r="J487" s="943" t="s">
        <v>219</v>
      </c>
      <c r="K487" s="959">
        <v>1</v>
      </c>
      <c r="L487" s="957">
        <v>86.69</v>
      </c>
      <c r="M487" s="958">
        <f t="shared" si="43"/>
        <v>86.69</v>
      </c>
    </row>
    <row r="488" spans="1:13" ht="18" customHeight="1" x14ac:dyDescent="0.2">
      <c r="A488" s="954" t="s">
        <v>319</v>
      </c>
      <c r="B488" s="955" t="s">
        <v>705</v>
      </c>
      <c r="C488" s="1573" t="s">
        <v>706</v>
      </c>
      <c r="D488" s="1574"/>
      <c r="E488" s="1574"/>
      <c r="F488" s="1574"/>
      <c r="G488" s="1574"/>
      <c r="H488" s="1574"/>
      <c r="I488" s="1575"/>
      <c r="J488" s="943" t="s">
        <v>219</v>
      </c>
      <c r="K488" s="959">
        <v>0.02</v>
      </c>
      <c r="L488" s="957">
        <v>3.6</v>
      </c>
      <c r="M488" s="958">
        <f t="shared" si="43"/>
        <v>7.0000000000000007E-2</v>
      </c>
    </row>
    <row r="489" spans="1:13" ht="33.75" customHeight="1" x14ac:dyDescent="0.2">
      <c r="A489" s="954" t="s">
        <v>183</v>
      </c>
      <c r="B489" s="955">
        <v>86883</v>
      </c>
      <c r="C489" s="1573" t="s">
        <v>716</v>
      </c>
      <c r="D489" s="1574"/>
      <c r="E489" s="1574"/>
      <c r="F489" s="1574"/>
      <c r="G489" s="1574"/>
      <c r="H489" s="1574"/>
      <c r="I489" s="1575"/>
      <c r="J489" s="943" t="s">
        <v>219</v>
      </c>
      <c r="K489" s="959">
        <v>1</v>
      </c>
      <c r="L489" s="957">
        <v>11.75</v>
      </c>
      <c r="M489" s="958">
        <f t="shared" si="43"/>
        <v>11.75</v>
      </c>
    </row>
    <row r="490" spans="1:13" ht="33.75" customHeight="1" x14ac:dyDescent="0.2">
      <c r="A490" s="954" t="s">
        <v>183</v>
      </c>
      <c r="B490" s="955" t="s">
        <v>717</v>
      </c>
      <c r="C490" s="1573" t="s">
        <v>718</v>
      </c>
      <c r="D490" s="1574"/>
      <c r="E490" s="1574"/>
      <c r="F490" s="1574"/>
      <c r="G490" s="1574"/>
      <c r="H490" s="1574"/>
      <c r="I490" s="1575"/>
      <c r="J490" s="943" t="s">
        <v>219</v>
      </c>
      <c r="K490" s="959">
        <v>1</v>
      </c>
      <c r="L490" s="957">
        <v>11.02</v>
      </c>
      <c r="M490" s="958">
        <f t="shared" si="43"/>
        <v>11.02</v>
      </c>
    </row>
    <row r="491" spans="1:13" ht="30.75" customHeight="1" x14ac:dyDescent="0.2">
      <c r="A491" s="954" t="s">
        <v>319</v>
      </c>
      <c r="B491" s="955" t="s">
        <v>719</v>
      </c>
      <c r="C491" s="1573" t="s">
        <v>720</v>
      </c>
      <c r="D491" s="1574"/>
      <c r="E491" s="1574"/>
      <c r="F491" s="1574"/>
      <c r="G491" s="1574"/>
      <c r="H491" s="1574"/>
      <c r="I491" s="1575"/>
      <c r="J491" s="943" t="s">
        <v>219</v>
      </c>
      <c r="K491" s="959">
        <v>2</v>
      </c>
      <c r="L491" s="957">
        <v>21.45</v>
      </c>
      <c r="M491" s="958">
        <f t="shared" si="43"/>
        <v>42.9</v>
      </c>
    </row>
    <row r="492" spans="1:13" ht="42.75" customHeight="1" x14ac:dyDescent="0.2">
      <c r="A492" s="954" t="s">
        <v>319</v>
      </c>
      <c r="B492" s="955" t="s">
        <v>721</v>
      </c>
      <c r="C492" s="1573" t="s">
        <v>722</v>
      </c>
      <c r="D492" s="1574"/>
      <c r="E492" s="1574"/>
      <c r="F492" s="1574"/>
      <c r="G492" s="1574"/>
      <c r="H492" s="1574"/>
      <c r="I492" s="1575"/>
      <c r="J492" s="943" t="s">
        <v>723</v>
      </c>
      <c r="K492" s="959">
        <f>2.65*0.6</f>
        <v>1.5899999999999999</v>
      </c>
      <c r="L492" s="957">
        <v>408.3</v>
      </c>
      <c r="M492" s="958">
        <f t="shared" si="43"/>
        <v>649.20000000000005</v>
      </c>
    </row>
    <row r="493" spans="1:13" ht="45" customHeight="1" x14ac:dyDescent="0.2">
      <c r="A493" s="954" t="s">
        <v>319</v>
      </c>
      <c r="B493" s="955" t="s">
        <v>724</v>
      </c>
      <c r="C493" s="1573" t="s">
        <v>725</v>
      </c>
      <c r="D493" s="1574"/>
      <c r="E493" s="1574"/>
      <c r="F493" s="1574"/>
      <c r="G493" s="1574"/>
      <c r="H493" s="1574"/>
      <c r="I493" s="1575"/>
      <c r="J493" s="943" t="s">
        <v>218</v>
      </c>
      <c r="K493" s="959">
        <f>(1.1+2.15)+(0.6+0.5+0.6+1.55)</f>
        <v>6.5</v>
      </c>
      <c r="L493" s="957">
        <v>40.26</v>
      </c>
      <c r="M493" s="958">
        <f t="shared" si="43"/>
        <v>261.69</v>
      </c>
    </row>
    <row r="494" spans="1:13" ht="45" customHeight="1" x14ac:dyDescent="0.2">
      <c r="A494" s="954" t="s">
        <v>183</v>
      </c>
      <c r="B494" s="955" t="s">
        <v>737</v>
      </c>
      <c r="C494" s="1569" t="s">
        <v>738</v>
      </c>
      <c r="D494" s="1570"/>
      <c r="E494" s="1570"/>
      <c r="F494" s="1570"/>
      <c r="G494" s="1570"/>
      <c r="H494" s="1570"/>
      <c r="I494" s="1571"/>
      <c r="J494" s="943" t="s">
        <v>739</v>
      </c>
      <c r="K494" s="959">
        <f>(0.15*0.15*0.08)*4</f>
        <v>7.1999999999999998E-3</v>
      </c>
      <c r="L494" s="957">
        <v>524.85</v>
      </c>
      <c r="M494" s="958">
        <f t="shared" si="43"/>
        <v>3.78</v>
      </c>
    </row>
    <row r="495" spans="1:13" ht="31.5" customHeight="1" x14ac:dyDescent="0.2">
      <c r="A495" s="954" t="s">
        <v>319</v>
      </c>
      <c r="B495" s="955" t="s">
        <v>726</v>
      </c>
      <c r="C495" s="1569" t="s">
        <v>727</v>
      </c>
      <c r="D495" s="1570"/>
      <c r="E495" s="1570"/>
      <c r="F495" s="1570"/>
      <c r="G495" s="1570"/>
      <c r="H495" s="1570"/>
      <c r="I495" s="1571"/>
      <c r="J495" s="943" t="s">
        <v>728</v>
      </c>
      <c r="K495" s="959">
        <f>0.6*4</f>
        <v>2.4</v>
      </c>
      <c r="L495" s="957">
        <v>14.04</v>
      </c>
      <c r="M495" s="958">
        <f t="shared" si="43"/>
        <v>33.700000000000003</v>
      </c>
    </row>
    <row r="496" spans="1:13" ht="19.5" customHeight="1" x14ac:dyDescent="0.2">
      <c r="A496" s="954" t="s">
        <v>319</v>
      </c>
      <c r="B496" s="955" t="s">
        <v>729</v>
      </c>
      <c r="C496" s="1569" t="s">
        <v>730</v>
      </c>
      <c r="D496" s="1570"/>
      <c r="E496" s="1570"/>
      <c r="F496" s="1570"/>
      <c r="G496" s="1570"/>
      <c r="H496" s="1570"/>
      <c r="I496" s="1571"/>
      <c r="J496" s="943" t="s">
        <v>205</v>
      </c>
      <c r="K496" s="960">
        <f>0.57*K492</f>
        <v>0.90629999999999988</v>
      </c>
      <c r="L496" s="957">
        <v>48.4</v>
      </c>
      <c r="M496" s="958">
        <f t="shared" si="43"/>
        <v>43.86</v>
      </c>
    </row>
    <row r="497" spans="1:13" ht="20.25" customHeight="1" x14ac:dyDescent="0.2">
      <c r="A497" s="954" t="s">
        <v>319</v>
      </c>
      <c r="B497" s="955" t="s">
        <v>731</v>
      </c>
      <c r="C497" s="1569" t="s">
        <v>732</v>
      </c>
      <c r="D497" s="1570"/>
      <c r="E497" s="1570"/>
      <c r="F497" s="1570"/>
      <c r="G497" s="1570"/>
      <c r="H497" s="1570"/>
      <c r="I497" s="1571"/>
      <c r="J497" s="943" t="s">
        <v>205</v>
      </c>
      <c r="K497" s="959">
        <f>0.33*K492</f>
        <v>0.52469999999999994</v>
      </c>
      <c r="L497" s="957">
        <v>86.57</v>
      </c>
      <c r="M497" s="958">
        <f t="shared" si="43"/>
        <v>45.42</v>
      </c>
    </row>
    <row r="498" spans="1:13" ht="17.25" customHeight="1" x14ac:dyDescent="0.2">
      <c r="A498" s="954" t="s">
        <v>183</v>
      </c>
      <c r="B498" s="955" t="s">
        <v>576</v>
      </c>
      <c r="C498" s="1569" t="s">
        <v>577</v>
      </c>
      <c r="D498" s="1570"/>
      <c r="E498" s="1570"/>
      <c r="F498" s="1570"/>
      <c r="G498" s="1570"/>
      <c r="H498" s="1570"/>
      <c r="I498" s="1571"/>
      <c r="J498" s="943" t="s">
        <v>158</v>
      </c>
      <c r="K498" s="959">
        <v>0.9</v>
      </c>
      <c r="L498" s="957">
        <v>21.31</v>
      </c>
      <c r="M498" s="958">
        <f t="shared" si="43"/>
        <v>19.18</v>
      </c>
    </row>
    <row r="499" spans="1:13" ht="30" customHeight="1" x14ac:dyDescent="0.2">
      <c r="A499" s="954" t="s">
        <v>183</v>
      </c>
      <c r="B499" s="955">
        <v>88267</v>
      </c>
      <c r="C499" s="1569" t="s">
        <v>296</v>
      </c>
      <c r="D499" s="1570"/>
      <c r="E499" s="1570"/>
      <c r="F499" s="1570"/>
      <c r="G499" s="1570"/>
      <c r="H499" s="1570"/>
      <c r="I499" s="1571"/>
      <c r="J499" s="943" t="s">
        <v>158</v>
      </c>
      <c r="K499" s="959">
        <v>0.5</v>
      </c>
      <c r="L499" s="957">
        <v>20.7</v>
      </c>
      <c r="M499" s="958">
        <f t="shared" si="43"/>
        <v>10.35</v>
      </c>
    </row>
    <row r="500" spans="1:13" ht="20.25" customHeight="1" x14ac:dyDescent="0.2">
      <c r="A500" s="954" t="s">
        <v>183</v>
      </c>
      <c r="B500" s="955">
        <v>88316</v>
      </c>
      <c r="C500" s="1569" t="s">
        <v>318</v>
      </c>
      <c r="D500" s="1570"/>
      <c r="E500" s="1570"/>
      <c r="F500" s="1570"/>
      <c r="G500" s="1570"/>
      <c r="H500" s="1570"/>
      <c r="I500" s="1571"/>
      <c r="J500" s="943" t="s">
        <v>158</v>
      </c>
      <c r="K500" s="959">
        <v>0.9</v>
      </c>
      <c r="L500" s="957">
        <v>17.09</v>
      </c>
      <c r="M500" s="958">
        <f t="shared" si="43"/>
        <v>15.38</v>
      </c>
    </row>
    <row r="501" spans="1:13" ht="12.75" customHeight="1" x14ac:dyDescent="0.25">
      <c r="A501" s="1203"/>
      <c r="B501" s="961"/>
      <c r="C501" s="1578" t="s">
        <v>53</v>
      </c>
      <c r="D501" s="1604"/>
      <c r="E501" s="1604"/>
      <c r="F501" s="1604"/>
      <c r="G501" s="1604"/>
      <c r="H501" s="1604"/>
      <c r="I501" s="1604"/>
      <c r="J501" s="1604"/>
      <c r="K501" s="1253"/>
      <c r="L501" s="962"/>
      <c r="M501" s="963">
        <f>ROUND(SUM(M480:M500),2)</f>
        <v>1699.51</v>
      </c>
    </row>
    <row r="502" spans="1:13" ht="12.75" customHeight="1" x14ac:dyDescent="0.2">
      <c r="A502" s="1254"/>
      <c r="B502" s="964"/>
      <c r="C502" s="965"/>
      <c r="D502" s="965"/>
      <c r="E502" s="965"/>
      <c r="F502" s="965"/>
      <c r="G502" s="965"/>
      <c r="H502" s="965"/>
      <c r="I502" s="965"/>
      <c r="J502" s="965"/>
      <c r="K502" s="965"/>
      <c r="L502" s="965"/>
      <c r="M502" s="965"/>
    </row>
    <row r="503" spans="1:13" ht="12.75" customHeight="1" x14ac:dyDescent="0.25">
      <c r="A503" s="1244" t="s">
        <v>343</v>
      </c>
      <c r="B503" s="1242" t="s">
        <v>588</v>
      </c>
      <c r="C503" s="947"/>
      <c r="D503" s="947"/>
      <c r="E503" s="947"/>
      <c r="F503" s="947"/>
      <c r="G503" s="947" t="s">
        <v>344</v>
      </c>
      <c r="H503" s="947"/>
      <c r="I503" s="947"/>
      <c r="J503" s="947"/>
      <c r="K503" s="947"/>
      <c r="L503" s="947"/>
      <c r="M503" s="922"/>
    </row>
    <row r="504" spans="1:13" ht="33.75" customHeight="1" x14ac:dyDescent="0.2">
      <c r="A504" s="948" t="str">
        <f>ORÇ!A422</f>
        <v>14.19</v>
      </c>
      <c r="B504" s="943" t="s">
        <v>219</v>
      </c>
      <c r="C504" s="1605" t="s">
        <v>836</v>
      </c>
      <c r="D504" s="1605"/>
      <c r="E504" s="1605"/>
      <c r="F504" s="1605"/>
      <c r="G504" s="1605"/>
      <c r="H504" s="1605"/>
      <c r="I504" s="1605"/>
      <c r="J504" s="1605"/>
      <c r="K504" s="1605"/>
      <c r="L504" s="1605"/>
      <c r="M504" s="1606"/>
    </row>
    <row r="505" spans="1:13" ht="18" customHeight="1" x14ac:dyDescent="0.25">
      <c r="A505" s="1203"/>
      <c r="B505" s="1072"/>
      <c r="C505" s="949"/>
      <c r="D505" s="949"/>
      <c r="E505" s="949"/>
      <c r="F505" s="949"/>
      <c r="G505" s="1001" t="s">
        <v>2399</v>
      </c>
      <c r="H505" s="949"/>
      <c r="I505" s="949"/>
      <c r="J505" s="949"/>
      <c r="K505" s="949"/>
      <c r="L505" s="950"/>
      <c r="M505" s="924"/>
    </row>
    <row r="506" spans="1:13" s="933" customFormat="1" ht="16.5" customHeight="1" x14ac:dyDescent="0.25">
      <c r="A506" s="951" t="s">
        <v>184</v>
      </c>
      <c r="B506" s="939" t="s">
        <v>48</v>
      </c>
      <c r="C506" s="937"/>
      <c r="D506" s="937"/>
      <c r="E506" s="937"/>
      <c r="F506" s="937" t="s">
        <v>49</v>
      </c>
      <c r="G506" s="937"/>
      <c r="H506" s="937"/>
      <c r="I506" s="938"/>
      <c r="J506" s="939" t="s">
        <v>50</v>
      </c>
      <c r="K506" s="939" t="s">
        <v>18</v>
      </c>
      <c r="L506" s="952" t="s">
        <v>51</v>
      </c>
      <c r="M506" s="953" t="s">
        <v>47</v>
      </c>
    </row>
    <row r="507" spans="1:13" ht="31.5" customHeight="1" x14ac:dyDescent="0.2">
      <c r="A507" s="954" t="s">
        <v>319</v>
      </c>
      <c r="B507" s="955" t="s">
        <v>756</v>
      </c>
      <c r="C507" s="1569" t="s">
        <v>757</v>
      </c>
      <c r="D507" s="1570"/>
      <c r="E507" s="1570"/>
      <c r="F507" s="1570"/>
      <c r="G507" s="1570"/>
      <c r="H507" s="1570"/>
      <c r="I507" s="1571"/>
      <c r="J507" s="943" t="s">
        <v>219</v>
      </c>
      <c r="K507" s="956">
        <v>2</v>
      </c>
      <c r="L507" s="957">
        <v>79.97</v>
      </c>
      <c r="M507" s="958">
        <f>ROUND(L507*K507,2)</f>
        <v>159.94</v>
      </c>
    </row>
    <row r="508" spans="1:13" ht="33.75" customHeight="1" x14ac:dyDescent="0.2">
      <c r="A508" s="954" t="s">
        <v>183</v>
      </c>
      <c r="B508" s="955">
        <v>86883</v>
      </c>
      <c r="C508" s="1569" t="s">
        <v>716</v>
      </c>
      <c r="D508" s="1570"/>
      <c r="E508" s="1570"/>
      <c r="F508" s="1570"/>
      <c r="G508" s="1570"/>
      <c r="H508" s="1570"/>
      <c r="I508" s="1571"/>
      <c r="J508" s="943" t="s">
        <v>219</v>
      </c>
      <c r="K508" s="959">
        <v>2</v>
      </c>
      <c r="L508" s="957">
        <v>11.75</v>
      </c>
      <c r="M508" s="958">
        <f t="shared" ref="M508:M519" si="44">ROUND(L508*K508,2)</f>
        <v>23.5</v>
      </c>
    </row>
    <row r="509" spans="1:13" ht="33.75" customHeight="1" x14ac:dyDescent="0.2">
      <c r="A509" s="954" t="s">
        <v>183</v>
      </c>
      <c r="B509" s="955" t="s">
        <v>717</v>
      </c>
      <c r="C509" s="1569" t="s">
        <v>718</v>
      </c>
      <c r="D509" s="1570"/>
      <c r="E509" s="1570"/>
      <c r="F509" s="1570"/>
      <c r="G509" s="1570"/>
      <c r="H509" s="1570"/>
      <c r="I509" s="1571"/>
      <c r="J509" s="943" t="s">
        <v>219</v>
      </c>
      <c r="K509" s="959">
        <v>2</v>
      </c>
      <c r="L509" s="957">
        <v>11.02</v>
      </c>
      <c r="M509" s="958">
        <f t="shared" si="44"/>
        <v>22.04</v>
      </c>
    </row>
    <row r="510" spans="1:13" ht="35.25" customHeight="1" x14ac:dyDescent="0.2">
      <c r="A510" s="954" t="s">
        <v>319</v>
      </c>
      <c r="B510" s="955" t="s">
        <v>719</v>
      </c>
      <c r="C510" s="1569" t="s">
        <v>720</v>
      </c>
      <c r="D510" s="1570"/>
      <c r="E510" s="1570"/>
      <c r="F510" s="1570"/>
      <c r="G510" s="1570"/>
      <c r="H510" s="1570"/>
      <c r="I510" s="1571"/>
      <c r="J510" s="943" t="s">
        <v>219</v>
      </c>
      <c r="K510" s="959">
        <v>4</v>
      </c>
      <c r="L510" s="957">
        <v>21.45</v>
      </c>
      <c r="M510" s="958">
        <f t="shared" si="44"/>
        <v>85.8</v>
      </c>
    </row>
    <row r="511" spans="1:13" ht="45.75" customHeight="1" x14ac:dyDescent="0.2">
      <c r="A511" s="954" t="s">
        <v>319</v>
      </c>
      <c r="B511" s="955" t="s">
        <v>721</v>
      </c>
      <c r="C511" s="1569" t="s">
        <v>722</v>
      </c>
      <c r="D511" s="1570"/>
      <c r="E511" s="1570"/>
      <c r="F511" s="1570"/>
      <c r="G511" s="1570"/>
      <c r="H511" s="1570"/>
      <c r="I511" s="1571"/>
      <c r="J511" s="943" t="s">
        <v>723</v>
      </c>
      <c r="K511" s="959">
        <f>2.45*0.63</f>
        <v>1.5435000000000001</v>
      </c>
      <c r="L511" s="957">
        <v>408.3</v>
      </c>
      <c r="M511" s="958">
        <f t="shared" si="44"/>
        <v>630.21</v>
      </c>
    </row>
    <row r="512" spans="1:13" ht="45" customHeight="1" x14ac:dyDescent="0.2">
      <c r="A512" s="954" t="s">
        <v>319</v>
      </c>
      <c r="B512" s="955" t="s">
        <v>724</v>
      </c>
      <c r="C512" s="1569" t="s">
        <v>725</v>
      </c>
      <c r="D512" s="1570"/>
      <c r="E512" s="1570"/>
      <c r="F512" s="1570"/>
      <c r="G512" s="1570"/>
      <c r="H512" s="1570"/>
      <c r="I512" s="1571"/>
      <c r="J512" s="943" t="s">
        <v>218</v>
      </c>
      <c r="K512" s="959">
        <f>(2.45+0.6+0.6)+2.45</f>
        <v>6.1000000000000005</v>
      </c>
      <c r="L512" s="957">
        <v>40.26</v>
      </c>
      <c r="M512" s="958">
        <f t="shared" si="44"/>
        <v>245.59</v>
      </c>
    </row>
    <row r="513" spans="1:13" ht="45" customHeight="1" x14ac:dyDescent="0.2">
      <c r="A513" s="954" t="s">
        <v>183</v>
      </c>
      <c r="B513" s="955" t="s">
        <v>737</v>
      </c>
      <c r="C513" s="1569" t="s">
        <v>738</v>
      </c>
      <c r="D513" s="1570"/>
      <c r="E513" s="1570"/>
      <c r="F513" s="1570"/>
      <c r="G513" s="1570"/>
      <c r="H513" s="1570"/>
      <c r="I513" s="1571"/>
      <c r="J513" s="943" t="s">
        <v>739</v>
      </c>
      <c r="K513" s="959">
        <f>(0.15*0.15*0.08)*4</f>
        <v>7.1999999999999998E-3</v>
      </c>
      <c r="L513" s="957">
        <v>524.85</v>
      </c>
      <c r="M513" s="958">
        <f t="shared" si="44"/>
        <v>3.78</v>
      </c>
    </row>
    <row r="514" spans="1:13" ht="34.5" customHeight="1" x14ac:dyDescent="0.2">
      <c r="A514" s="954" t="s">
        <v>319</v>
      </c>
      <c r="B514" s="955" t="s">
        <v>726</v>
      </c>
      <c r="C514" s="1569" t="s">
        <v>727</v>
      </c>
      <c r="D514" s="1570"/>
      <c r="E514" s="1570"/>
      <c r="F514" s="1570"/>
      <c r="G514" s="1570"/>
      <c r="H514" s="1570"/>
      <c r="I514" s="1571"/>
      <c r="J514" s="943" t="s">
        <v>728</v>
      </c>
      <c r="K514" s="959">
        <f>4*0.6</f>
        <v>2.4</v>
      </c>
      <c r="L514" s="957">
        <v>14.04</v>
      </c>
      <c r="M514" s="958">
        <f t="shared" si="44"/>
        <v>33.700000000000003</v>
      </c>
    </row>
    <row r="515" spans="1:13" ht="18" customHeight="1" x14ac:dyDescent="0.2">
      <c r="A515" s="954" t="s">
        <v>319</v>
      </c>
      <c r="B515" s="955" t="s">
        <v>729</v>
      </c>
      <c r="C515" s="1569" t="s">
        <v>730</v>
      </c>
      <c r="D515" s="1570"/>
      <c r="E515" s="1570"/>
      <c r="F515" s="1570"/>
      <c r="G515" s="1570"/>
      <c r="H515" s="1570"/>
      <c r="I515" s="1571"/>
      <c r="J515" s="943" t="s">
        <v>205</v>
      </c>
      <c r="K515" s="960">
        <f>0.57*K511</f>
        <v>0.87979499999999999</v>
      </c>
      <c r="L515" s="957">
        <v>48.4</v>
      </c>
      <c r="M515" s="958">
        <f t="shared" si="44"/>
        <v>42.58</v>
      </c>
    </row>
    <row r="516" spans="1:13" ht="18" customHeight="1" x14ac:dyDescent="0.2">
      <c r="A516" s="954" t="s">
        <v>319</v>
      </c>
      <c r="B516" s="955" t="s">
        <v>731</v>
      </c>
      <c r="C516" s="1569" t="s">
        <v>732</v>
      </c>
      <c r="D516" s="1570"/>
      <c r="E516" s="1570"/>
      <c r="F516" s="1570"/>
      <c r="G516" s="1570"/>
      <c r="H516" s="1570"/>
      <c r="I516" s="1571"/>
      <c r="J516" s="943" t="s">
        <v>205</v>
      </c>
      <c r="K516" s="959">
        <f>0.33*K511</f>
        <v>0.509355</v>
      </c>
      <c r="L516" s="957">
        <v>86.57</v>
      </c>
      <c r="M516" s="958">
        <f t="shared" si="44"/>
        <v>44.09</v>
      </c>
    </row>
    <row r="517" spans="1:13" ht="18" customHeight="1" x14ac:dyDescent="0.2">
      <c r="A517" s="954" t="s">
        <v>183</v>
      </c>
      <c r="B517" s="955" t="s">
        <v>576</v>
      </c>
      <c r="C517" s="1569" t="s">
        <v>577</v>
      </c>
      <c r="D517" s="1570"/>
      <c r="E517" s="1570"/>
      <c r="F517" s="1570"/>
      <c r="G517" s="1570"/>
      <c r="H517" s="1570"/>
      <c r="I517" s="1571"/>
      <c r="J517" s="943" t="s">
        <v>158</v>
      </c>
      <c r="K517" s="959">
        <v>1</v>
      </c>
      <c r="L517" s="957">
        <v>21.31</v>
      </c>
      <c r="M517" s="958">
        <f t="shared" si="44"/>
        <v>21.31</v>
      </c>
    </row>
    <row r="518" spans="1:13" ht="34.5" customHeight="1" x14ac:dyDescent="0.2">
      <c r="A518" s="954" t="s">
        <v>183</v>
      </c>
      <c r="B518" s="955">
        <v>88267</v>
      </c>
      <c r="C518" s="1569" t="s">
        <v>296</v>
      </c>
      <c r="D518" s="1570"/>
      <c r="E518" s="1570"/>
      <c r="F518" s="1570"/>
      <c r="G518" s="1570"/>
      <c r="H518" s="1570"/>
      <c r="I518" s="1571"/>
      <c r="J518" s="943" t="s">
        <v>158</v>
      </c>
      <c r="K518" s="959">
        <v>0.5</v>
      </c>
      <c r="L518" s="957">
        <v>20.7</v>
      </c>
      <c r="M518" s="958">
        <f t="shared" si="44"/>
        <v>10.35</v>
      </c>
    </row>
    <row r="519" spans="1:13" ht="18" customHeight="1" x14ac:dyDescent="0.2">
      <c r="A519" s="954" t="s">
        <v>183</v>
      </c>
      <c r="B519" s="955">
        <v>88316</v>
      </c>
      <c r="C519" s="1569" t="s">
        <v>318</v>
      </c>
      <c r="D519" s="1570"/>
      <c r="E519" s="1570"/>
      <c r="F519" s="1570"/>
      <c r="G519" s="1570"/>
      <c r="H519" s="1570"/>
      <c r="I519" s="1571"/>
      <c r="J519" s="943" t="s">
        <v>158</v>
      </c>
      <c r="K519" s="959">
        <v>1</v>
      </c>
      <c r="L519" s="957">
        <v>17.09</v>
      </c>
      <c r="M519" s="958">
        <f t="shared" si="44"/>
        <v>17.09</v>
      </c>
    </row>
    <row r="520" spans="1:13" ht="12.75" customHeight="1" x14ac:dyDescent="0.25">
      <c r="A520" s="1203"/>
      <c r="B520" s="961"/>
      <c r="C520" s="1578" t="s">
        <v>53</v>
      </c>
      <c r="D520" s="1604"/>
      <c r="E520" s="1604"/>
      <c r="F520" s="1604"/>
      <c r="G520" s="1604"/>
      <c r="H520" s="1604"/>
      <c r="I520" s="1604"/>
      <c r="J520" s="1604"/>
      <c r="K520" s="1253"/>
      <c r="L520" s="962"/>
      <c r="M520" s="963">
        <f>ROUND(SUM(M507:M519),2)</f>
        <v>1339.98</v>
      </c>
    </row>
    <row r="521" spans="1:13" ht="12.75" customHeight="1" x14ac:dyDescent="0.2">
      <c r="A521" s="1254"/>
      <c r="B521" s="964"/>
      <c r="C521" s="965"/>
      <c r="D521" s="965"/>
      <c r="E521" s="965"/>
      <c r="F521" s="965"/>
      <c r="G521" s="965"/>
      <c r="H521" s="965"/>
      <c r="I521" s="965"/>
      <c r="J521" s="965"/>
      <c r="K521" s="965"/>
      <c r="L521" s="965"/>
      <c r="M521" s="965"/>
    </row>
    <row r="522" spans="1:13" ht="24.75" customHeight="1" x14ac:dyDescent="0.2">
      <c r="A522" s="1596" t="str">
        <f>CONCATENATE("INFORMAÇÕES REFERENTE A COMPOSIÇÃO ",A538)</f>
        <v>INFORMAÇÕES REFERENTE A COMPOSIÇÃO COMPOSIÇÃO 45</v>
      </c>
      <c r="B522" s="1596"/>
      <c r="C522" s="1596"/>
      <c r="D522" s="1596"/>
      <c r="E522" s="1596"/>
      <c r="F522" s="1596"/>
      <c r="G522" s="1596"/>
      <c r="H522" s="1596"/>
      <c r="I522" s="1596"/>
      <c r="J522" s="1596"/>
      <c r="K522" s="1596"/>
      <c r="L522" s="1596"/>
      <c r="M522" s="1596"/>
    </row>
    <row r="523" spans="1:13" s="980" customFormat="1" ht="12.75" customHeight="1" x14ac:dyDescent="0.2">
      <c r="A523" s="985"/>
      <c r="B523" s="985"/>
      <c r="C523" s="987"/>
      <c r="D523" s="987"/>
      <c r="E523" s="987"/>
      <c r="F523" s="987"/>
      <c r="G523" s="987"/>
      <c r="H523" s="987"/>
      <c r="I523" s="987"/>
      <c r="J523" s="987"/>
      <c r="K523" s="987"/>
      <c r="L523" s="987"/>
      <c r="M523" s="987"/>
    </row>
    <row r="524" spans="1:13" s="980" customFormat="1" ht="12.75" customHeight="1" x14ac:dyDescent="0.2">
      <c r="A524" s="985"/>
      <c r="B524" s="985"/>
      <c r="C524" s="987"/>
      <c r="D524" s="987"/>
      <c r="E524" s="987"/>
      <c r="F524" s="987"/>
      <c r="G524" s="987"/>
      <c r="H524" s="987"/>
      <c r="I524" s="987"/>
      <c r="J524" s="987"/>
      <c r="K524" s="987"/>
      <c r="L524" s="987"/>
      <c r="M524" s="987"/>
    </row>
    <row r="525" spans="1:13" s="980" customFormat="1" ht="12.75" customHeight="1" x14ac:dyDescent="0.2">
      <c r="A525" s="985"/>
      <c r="B525" s="985"/>
      <c r="C525" s="987"/>
      <c r="D525" s="987"/>
      <c r="E525" s="987"/>
      <c r="F525" s="987"/>
      <c r="G525" s="987"/>
      <c r="H525" s="987"/>
      <c r="I525" s="987"/>
      <c r="J525" s="987"/>
      <c r="K525" s="987"/>
      <c r="L525" s="987"/>
      <c r="M525" s="987"/>
    </row>
    <row r="526" spans="1:13" s="980" customFormat="1" ht="12.75" customHeight="1" x14ac:dyDescent="0.2">
      <c r="A526" s="985"/>
      <c r="B526" s="985"/>
      <c r="C526" s="987"/>
      <c r="D526" s="987"/>
      <c r="E526" s="987"/>
      <c r="F526" s="987"/>
      <c r="G526" s="987"/>
      <c r="H526" s="987"/>
      <c r="I526" s="987"/>
      <c r="J526" s="987"/>
      <c r="K526" s="987"/>
      <c r="L526" s="987"/>
      <c r="M526" s="987"/>
    </row>
    <row r="527" spans="1:13" s="980" customFormat="1" ht="12.75" customHeight="1" x14ac:dyDescent="0.2">
      <c r="A527" s="985"/>
      <c r="B527" s="985"/>
      <c r="C527" s="607"/>
      <c r="D527" s="987"/>
      <c r="E527" s="987"/>
      <c r="F527" s="987"/>
      <c r="G527" s="987"/>
      <c r="H527" s="987"/>
      <c r="I527" s="987"/>
      <c r="J527" s="987"/>
      <c r="K527" s="987"/>
      <c r="L527" s="987"/>
      <c r="M527" s="987"/>
    </row>
    <row r="528" spans="1:13" s="980" customFormat="1" ht="12.75" customHeight="1" x14ac:dyDescent="0.2">
      <c r="A528" s="985"/>
      <c r="B528" s="985"/>
      <c r="C528" s="987"/>
      <c r="D528" s="987"/>
      <c r="E528" s="987"/>
      <c r="F528" s="987"/>
      <c r="G528" s="987"/>
      <c r="H528" s="987"/>
      <c r="I528" s="987"/>
      <c r="J528" s="987"/>
      <c r="K528" s="987"/>
      <c r="L528" s="987"/>
      <c r="M528" s="987"/>
    </row>
    <row r="529" spans="1:25" s="980" customFormat="1" ht="12.75" customHeight="1" x14ac:dyDescent="0.2">
      <c r="A529" s="985"/>
      <c r="B529" s="985"/>
      <c r="C529" s="987"/>
      <c r="D529" s="987"/>
      <c r="E529" s="987"/>
      <c r="F529" s="987"/>
      <c r="G529" s="987"/>
      <c r="H529" s="987"/>
      <c r="I529" s="987"/>
      <c r="J529" s="987"/>
      <c r="K529" s="987"/>
      <c r="L529" s="987"/>
      <c r="M529" s="987"/>
    </row>
    <row r="530" spans="1:25" s="980" customFormat="1" ht="12.75" customHeight="1" x14ac:dyDescent="0.2">
      <c r="A530" s="985"/>
      <c r="B530" s="985"/>
      <c r="C530" s="987"/>
      <c r="D530" s="987"/>
      <c r="E530" s="987"/>
      <c r="F530" s="987"/>
      <c r="G530" s="987"/>
      <c r="H530" s="987"/>
      <c r="I530" s="987"/>
      <c r="J530" s="987"/>
      <c r="K530" s="987"/>
      <c r="L530" s="987"/>
      <c r="M530" s="987"/>
    </row>
    <row r="531" spans="1:25" s="980" customFormat="1" ht="12.75" customHeight="1" x14ac:dyDescent="0.2">
      <c r="A531" s="985"/>
      <c r="B531" s="985"/>
      <c r="C531" s="987"/>
      <c r="D531" s="987"/>
      <c r="E531" s="987"/>
      <c r="F531" s="987"/>
      <c r="G531" s="987"/>
      <c r="H531" s="987"/>
      <c r="I531" s="987"/>
      <c r="J531" s="987"/>
      <c r="K531" s="987"/>
      <c r="L531" s="987"/>
      <c r="M531" s="987"/>
      <c r="Y531" s="607"/>
    </row>
    <row r="532" spans="1:25" s="980" customFormat="1" ht="12.75" customHeight="1" x14ac:dyDescent="0.2">
      <c r="A532" s="985"/>
      <c r="B532" s="985"/>
      <c r="C532" s="987"/>
      <c r="D532" s="987"/>
      <c r="E532" s="987"/>
      <c r="F532" s="987"/>
      <c r="G532" s="987"/>
      <c r="H532" s="987"/>
      <c r="I532" s="987"/>
      <c r="J532" s="987"/>
      <c r="K532" s="987"/>
      <c r="L532" s="987"/>
      <c r="M532" s="607"/>
    </row>
    <row r="533" spans="1:25" s="980" customFormat="1" ht="12.75" customHeight="1" x14ac:dyDescent="0.2">
      <c r="A533" s="985"/>
      <c r="B533" s="985"/>
      <c r="C533" s="987"/>
      <c r="D533" s="987"/>
      <c r="E533" s="987"/>
      <c r="F533" s="987"/>
      <c r="G533" s="987"/>
      <c r="H533" s="987"/>
      <c r="I533" s="987"/>
      <c r="J533" s="987"/>
      <c r="K533" s="987"/>
      <c r="L533" s="987"/>
      <c r="M533" s="987"/>
    </row>
    <row r="534" spans="1:25" s="980" customFormat="1" ht="12.75" customHeight="1" x14ac:dyDescent="0.2">
      <c r="A534" s="985"/>
      <c r="B534" s="985"/>
      <c r="C534" s="987"/>
      <c r="D534" s="987"/>
      <c r="E534" s="987"/>
      <c r="F534" s="987"/>
      <c r="G534" s="987"/>
      <c r="H534" s="987"/>
      <c r="I534" s="987"/>
      <c r="J534" s="987"/>
      <c r="K534" s="987"/>
      <c r="L534" s="987"/>
      <c r="M534" s="987"/>
    </row>
    <row r="535" spans="1:25" ht="12.75" customHeight="1" x14ac:dyDescent="0.2">
      <c r="A535" s="1254"/>
      <c r="B535" s="985"/>
      <c r="C535" s="965"/>
      <c r="D535" s="965"/>
      <c r="E535" s="965"/>
      <c r="F535" s="965"/>
      <c r="G535" s="965"/>
      <c r="H535" s="965"/>
      <c r="I535" s="965"/>
      <c r="J535" s="965"/>
      <c r="K535" s="965"/>
      <c r="L535" s="965"/>
      <c r="M535" s="965"/>
    </row>
    <row r="536" spans="1:25" ht="15" x14ac:dyDescent="0.25">
      <c r="A536" s="1242" t="s">
        <v>15</v>
      </c>
      <c r="B536" s="1242" t="s">
        <v>588</v>
      </c>
      <c r="C536" s="920"/>
      <c r="D536" s="921"/>
      <c r="E536" s="921"/>
      <c r="F536" s="921"/>
      <c r="G536" s="921" t="s">
        <v>84</v>
      </c>
      <c r="H536" s="921"/>
      <c r="I536" s="921"/>
      <c r="J536" s="921"/>
      <c r="K536" s="921"/>
      <c r="L536" s="921"/>
      <c r="M536" s="922"/>
    </row>
    <row r="537" spans="1:25" ht="31.5" customHeight="1" x14ac:dyDescent="0.2">
      <c r="A537" s="923" t="str">
        <f>ORÇ!A424</f>
        <v>14.21</v>
      </c>
      <c r="B537" s="923" t="s">
        <v>218</v>
      </c>
      <c r="C537" s="1573" t="s">
        <v>787</v>
      </c>
      <c r="D537" s="1574"/>
      <c r="E537" s="1574"/>
      <c r="F537" s="1574"/>
      <c r="G537" s="1574"/>
      <c r="H537" s="1574"/>
      <c r="I537" s="1574"/>
      <c r="J537" s="1574"/>
      <c r="K537" s="1574"/>
      <c r="L537" s="1574"/>
      <c r="M537" s="1579"/>
    </row>
    <row r="538" spans="1:25" ht="18" customHeight="1" x14ac:dyDescent="0.25">
      <c r="A538" s="1580" t="s">
        <v>2400</v>
      </c>
      <c r="B538" s="1560"/>
      <c r="C538" s="1560"/>
      <c r="D538" s="1560"/>
      <c r="E538" s="1560"/>
      <c r="F538" s="1560"/>
      <c r="G538" s="1560"/>
      <c r="H538" s="1560"/>
      <c r="I538" s="1560"/>
      <c r="J538" s="1560"/>
      <c r="K538" s="1560"/>
      <c r="L538" s="1561"/>
      <c r="M538" s="924"/>
    </row>
    <row r="539" spans="1:25" s="933" customFormat="1" ht="16.5" customHeight="1" x14ac:dyDescent="0.2">
      <c r="A539" s="925" t="s">
        <v>184</v>
      </c>
      <c r="B539" s="926" t="s">
        <v>48</v>
      </c>
      <c r="C539" s="936"/>
      <c r="D539" s="937"/>
      <c r="E539" s="937"/>
      <c r="F539" s="937" t="s">
        <v>49</v>
      </c>
      <c r="G539" s="937"/>
      <c r="H539" s="937"/>
      <c r="I539" s="938"/>
      <c r="J539" s="939" t="s">
        <v>50</v>
      </c>
      <c r="K539" s="939" t="s">
        <v>18</v>
      </c>
      <c r="L539" s="940" t="s">
        <v>51</v>
      </c>
      <c r="M539" s="940" t="s">
        <v>47</v>
      </c>
    </row>
    <row r="540" spans="1:25" ht="45" customHeight="1" x14ac:dyDescent="0.2">
      <c r="A540" s="1205" t="s">
        <v>319</v>
      </c>
      <c r="B540" s="1245" t="s">
        <v>759</v>
      </c>
      <c r="C540" s="1573" t="s">
        <v>760</v>
      </c>
      <c r="D540" s="1574"/>
      <c r="E540" s="1574"/>
      <c r="F540" s="1574"/>
      <c r="G540" s="1574"/>
      <c r="H540" s="1574"/>
      <c r="I540" s="1575"/>
      <c r="J540" s="943" t="s">
        <v>218</v>
      </c>
      <c r="K540" s="260">
        <v>1</v>
      </c>
      <c r="L540" s="258">
        <v>20.239999999999998</v>
      </c>
      <c r="M540" s="259">
        <f>ROUND(K540*L540,2)</f>
        <v>20.239999999999998</v>
      </c>
      <c r="R540" s="946"/>
    </row>
    <row r="541" spans="1:25" ht="18" customHeight="1" x14ac:dyDescent="0.2">
      <c r="A541" s="1584" t="str">
        <f>COTAÇÃO!A17</f>
        <v>COTAÇÃO 01</v>
      </c>
      <c r="B541" s="1585"/>
      <c r="C541" s="1573" t="str">
        <f>COTAÇÃO!A16</f>
        <v>GANCHO ACESSÓRIO PARA CORTINA</v>
      </c>
      <c r="D541" s="1574"/>
      <c r="E541" s="1574"/>
      <c r="F541" s="1574"/>
      <c r="G541" s="1574"/>
      <c r="H541" s="1574"/>
      <c r="I541" s="1575"/>
      <c r="J541" s="943" t="s">
        <v>219</v>
      </c>
      <c r="K541" s="260">
        <v>4</v>
      </c>
      <c r="L541" s="258">
        <f>COTAÇÃO!E19</f>
        <v>1.9766666666666666</v>
      </c>
      <c r="M541" s="259">
        <f t="shared" ref="M541:M544" si="45">ROUND(K541*L541,2)</f>
        <v>7.91</v>
      </c>
    </row>
    <row r="542" spans="1:25" ht="32.25" customHeight="1" x14ac:dyDescent="0.2">
      <c r="A542" s="1205" t="s">
        <v>183</v>
      </c>
      <c r="B542" s="1245" t="s">
        <v>783</v>
      </c>
      <c r="C542" s="1589" t="s">
        <v>784</v>
      </c>
      <c r="D542" s="1590"/>
      <c r="E542" s="1590"/>
      <c r="F542" s="1590"/>
      <c r="G542" s="1590"/>
      <c r="H542" s="1590"/>
      <c r="I542" s="1591"/>
      <c r="J542" s="943" t="s">
        <v>219</v>
      </c>
      <c r="K542" s="260">
        <v>0.7</v>
      </c>
      <c r="L542" s="258">
        <v>3.73</v>
      </c>
      <c r="M542" s="259">
        <f t="shared" si="45"/>
        <v>2.61</v>
      </c>
    </row>
    <row r="543" spans="1:25" s="933" customFormat="1" ht="15.75" customHeight="1" x14ac:dyDescent="0.2">
      <c r="A543" s="1205" t="s">
        <v>183</v>
      </c>
      <c r="B543" s="1205" t="s">
        <v>785</v>
      </c>
      <c r="C543" s="1581" t="s">
        <v>786</v>
      </c>
      <c r="D543" s="1582"/>
      <c r="E543" s="1582"/>
      <c r="F543" s="1582"/>
      <c r="G543" s="1582"/>
      <c r="H543" s="1582"/>
      <c r="I543" s="1583"/>
      <c r="J543" s="943" t="s">
        <v>158</v>
      </c>
      <c r="K543" s="260">
        <v>0.25</v>
      </c>
      <c r="L543" s="258">
        <v>17.13</v>
      </c>
      <c r="M543" s="259">
        <f t="shared" si="45"/>
        <v>4.28</v>
      </c>
    </row>
    <row r="544" spans="1:25" ht="15.75" customHeight="1" x14ac:dyDescent="0.2">
      <c r="A544" s="1205" t="s">
        <v>183</v>
      </c>
      <c r="B544" s="1207" t="s">
        <v>576</v>
      </c>
      <c r="C544" s="1573" t="s">
        <v>577</v>
      </c>
      <c r="D544" s="1574"/>
      <c r="E544" s="1574"/>
      <c r="F544" s="1574"/>
      <c r="G544" s="1574"/>
      <c r="H544" s="1574"/>
      <c r="I544" s="1575"/>
      <c r="J544" s="943" t="s">
        <v>158</v>
      </c>
      <c r="K544" s="260">
        <v>0.25</v>
      </c>
      <c r="L544" s="258">
        <v>21.31</v>
      </c>
      <c r="M544" s="259">
        <f t="shared" si="45"/>
        <v>5.33</v>
      </c>
    </row>
    <row r="545" spans="1:25" ht="15" x14ac:dyDescent="0.25">
      <c r="A545" s="941"/>
      <c r="B545" s="1204"/>
      <c r="C545" s="1576" t="s">
        <v>53</v>
      </c>
      <c r="D545" s="1577"/>
      <c r="E545" s="1577"/>
      <c r="F545" s="1577"/>
      <c r="G545" s="1577"/>
      <c r="H545" s="1577"/>
      <c r="I545" s="1577"/>
      <c r="J545" s="1578"/>
      <c r="K545" s="1253"/>
      <c r="L545" s="942"/>
      <c r="M545" s="945">
        <f>ROUND(SUM(M540:P544),2)</f>
        <v>40.369999999999997</v>
      </c>
    </row>
    <row r="547" spans="1:25" ht="20.25" customHeight="1" x14ac:dyDescent="0.2">
      <c r="A547" s="1596" t="str">
        <f>CONCATENATE("INFORMAÇÕES REFERENTE A COMPOSIÇÃO ",A561)</f>
        <v>INFORMAÇÕES REFERENTE A COMPOSIÇÃO COMPOSIÇÃO 46</v>
      </c>
      <c r="B547" s="1596"/>
      <c r="C547" s="1596"/>
      <c r="D547" s="1596"/>
      <c r="E547" s="1596"/>
      <c r="F547" s="1596"/>
      <c r="G547" s="1596"/>
      <c r="H547" s="1596"/>
      <c r="I547" s="1596"/>
      <c r="J547" s="1596"/>
      <c r="K547" s="1596"/>
      <c r="L547" s="1596"/>
      <c r="M547" s="1596"/>
    </row>
    <row r="548" spans="1:25" s="980" customFormat="1" ht="12.75" customHeight="1" x14ac:dyDescent="0.2">
      <c r="A548" s="985"/>
      <c r="B548" s="985"/>
      <c r="C548" s="987"/>
      <c r="D548" s="987"/>
      <c r="E548" s="987"/>
      <c r="F548" s="987"/>
      <c r="G548" s="987"/>
      <c r="H548" s="987"/>
      <c r="I548" s="987"/>
      <c r="J548" s="987"/>
      <c r="K548" s="987"/>
      <c r="L548" s="987"/>
      <c r="M548" s="987"/>
    </row>
    <row r="549" spans="1:25" s="980" customFormat="1" ht="12.75" customHeight="1" x14ac:dyDescent="0.2">
      <c r="A549" s="985"/>
      <c r="B549" s="985"/>
      <c r="C549" s="987"/>
      <c r="D549" s="987"/>
      <c r="E549" s="987"/>
      <c r="F549" s="987"/>
      <c r="G549" s="987"/>
      <c r="H549" s="987"/>
      <c r="I549" s="987"/>
      <c r="J549" s="987"/>
      <c r="K549" s="987"/>
      <c r="L549" s="987"/>
      <c r="M549" s="987"/>
    </row>
    <row r="550" spans="1:25" s="980" customFormat="1" ht="12.75" customHeight="1" x14ac:dyDescent="0.2">
      <c r="A550" s="985"/>
      <c r="B550" s="985"/>
      <c r="C550" s="987"/>
      <c r="D550" s="987"/>
      <c r="E550" s="987"/>
      <c r="F550" s="987"/>
      <c r="G550" s="987"/>
      <c r="H550" s="987"/>
      <c r="I550" s="987"/>
      <c r="J550" s="987"/>
      <c r="K550" s="987"/>
      <c r="L550" s="987"/>
      <c r="M550" s="987"/>
    </row>
    <row r="551" spans="1:25" s="980" customFormat="1" ht="12.75" customHeight="1" x14ac:dyDescent="0.2">
      <c r="A551" s="985"/>
      <c r="B551" s="985"/>
      <c r="C551" s="987"/>
      <c r="D551" s="987"/>
      <c r="E551" s="987"/>
      <c r="F551" s="987"/>
      <c r="G551" s="987"/>
      <c r="H551" s="987"/>
      <c r="I551" s="987"/>
      <c r="J551" s="987"/>
      <c r="K551" s="987"/>
      <c r="L551" s="987"/>
      <c r="M551" s="987"/>
    </row>
    <row r="552" spans="1:25" s="980" customFormat="1" ht="12.75" customHeight="1" x14ac:dyDescent="0.2">
      <c r="A552" s="985"/>
      <c r="B552" s="985"/>
      <c r="C552" s="607"/>
      <c r="D552" s="987"/>
      <c r="E552" s="987"/>
      <c r="F552" s="987"/>
      <c r="G552" s="987"/>
      <c r="H552" s="987"/>
      <c r="I552" s="987"/>
      <c r="J552" s="987"/>
      <c r="K552" s="987"/>
      <c r="L552" s="987"/>
      <c r="M552" s="987"/>
    </row>
    <row r="553" spans="1:25" s="980" customFormat="1" ht="12.75" customHeight="1" x14ac:dyDescent="0.2">
      <c r="A553" s="985"/>
      <c r="B553" s="985"/>
      <c r="C553" s="987"/>
      <c r="D553" s="987"/>
      <c r="E553" s="987"/>
      <c r="F553" s="607"/>
      <c r="G553" s="987"/>
      <c r="H553" s="987"/>
      <c r="I553" s="987"/>
      <c r="J553" s="987"/>
      <c r="K553" s="987"/>
      <c r="L553" s="987"/>
      <c r="M553" s="987"/>
    </row>
    <row r="554" spans="1:25" s="980" customFormat="1" ht="12.75" customHeight="1" x14ac:dyDescent="0.2">
      <c r="A554" s="985"/>
      <c r="B554" s="985"/>
      <c r="C554" s="987"/>
      <c r="D554" s="987"/>
      <c r="E554" s="987"/>
      <c r="F554" s="987"/>
      <c r="G554" s="987"/>
      <c r="H554" s="987"/>
      <c r="I554" s="987"/>
      <c r="J554" s="987"/>
      <c r="K554" s="987"/>
      <c r="L554" s="987"/>
      <c r="M554" s="987"/>
    </row>
    <row r="555" spans="1:25" s="980" customFormat="1" ht="12.75" customHeight="1" x14ac:dyDescent="0.2">
      <c r="A555" s="985"/>
      <c r="B555" s="985"/>
      <c r="C555" s="987"/>
      <c r="D555" s="987"/>
      <c r="E555" s="987"/>
      <c r="F555" s="987"/>
      <c r="G555" s="987"/>
      <c r="H555" s="987"/>
      <c r="I555" s="987"/>
      <c r="J555" s="987"/>
      <c r="K555" s="987"/>
      <c r="L555" s="987"/>
      <c r="M555" s="987"/>
    </row>
    <row r="556" spans="1:25" s="980" customFormat="1" ht="12.75" customHeight="1" x14ac:dyDescent="0.2">
      <c r="A556" s="985"/>
      <c r="B556" s="985"/>
      <c r="C556" s="987"/>
      <c r="D556" s="987"/>
      <c r="E556" s="987"/>
      <c r="F556" s="987"/>
      <c r="G556" s="987"/>
      <c r="H556" s="987"/>
      <c r="I556" s="987"/>
      <c r="J556" s="987"/>
      <c r="K556" s="987"/>
      <c r="L556" s="987"/>
      <c r="M556" s="987"/>
      <c r="Y556" s="607"/>
    </row>
    <row r="557" spans="1:25" s="980" customFormat="1" ht="12.75" customHeight="1" x14ac:dyDescent="0.2">
      <c r="A557" s="985"/>
      <c r="B557" s="985"/>
      <c r="C557" s="987"/>
      <c r="D557" s="987"/>
      <c r="E557" s="987"/>
      <c r="F557" s="987"/>
      <c r="G557" s="987"/>
      <c r="H557" s="987"/>
      <c r="I557" s="987"/>
      <c r="J557" s="987"/>
      <c r="K557" s="987"/>
      <c r="L557" s="987"/>
      <c r="M557" s="607"/>
    </row>
    <row r="558" spans="1:25" s="980" customFormat="1" ht="12.75" customHeight="1" x14ac:dyDescent="0.2">
      <c r="A558" s="985"/>
      <c r="B558" s="985"/>
      <c r="C558" s="987"/>
      <c r="D558" s="987"/>
      <c r="E558" s="987"/>
      <c r="F558" s="987"/>
      <c r="G558" s="987"/>
      <c r="H558" s="987"/>
      <c r="I558" s="987"/>
      <c r="J558" s="987"/>
      <c r="K558" s="987"/>
      <c r="L558" s="987"/>
      <c r="M558" s="987"/>
    </row>
    <row r="559" spans="1:25" ht="15" x14ac:dyDescent="0.25">
      <c r="A559" s="1242" t="s">
        <v>15</v>
      </c>
      <c r="B559" s="1242" t="s">
        <v>588</v>
      </c>
      <c r="C559" s="920"/>
      <c r="D559" s="921"/>
      <c r="E559" s="921"/>
      <c r="F559" s="921"/>
      <c r="G559" s="921" t="s">
        <v>84</v>
      </c>
      <c r="H559" s="921"/>
      <c r="I559" s="921"/>
      <c r="J559" s="921"/>
      <c r="K559" s="921"/>
      <c r="L559" s="921"/>
      <c r="M559" s="922"/>
    </row>
    <row r="560" spans="1:25" ht="18.75" customHeight="1" x14ac:dyDescent="0.2">
      <c r="A560" s="923" t="str">
        <f>ORÇ!A425</f>
        <v>14.22</v>
      </c>
      <c r="B560" s="923" t="s">
        <v>201</v>
      </c>
      <c r="C560" s="1573" t="s">
        <v>792</v>
      </c>
      <c r="D560" s="1574"/>
      <c r="E560" s="1574"/>
      <c r="F560" s="1574"/>
      <c r="G560" s="1574"/>
      <c r="H560" s="1574"/>
      <c r="I560" s="1574"/>
      <c r="J560" s="1574"/>
      <c r="K560" s="1574"/>
      <c r="L560" s="1574"/>
      <c r="M560" s="1579"/>
    </row>
    <row r="561" spans="1:18" ht="18" customHeight="1" x14ac:dyDescent="0.25">
      <c r="A561" s="1580" t="s">
        <v>2401</v>
      </c>
      <c r="B561" s="1560"/>
      <c r="C561" s="1560"/>
      <c r="D561" s="1560"/>
      <c r="E561" s="1560"/>
      <c r="F561" s="1560"/>
      <c r="G561" s="1560"/>
      <c r="H561" s="1560"/>
      <c r="I561" s="1560"/>
      <c r="J561" s="1560"/>
      <c r="K561" s="1560"/>
      <c r="L561" s="1561"/>
      <c r="M561" s="924"/>
    </row>
    <row r="562" spans="1:18" s="933" customFormat="1" ht="16.5" customHeight="1" x14ac:dyDescent="0.2">
      <c r="A562" s="925" t="s">
        <v>184</v>
      </c>
      <c r="B562" s="926" t="s">
        <v>48</v>
      </c>
      <c r="C562" s="936"/>
      <c r="D562" s="937"/>
      <c r="E562" s="937"/>
      <c r="F562" s="937" t="s">
        <v>49</v>
      </c>
      <c r="G562" s="937"/>
      <c r="H562" s="937"/>
      <c r="I562" s="938"/>
      <c r="J562" s="939" t="s">
        <v>50</v>
      </c>
      <c r="K562" s="939" t="s">
        <v>18</v>
      </c>
      <c r="L562" s="940" t="s">
        <v>51</v>
      </c>
      <c r="M562" s="940" t="s">
        <v>47</v>
      </c>
    </row>
    <row r="563" spans="1:18" ht="15.75" customHeight="1" x14ac:dyDescent="0.2">
      <c r="A563" s="1584" t="str">
        <f>COTAÇÃO!A24</f>
        <v>COTAÇÃO 02</v>
      </c>
      <c r="B563" s="1585"/>
      <c r="C563" s="1573" t="str">
        <f>COTAÇÃO!A23</f>
        <v xml:space="preserve">CORTINA HOSPITALAR PVC COM TELA 100% POLYESTER </v>
      </c>
      <c r="D563" s="1574"/>
      <c r="E563" s="1574"/>
      <c r="F563" s="1574"/>
      <c r="G563" s="1574"/>
      <c r="H563" s="1574"/>
      <c r="I563" s="1575"/>
      <c r="J563" s="943" t="s">
        <v>201</v>
      </c>
      <c r="K563" s="260">
        <v>1</v>
      </c>
      <c r="L563" s="258">
        <f>COTAÇÃO!E26</f>
        <v>78.483333333333334</v>
      </c>
      <c r="M563" s="259">
        <f>ROUND(K563*L563,2)</f>
        <v>78.48</v>
      </c>
      <c r="R563" s="946"/>
    </row>
    <row r="564" spans="1:18" s="933" customFormat="1" ht="15.75" customHeight="1" x14ac:dyDescent="0.2">
      <c r="A564" s="1205" t="s">
        <v>183</v>
      </c>
      <c r="B564" s="1205" t="s">
        <v>785</v>
      </c>
      <c r="C564" s="1581" t="s">
        <v>786</v>
      </c>
      <c r="D564" s="1582"/>
      <c r="E564" s="1582"/>
      <c r="F564" s="1582"/>
      <c r="G564" s="1582"/>
      <c r="H564" s="1582"/>
      <c r="I564" s="1583"/>
      <c r="J564" s="943" t="s">
        <v>158</v>
      </c>
      <c r="K564" s="260">
        <v>0.15</v>
      </c>
      <c r="L564" s="258">
        <v>17.13</v>
      </c>
      <c r="M564" s="259">
        <f t="shared" ref="M564:M565" si="46">ROUND(K564*L564,2)</f>
        <v>2.57</v>
      </c>
    </row>
    <row r="565" spans="1:18" ht="15.75" customHeight="1" x14ac:dyDescent="0.2">
      <c r="A565" s="1205" t="s">
        <v>183</v>
      </c>
      <c r="B565" s="1207" t="s">
        <v>576</v>
      </c>
      <c r="C565" s="1573" t="s">
        <v>577</v>
      </c>
      <c r="D565" s="1574"/>
      <c r="E565" s="1574"/>
      <c r="F565" s="1574"/>
      <c r="G565" s="1574"/>
      <c r="H565" s="1574"/>
      <c r="I565" s="1575"/>
      <c r="J565" s="943" t="s">
        <v>158</v>
      </c>
      <c r="K565" s="260">
        <v>0.15</v>
      </c>
      <c r="L565" s="258">
        <v>21.31</v>
      </c>
      <c r="M565" s="259">
        <f t="shared" si="46"/>
        <v>3.2</v>
      </c>
    </row>
    <row r="566" spans="1:18" ht="15" x14ac:dyDescent="0.25">
      <c r="A566" s="941"/>
      <c r="B566" s="1204"/>
      <c r="C566" s="1576" t="s">
        <v>53</v>
      </c>
      <c r="D566" s="1577"/>
      <c r="E566" s="1577"/>
      <c r="F566" s="1577"/>
      <c r="G566" s="1577"/>
      <c r="H566" s="1577"/>
      <c r="I566" s="1577"/>
      <c r="J566" s="1578"/>
      <c r="K566" s="1253"/>
      <c r="L566" s="942"/>
      <c r="M566" s="945">
        <f>ROUND(SUM(M563:P565),2)</f>
        <v>84.25</v>
      </c>
    </row>
    <row r="567" spans="1:18" ht="11.25" customHeight="1" x14ac:dyDescent="0.2"/>
    <row r="568" spans="1:18" ht="15" x14ac:dyDescent="0.25">
      <c r="A568" s="988" t="s">
        <v>343</v>
      </c>
      <c r="B568" s="1242" t="s">
        <v>588</v>
      </c>
      <c r="C568" s="920"/>
      <c r="D568" s="921"/>
      <c r="E568" s="921"/>
      <c r="F568" s="921"/>
      <c r="G568" s="921" t="s">
        <v>344</v>
      </c>
      <c r="H568" s="921"/>
      <c r="I568" s="921"/>
      <c r="J568" s="921"/>
      <c r="K568" s="921"/>
      <c r="L568" s="921"/>
      <c r="M568" s="922"/>
    </row>
    <row r="569" spans="1:18" ht="49.5" customHeight="1" x14ac:dyDescent="0.2">
      <c r="A569" s="989" t="str">
        <f>ORÇ!A431</f>
        <v>15.1.1</v>
      </c>
      <c r="B569" s="320" t="s">
        <v>335</v>
      </c>
      <c r="C569" s="1593" t="s">
        <v>2419</v>
      </c>
      <c r="D569" s="1594"/>
      <c r="E569" s="1594"/>
      <c r="F569" s="1594"/>
      <c r="G569" s="1594"/>
      <c r="H569" s="1594"/>
      <c r="I569" s="1594"/>
      <c r="J569" s="1594"/>
      <c r="K569" s="1594"/>
      <c r="L569" s="1594"/>
      <c r="M569" s="1595"/>
    </row>
    <row r="570" spans="1:18" ht="19.5" customHeight="1" x14ac:dyDescent="0.25">
      <c r="A570" s="1203"/>
      <c r="B570" s="949"/>
      <c r="C570" s="949"/>
      <c r="D570" s="949"/>
      <c r="E570" s="949"/>
      <c r="F570" s="949"/>
      <c r="G570" s="1001" t="s">
        <v>2402</v>
      </c>
      <c r="H570" s="949"/>
      <c r="I570" s="949"/>
      <c r="J570" s="949"/>
      <c r="K570" s="949"/>
      <c r="L570" s="950"/>
      <c r="M570" s="924"/>
    </row>
    <row r="571" spans="1:18" s="933" customFormat="1" ht="16.5" customHeight="1" x14ac:dyDescent="0.2">
      <c r="A571" s="925" t="s">
        <v>184</v>
      </c>
      <c r="B571" s="926" t="s">
        <v>48</v>
      </c>
      <c r="C571" s="936"/>
      <c r="D571" s="937"/>
      <c r="E571" s="937"/>
      <c r="F571" s="937" t="s">
        <v>49</v>
      </c>
      <c r="G571" s="937"/>
      <c r="H571" s="937"/>
      <c r="I571" s="938"/>
      <c r="J571" s="939" t="s">
        <v>50</v>
      </c>
      <c r="K571" s="939" t="s">
        <v>18</v>
      </c>
      <c r="L571" s="940" t="s">
        <v>51</v>
      </c>
      <c r="M571" s="990" t="s">
        <v>47</v>
      </c>
    </row>
    <row r="572" spans="1:18" ht="29.25" customHeight="1" x14ac:dyDescent="0.2">
      <c r="A572" s="1586" t="str">
        <f>COTAÇÃO!A185</f>
        <v>COTAÇÃO 24</v>
      </c>
      <c r="B572" s="1587"/>
      <c r="C572" s="1601" t="str">
        <f>COTAÇÃO!A184</f>
        <v>RALO ABRE E FECHA REDONDO DE PAREDE PARA RESPIRO DE SAUNA</v>
      </c>
      <c r="D572" s="1602"/>
      <c r="E572" s="1602"/>
      <c r="F572" s="1602"/>
      <c r="G572" s="1602"/>
      <c r="H572" s="1602"/>
      <c r="I572" s="1603"/>
      <c r="J572" s="943" t="s">
        <v>219</v>
      </c>
      <c r="K572" s="959">
        <v>1</v>
      </c>
      <c r="L572" s="993">
        <f>COTAÇÃO!E187</f>
        <v>37.583333333333336</v>
      </c>
      <c r="M572" s="259">
        <f>ROUND(K572*L572,2)</f>
        <v>37.58</v>
      </c>
    </row>
    <row r="573" spans="1:18" ht="33.75" customHeight="1" x14ac:dyDescent="0.2">
      <c r="A573" s="923" t="s">
        <v>183</v>
      </c>
      <c r="B573" s="994" t="s">
        <v>2278</v>
      </c>
      <c r="C573" s="1589" t="s">
        <v>2279</v>
      </c>
      <c r="D573" s="1590"/>
      <c r="E573" s="1590"/>
      <c r="F573" s="1590"/>
      <c r="G573" s="1590"/>
      <c r="H573" s="1590"/>
      <c r="I573" s="1591"/>
      <c r="J573" s="943" t="s">
        <v>219</v>
      </c>
      <c r="K573" s="998">
        <v>1</v>
      </c>
      <c r="L573" s="993">
        <v>28.01</v>
      </c>
      <c r="M573" s="259">
        <f t="shared" ref="M573" si="47">ROUND(K573*L573,2)</f>
        <v>28.01</v>
      </c>
    </row>
    <row r="574" spans="1:18" ht="15" customHeight="1" x14ac:dyDescent="0.2">
      <c r="A574" s="923" t="s">
        <v>319</v>
      </c>
      <c r="B574" s="994" t="s">
        <v>360</v>
      </c>
      <c r="C574" s="1601" t="s">
        <v>361</v>
      </c>
      <c r="D574" s="1602"/>
      <c r="E574" s="1602"/>
      <c r="F574" s="1602"/>
      <c r="G574" s="1602"/>
      <c r="H574" s="1602"/>
      <c r="I574" s="1603"/>
      <c r="J574" s="943" t="s">
        <v>219</v>
      </c>
      <c r="K574" s="998">
        <v>5.0000000000000001E-3</v>
      </c>
      <c r="L574" s="993">
        <v>61.55</v>
      </c>
      <c r="M574" s="259">
        <f t="shared" ref="M574:M579" si="48">ROUND(K574*L574,2)</f>
        <v>0.31</v>
      </c>
    </row>
    <row r="575" spans="1:18" ht="29.25" customHeight="1" x14ac:dyDescent="0.2">
      <c r="A575" s="923" t="s">
        <v>319</v>
      </c>
      <c r="B575" s="994" t="s">
        <v>364</v>
      </c>
      <c r="C575" s="1601" t="s">
        <v>365</v>
      </c>
      <c r="D575" s="1602"/>
      <c r="E575" s="1602"/>
      <c r="F575" s="1602"/>
      <c r="G575" s="1602"/>
      <c r="H575" s="1602"/>
      <c r="I575" s="1603"/>
      <c r="J575" s="943" t="s">
        <v>219</v>
      </c>
      <c r="K575" s="998">
        <v>8.0000000000000002E-3</v>
      </c>
      <c r="L575" s="993">
        <v>69.739999999999995</v>
      </c>
      <c r="M575" s="259">
        <f t="shared" si="48"/>
        <v>0.56000000000000005</v>
      </c>
    </row>
    <row r="576" spans="1:18" ht="15" customHeight="1" x14ac:dyDescent="0.2">
      <c r="A576" s="923" t="s">
        <v>319</v>
      </c>
      <c r="B576" s="996" t="s">
        <v>366</v>
      </c>
      <c r="C576" s="1601" t="s">
        <v>294</v>
      </c>
      <c r="D576" s="1602"/>
      <c r="E576" s="1602"/>
      <c r="F576" s="1602"/>
      <c r="G576" s="1602"/>
      <c r="H576" s="1602"/>
      <c r="I576" s="1603"/>
      <c r="J576" s="943" t="s">
        <v>219</v>
      </c>
      <c r="K576" s="998">
        <v>1.7000000000000001E-2</v>
      </c>
      <c r="L576" s="993">
        <v>1.59</v>
      </c>
      <c r="M576" s="259">
        <f t="shared" si="48"/>
        <v>0.03</v>
      </c>
    </row>
    <row r="577" spans="1:13" ht="15" customHeight="1" x14ac:dyDescent="0.2">
      <c r="A577" s="923" t="s">
        <v>182</v>
      </c>
      <c r="B577" s="997" t="s">
        <v>1242</v>
      </c>
      <c r="C577" s="1589" t="s">
        <v>1243</v>
      </c>
      <c r="D577" s="1590"/>
      <c r="E577" s="1590"/>
      <c r="F577" s="1590"/>
      <c r="G577" s="1590"/>
      <c r="H577" s="1590"/>
      <c r="I577" s="1591"/>
      <c r="J577" s="943" t="s">
        <v>218</v>
      </c>
      <c r="K577" s="959">
        <v>0.1</v>
      </c>
      <c r="L577" s="993">
        <v>16.16</v>
      </c>
      <c r="M577" s="259">
        <f t="shared" si="48"/>
        <v>1.62</v>
      </c>
    </row>
    <row r="578" spans="1:13" ht="29.25" customHeight="1" x14ac:dyDescent="0.2">
      <c r="A578" s="1205" t="s">
        <v>183</v>
      </c>
      <c r="B578" s="997" t="s">
        <v>367</v>
      </c>
      <c r="C578" s="1589" t="s">
        <v>295</v>
      </c>
      <c r="D578" s="1590"/>
      <c r="E578" s="1590"/>
      <c r="F578" s="1590"/>
      <c r="G578" s="1590"/>
      <c r="H578" s="1590"/>
      <c r="I578" s="1591"/>
      <c r="J578" s="943" t="s">
        <v>158</v>
      </c>
      <c r="K578" s="999">
        <v>0.05</v>
      </c>
      <c r="L578" s="993">
        <v>16.989999999999998</v>
      </c>
      <c r="M578" s="259">
        <f t="shared" si="48"/>
        <v>0.85</v>
      </c>
    </row>
    <row r="579" spans="1:13" ht="29.25" customHeight="1" x14ac:dyDescent="0.2">
      <c r="A579" s="1205" t="s">
        <v>183</v>
      </c>
      <c r="B579" s="997" t="s">
        <v>368</v>
      </c>
      <c r="C579" s="1589" t="s">
        <v>296</v>
      </c>
      <c r="D579" s="1590"/>
      <c r="E579" s="1590"/>
      <c r="F579" s="1590"/>
      <c r="G579" s="1590"/>
      <c r="H579" s="1590"/>
      <c r="I579" s="1591"/>
      <c r="J579" s="943" t="s">
        <v>158</v>
      </c>
      <c r="K579" s="999">
        <v>0.05</v>
      </c>
      <c r="L579" s="993">
        <v>20.7</v>
      </c>
      <c r="M579" s="259">
        <f t="shared" si="48"/>
        <v>1.04</v>
      </c>
    </row>
    <row r="580" spans="1:13" ht="15" x14ac:dyDescent="0.25">
      <c r="A580" s="941"/>
      <c r="B580" s="1204"/>
      <c r="C580" s="1576" t="s">
        <v>53</v>
      </c>
      <c r="D580" s="1577"/>
      <c r="E580" s="1577"/>
      <c r="F580" s="1577"/>
      <c r="G580" s="1577"/>
      <c r="H580" s="1577"/>
      <c r="I580" s="1577"/>
      <c r="J580" s="1578"/>
      <c r="K580" s="1253"/>
      <c r="L580" s="942"/>
      <c r="M580" s="944">
        <f>ROUND(SUM(M571:M579),2)</f>
        <v>70</v>
      </c>
    </row>
    <row r="581" spans="1:13" ht="10.5" customHeight="1" x14ac:dyDescent="0.2"/>
    <row r="582" spans="1:13" ht="15" x14ac:dyDescent="0.25">
      <c r="A582" s="1244" t="s">
        <v>343</v>
      </c>
      <c r="B582" s="1242"/>
      <c r="C582" s="947"/>
      <c r="D582" s="947"/>
      <c r="E582" s="947"/>
      <c r="F582" s="947"/>
      <c r="G582" s="947" t="s">
        <v>344</v>
      </c>
      <c r="H582" s="947"/>
      <c r="I582" s="947"/>
      <c r="J582" s="947"/>
      <c r="K582" s="947"/>
      <c r="L582" s="947"/>
      <c r="M582" s="922"/>
    </row>
    <row r="583" spans="1:13" ht="32.25" customHeight="1" x14ac:dyDescent="0.2">
      <c r="A583" s="1079" t="str">
        <f>ORÇ!A460</f>
        <v>16.4.3</v>
      </c>
      <c r="B583" s="1080" t="s">
        <v>328</v>
      </c>
      <c r="C583" s="1605" t="s">
        <v>1902</v>
      </c>
      <c r="D583" s="1605"/>
      <c r="E583" s="1605"/>
      <c r="F583" s="1605"/>
      <c r="G583" s="1605"/>
      <c r="H583" s="1605"/>
      <c r="I583" s="1605"/>
      <c r="J583" s="1605"/>
      <c r="K583" s="1605"/>
      <c r="L583" s="1605"/>
      <c r="M583" s="1606"/>
    </row>
    <row r="584" spans="1:13" ht="18" customHeight="1" x14ac:dyDescent="0.25">
      <c r="A584" s="1203"/>
      <c r="B584" s="1072"/>
      <c r="C584" s="949"/>
      <c r="D584" s="949"/>
      <c r="E584" s="949"/>
      <c r="F584" s="949"/>
      <c r="G584" s="1001" t="s">
        <v>2403</v>
      </c>
      <c r="H584" s="949"/>
      <c r="I584" s="949"/>
      <c r="J584" s="949"/>
      <c r="K584" s="949"/>
      <c r="L584" s="950"/>
      <c r="M584" s="924" t="s">
        <v>47</v>
      </c>
    </row>
    <row r="585" spans="1:13" ht="15" x14ac:dyDescent="0.25">
      <c r="A585" s="951" t="s">
        <v>184</v>
      </c>
      <c r="B585" s="939" t="s">
        <v>48</v>
      </c>
      <c r="C585" s="1081"/>
      <c r="D585" s="1081"/>
      <c r="E585" s="1081"/>
      <c r="F585" s="1081" t="s">
        <v>49</v>
      </c>
      <c r="G585" s="1081"/>
      <c r="H585" s="1081"/>
      <c r="I585" s="1082"/>
      <c r="J585" s="930" t="s">
        <v>50</v>
      </c>
      <c r="K585" s="930" t="s">
        <v>18</v>
      </c>
      <c r="L585" s="953" t="s">
        <v>51</v>
      </c>
      <c r="M585" s="1083"/>
    </row>
    <row r="586" spans="1:13" ht="33" customHeight="1" x14ac:dyDescent="0.2">
      <c r="A586" s="954" t="s">
        <v>319</v>
      </c>
      <c r="B586" s="955" t="s">
        <v>1892</v>
      </c>
      <c r="C586" s="1569" t="s">
        <v>1893</v>
      </c>
      <c r="D586" s="1570"/>
      <c r="E586" s="1570"/>
      <c r="F586" s="1570"/>
      <c r="G586" s="1570"/>
      <c r="H586" s="1570"/>
      <c r="I586" s="1571"/>
      <c r="J586" s="943" t="s">
        <v>328</v>
      </c>
      <c r="K586" s="959">
        <v>1.02</v>
      </c>
      <c r="L586" s="1084">
        <v>26.61</v>
      </c>
      <c r="M586" s="958">
        <f>ROUND(L586*K586,2)</f>
        <v>27.14</v>
      </c>
    </row>
    <row r="587" spans="1:13" ht="33" customHeight="1" x14ac:dyDescent="0.2">
      <c r="A587" s="954" t="s">
        <v>319</v>
      </c>
      <c r="B587" s="955" t="s">
        <v>1894</v>
      </c>
      <c r="C587" s="1569" t="s">
        <v>1895</v>
      </c>
      <c r="D587" s="1570"/>
      <c r="E587" s="1570"/>
      <c r="F587" s="1570"/>
      <c r="G587" s="1570"/>
      <c r="H587" s="1570"/>
      <c r="I587" s="1571"/>
      <c r="J587" s="943" t="s">
        <v>218</v>
      </c>
      <c r="K587" s="959">
        <v>0.61</v>
      </c>
      <c r="L587" s="1084">
        <v>91.18</v>
      </c>
      <c r="M587" s="958">
        <f t="shared" ref="M587:M599" si="49">ROUND(L587*K587,2)</f>
        <v>55.62</v>
      </c>
    </row>
    <row r="588" spans="1:13" ht="33" customHeight="1" x14ac:dyDescent="0.2">
      <c r="A588" s="954" t="s">
        <v>319</v>
      </c>
      <c r="B588" s="955" t="s">
        <v>1896</v>
      </c>
      <c r="C588" s="1569" t="s">
        <v>1897</v>
      </c>
      <c r="D588" s="1570"/>
      <c r="E588" s="1570"/>
      <c r="F588" s="1570"/>
      <c r="G588" s="1570"/>
      <c r="H588" s="1570"/>
      <c r="I588" s="1571"/>
      <c r="J588" s="943" t="s">
        <v>218</v>
      </c>
      <c r="K588" s="959">
        <v>0.87</v>
      </c>
      <c r="L588" s="1084">
        <v>54.43</v>
      </c>
      <c r="M588" s="958">
        <f t="shared" si="49"/>
        <v>47.35</v>
      </c>
    </row>
    <row r="589" spans="1:13" ht="28.5" customHeight="1" x14ac:dyDescent="0.2">
      <c r="A589" s="954" t="s">
        <v>319</v>
      </c>
      <c r="B589" s="955" t="s">
        <v>1898</v>
      </c>
      <c r="C589" s="1569" t="s">
        <v>1899</v>
      </c>
      <c r="D589" s="1570"/>
      <c r="E589" s="1570"/>
      <c r="F589" s="1570"/>
      <c r="G589" s="1570"/>
      <c r="H589" s="1570"/>
      <c r="I589" s="1571"/>
      <c r="J589" s="943" t="s">
        <v>205</v>
      </c>
      <c r="K589" s="959">
        <v>0.01</v>
      </c>
      <c r="L589" s="1084">
        <v>28.81</v>
      </c>
      <c r="M589" s="958">
        <f t="shared" si="49"/>
        <v>0.28999999999999998</v>
      </c>
    </row>
    <row r="590" spans="1:13" ht="28.5" customHeight="1" x14ac:dyDescent="0.2">
      <c r="A590" s="954" t="s">
        <v>319</v>
      </c>
      <c r="B590" s="955" t="s">
        <v>1900</v>
      </c>
      <c r="C590" s="1569" t="s">
        <v>1901</v>
      </c>
      <c r="D590" s="1570"/>
      <c r="E590" s="1570"/>
      <c r="F590" s="1570"/>
      <c r="G590" s="1570"/>
      <c r="H590" s="1570"/>
      <c r="I590" s="1571"/>
      <c r="J590" s="943" t="s">
        <v>205</v>
      </c>
      <c r="K590" s="959">
        <v>0.08</v>
      </c>
      <c r="L590" s="1084">
        <v>22.09</v>
      </c>
      <c r="M590" s="958">
        <f t="shared" si="49"/>
        <v>1.77</v>
      </c>
    </row>
    <row r="591" spans="1:13" ht="29.25" customHeight="1" x14ac:dyDescent="0.2">
      <c r="A591" s="954" t="s">
        <v>183</v>
      </c>
      <c r="B591" s="955">
        <v>88631</v>
      </c>
      <c r="C591" s="1570" t="s">
        <v>1880</v>
      </c>
      <c r="D591" s="1570"/>
      <c r="E591" s="1570"/>
      <c r="F591" s="1570"/>
      <c r="G591" s="1570"/>
      <c r="H591" s="1570"/>
      <c r="I591" s="1571"/>
      <c r="J591" s="943" t="s">
        <v>200</v>
      </c>
      <c r="K591" s="959">
        <v>1.54E-2</v>
      </c>
      <c r="L591" s="1084">
        <v>594.91</v>
      </c>
      <c r="M591" s="958">
        <f t="shared" si="49"/>
        <v>9.16</v>
      </c>
    </row>
    <row r="592" spans="1:13" ht="29.25" customHeight="1" x14ac:dyDescent="0.2">
      <c r="A592" s="954" t="s">
        <v>319</v>
      </c>
      <c r="B592" s="955">
        <v>11447</v>
      </c>
      <c r="C592" s="1570" t="s">
        <v>1881</v>
      </c>
      <c r="D592" s="1570"/>
      <c r="E592" s="1570"/>
      <c r="F592" s="1570"/>
      <c r="G592" s="1570"/>
      <c r="H592" s="1570"/>
      <c r="I592" s="1571"/>
      <c r="J592" s="943" t="s">
        <v>335</v>
      </c>
      <c r="K592" s="959">
        <v>1.5384</v>
      </c>
      <c r="L592" s="1084">
        <v>36.979999999999997</v>
      </c>
      <c r="M592" s="958">
        <f t="shared" si="49"/>
        <v>56.89</v>
      </c>
    </row>
    <row r="593" spans="1:13" ht="71.25" customHeight="1" x14ac:dyDescent="0.2">
      <c r="A593" s="954" t="s">
        <v>319</v>
      </c>
      <c r="B593" s="955" t="s">
        <v>1882</v>
      </c>
      <c r="C593" s="1569" t="s">
        <v>1883</v>
      </c>
      <c r="D593" s="1570"/>
      <c r="E593" s="1570"/>
      <c r="F593" s="1570"/>
      <c r="G593" s="1570"/>
      <c r="H593" s="1570"/>
      <c r="I593" s="1571"/>
      <c r="J593" s="943" t="s">
        <v>335</v>
      </c>
      <c r="K593" s="959">
        <v>0.25640000000000002</v>
      </c>
      <c r="L593" s="1084">
        <v>8.32</v>
      </c>
      <c r="M593" s="958">
        <f t="shared" si="49"/>
        <v>2.13</v>
      </c>
    </row>
    <row r="594" spans="1:13" ht="58.5" customHeight="1" x14ac:dyDescent="0.2">
      <c r="A594" s="954" t="s">
        <v>319</v>
      </c>
      <c r="B594" s="955" t="s">
        <v>1884</v>
      </c>
      <c r="C594" s="1569" t="s">
        <v>1885</v>
      </c>
      <c r="D594" s="1570"/>
      <c r="E594" s="1570"/>
      <c r="F594" s="1570"/>
      <c r="G594" s="1570"/>
      <c r="H594" s="1570"/>
      <c r="I594" s="1571"/>
      <c r="J594" s="943" t="s">
        <v>335</v>
      </c>
      <c r="K594" s="959">
        <v>0.25640000000000002</v>
      </c>
      <c r="L594" s="1084">
        <v>19.7</v>
      </c>
      <c r="M594" s="958">
        <f t="shared" si="49"/>
        <v>5.05</v>
      </c>
    </row>
    <row r="595" spans="1:13" ht="15.75" customHeight="1" x14ac:dyDescent="0.2">
      <c r="A595" s="954" t="s">
        <v>183</v>
      </c>
      <c r="B595" s="955">
        <v>88242</v>
      </c>
      <c r="C595" s="1570" t="s">
        <v>786</v>
      </c>
      <c r="D595" s="1570"/>
      <c r="E595" s="1570"/>
      <c r="F595" s="1570"/>
      <c r="G595" s="1570"/>
      <c r="H595" s="1570"/>
      <c r="I595" s="1571"/>
      <c r="J595" s="943" t="s">
        <v>158</v>
      </c>
      <c r="K595" s="959">
        <v>0.51280000000000003</v>
      </c>
      <c r="L595" s="1084">
        <v>17.13</v>
      </c>
      <c r="M595" s="958">
        <f t="shared" si="49"/>
        <v>8.7799999999999994</v>
      </c>
    </row>
    <row r="596" spans="1:13" ht="15.75" customHeight="1" x14ac:dyDescent="0.2">
      <c r="A596" s="954" t="s">
        <v>183</v>
      </c>
      <c r="B596" s="955">
        <v>88309</v>
      </c>
      <c r="C596" s="1570" t="s">
        <v>577</v>
      </c>
      <c r="D596" s="1570"/>
      <c r="E596" s="1570"/>
      <c r="F596" s="1570"/>
      <c r="G596" s="1570"/>
      <c r="H596" s="1570"/>
      <c r="I596" s="1571"/>
      <c r="J596" s="943" t="s">
        <v>158</v>
      </c>
      <c r="K596" s="959">
        <v>0.51280000000000003</v>
      </c>
      <c r="L596" s="1084">
        <v>21.31</v>
      </c>
      <c r="M596" s="958">
        <f t="shared" si="49"/>
        <v>10.93</v>
      </c>
    </row>
    <row r="597" spans="1:13" ht="33" customHeight="1" x14ac:dyDescent="0.2">
      <c r="A597" s="954" t="s">
        <v>183</v>
      </c>
      <c r="B597" s="1085">
        <v>102220</v>
      </c>
      <c r="C597" s="1570" t="s">
        <v>1886</v>
      </c>
      <c r="D597" s="1570"/>
      <c r="E597" s="1570"/>
      <c r="F597" s="1570"/>
      <c r="G597" s="1570"/>
      <c r="H597" s="1570"/>
      <c r="I597" s="1571"/>
      <c r="J597" s="943" t="s">
        <v>201</v>
      </c>
      <c r="K597" s="959">
        <v>0.51280000000000003</v>
      </c>
      <c r="L597" s="1086">
        <v>12.18</v>
      </c>
      <c r="M597" s="958">
        <f t="shared" si="49"/>
        <v>6.25</v>
      </c>
    </row>
    <row r="598" spans="1:13" ht="33" customHeight="1" x14ac:dyDescent="0.2">
      <c r="A598" s="954" t="s">
        <v>183</v>
      </c>
      <c r="B598" s="1085">
        <v>100717</v>
      </c>
      <c r="C598" s="1570" t="s">
        <v>1887</v>
      </c>
      <c r="D598" s="1570"/>
      <c r="E598" s="1570"/>
      <c r="F598" s="1570"/>
      <c r="G598" s="1570"/>
      <c r="H598" s="1570"/>
      <c r="I598" s="1571"/>
      <c r="J598" s="943" t="s">
        <v>201</v>
      </c>
      <c r="K598" s="959">
        <v>1.9999</v>
      </c>
      <c r="L598" s="1086">
        <v>7.4</v>
      </c>
      <c r="M598" s="958">
        <f t="shared" si="49"/>
        <v>14.8</v>
      </c>
    </row>
    <row r="599" spans="1:13" ht="17.25" customHeight="1" x14ac:dyDescent="0.2">
      <c r="A599" s="954" t="s">
        <v>183</v>
      </c>
      <c r="B599" s="1085">
        <v>98397</v>
      </c>
      <c r="C599" s="1570" t="s">
        <v>1888</v>
      </c>
      <c r="D599" s="1570"/>
      <c r="E599" s="1570"/>
      <c r="F599" s="1570"/>
      <c r="G599" s="1570"/>
      <c r="H599" s="1570"/>
      <c r="I599" s="1571"/>
      <c r="J599" s="943" t="s">
        <v>201</v>
      </c>
      <c r="K599" s="959">
        <v>1.9999</v>
      </c>
      <c r="L599" s="1086">
        <v>9.74</v>
      </c>
      <c r="M599" s="958">
        <f t="shared" si="49"/>
        <v>19.48</v>
      </c>
    </row>
    <row r="600" spans="1:13" ht="15" x14ac:dyDescent="0.25">
      <c r="A600" s="1203"/>
      <c r="B600" s="961"/>
      <c r="C600" s="1577" t="s">
        <v>53</v>
      </c>
      <c r="D600" s="1577"/>
      <c r="E600" s="1577"/>
      <c r="F600" s="1577"/>
      <c r="G600" s="1577"/>
      <c r="H600" s="1577"/>
      <c r="I600" s="1577"/>
      <c r="J600" s="1578"/>
      <c r="K600" s="1253"/>
      <c r="L600" s="962"/>
      <c r="M600" s="963">
        <f>ROUND(SUM(M586:M599),2)</f>
        <v>265.64</v>
      </c>
    </row>
    <row r="601" spans="1:13" s="21" customFormat="1" ht="12.75" x14ac:dyDescent="0.2">
      <c r="A601" s="1208"/>
      <c r="B601" s="1209"/>
      <c r="C601" s="1210"/>
      <c r="D601" s="1210"/>
      <c r="E601" s="1210"/>
      <c r="F601" s="1210"/>
      <c r="G601" s="1210"/>
      <c r="H601" s="1210"/>
      <c r="I601" s="1210"/>
      <c r="J601" s="1210"/>
      <c r="K601" s="1210"/>
      <c r="L601" s="1211"/>
      <c r="M601" s="1212"/>
    </row>
    <row r="602" spans="1:13" ht="15" x14ac:dyDescent="0.25">
      <c r="A602" s="988" t="s">
        <v>343</v>
      </c>
      <c r="B602" s="1242" t="s">
        <v>588</v>
      </c>
      <c r="C602" s="920"/>
      <c r="D602" s="921"/>
      <c r="E602" s="921"/>
      <c r="F602" s="921"/>
      <c r="G602" s="921" t="s">
        <v>344</v>
      </c>
      <c r="H602" s="921"/>
      <c r="I602" s="921"/>
      <c r="J602" s="921"/>
      <c r="K602" s="921"/>
      <c r="L602" s="921"/>
      <c r="M602" s="922"/>
    </row>
    <row r="603" spans="1:13" ht="26.25" customHeight="1" x14ac:dyDescent="0.2">
      <c r="A603" s="989" t="str">
        <f>ORÇ!A466</f>
        <v>17.2.1</v>
      </c>
      <c r="B603" s="943" t="s">
        <v>219</v>
      </c>
      <c r="C603" s="1650" t="s">
        <v>1960</v>
      </c>
      <c r="D603" s="1651"/>
      <c r="E603" s="1651"/>
      <c r="F603" s="1651"/>
      <c r="G603" s="1651"/>
      <c r="H603" s="1651"/>
      <c r="I603" s="1651"/>
      <c r="J603" s="1651"/>
      <c r="K603" s="1651"/>
      <c r="L603" s="1651"/>
      <c r="M603" s="1656"/>
    </row>
    <row r="604" spans="1:13" ht="19.5" customHeight="1" x14ac:dyDescent="0.25">
      <c r="A604" s="1203"/>
      <c r="B604" s="949"/>
      <c r="C604" s="949"/>
      <c r="D604" s="949"/>
      <c r="E604" s="949"/>
      <c r="F604" s="949"/>
      <c r="G604" s="1001" t="s">
        <v>2404</v>
      </c>
      <c r="H604" s="949"/>
      <c r="I604" s="949"/>
      <c r="J604" s="949"/>
      <c r="K604" s="949"/>
      <c r="L604" s="950"/>
      <c r="M604" s="924"/>
    </row>
    <row r="605" spans="1:13" s="933" customFormat="1" ht="16.5" customHeight="1" x14ac:dyDescent="0.2">
      <c r="A605" s="925" t="s">
        <v>184</v>
      </c>
      <c r="B605" s="926" t="s">
        <v>48</v>
      </c>
      <c r="C605" s="936"/>
      <c r="D605" s="937"/>
      <c r="E605" s="937"/>
      <c r="F605" s="937" t="s">
        <v>49</v>
      </c>
      <c r="G605" s="937"/>
      <c r="H605" s="937"/>
      <c r="I605" s="938"/>
      <c r="J605" s="939" t="s">
        <v>50</v>
      </c>
      <c r="K605" s="939" t="s">
        <v>18</v>
      </c>
      <c r="L605" s="940" t="s">
        <v>51</v>
      </c>
      <c r="M605" s="990" t="s">
        <v>47</v>
      </c>
    </row>
    <row r="606" spans="1:13" ht="32.25" customHeight="1" x14ac:dyDescent="0.2">
      <c r="A606" s="923" t="s">
        <v>183</v>
      </c>
      <c r="B606" s="994" t="s">
        <v>1333</v>
      </c>
      <c r="C606" s="1589" t="s">
        <v>1334</v>
      </c>
      <c r="D606" s="1590"/>
      <c r="E606" s="1590"/>
      <c r="F606" s="1590"/>
      <c r="G606" s="1590"/>
      <c r="H606" s="1590"/>
      <c r="I606" s="1591"/>
      <c r="J606" s="943" t="s">
        <v>739</v>
      </c>
      <c r="K606" s="959">
        <f>ROUND((4*(0.3*0.3*0.25)),2)</f>
        <v>0.09</v>
      </c>
      <c r="L606" s="993">
        <v>545.9</v>
      </c>
      <c r="M606" s="259">
        <f>ROUND(K606*L606,2)</f>
        <v>49.13</v>
      </c>
    </row>
    <row r="607" spans="1:13" ht="21" customHeight="1" x14ac:dyDescent="0.2">
      <c r="A607" s="923" t="s">
        <v>182</v>
      </c>
      <c r="B607" s="994" t="s">
        <v>1016</v>
      </c>
      <c r="C607" s="1589" t="s">
        <v>1017</v>
      </c>
      <c r="D607" s="1590"/>
      <c r="E607" s="1590"/>
      <c r="F607" s="1590"/>
      <c r="G607" s="1590"/>
      <c r="H607" s="1590"/>
      <c r="I607" s="1591"/>
      <c r="J607" s="943" t="s">
        <v>739</v>
      </c>
      <c r="K607" s="959">
        <f>K606</f>
        <v>0.09</v>
      </c>
      <c r="L607" s="993">
        <v>51.21</v>
      </c>
      <c r="M607" s="259">
        <f t="shared" ref="M607:M610" si="50">ROUND(K607*L607,2)</f>
        <v>4.6100000000000003</v>
      </c>
    </row>
    <row r="608" spans="1:13" ht="21" customHeight="1" x14ac:dyDescent="0.2">
      <c r="A608" s="923" t="s">
        <v>182</v>
      </c>
      <c r="B608" s="994" t="s">
        <v>1386</v>
      </c>
      <c r="C608" s="1589" t="s">
        <v>577</v>
      </c>
      <c r="D608" s="1590"/>
      <c r="E608" s="1590"/>
      <c r="F608" s="1590"/>
      <c r="G608" s="1590"/>
      <c r="H608" s="1590"/>
      <c r="I608" s="1591"/>
      <c r="J608" s="943" t="s">
        <v>158</v>
      </c>
      <c r="K608" s="998">
        <v>0.35</v>
      </c>
      <c r="L608" s="993">
        <v>21.29</v>
      </c>
      <c r="M608" s="259">
        <f t="shared" si="50"/>
        <v>7.45</v>
      </c>
    </row>
    <row r="609" spans="1:13" ht="21" customHeight="1" x14ac:dyDescent="0.2">
      <c r="A609" s="923" t="s">
        <v>183</v>
      </c>
      <c r="B609" s="996" t="s">
        <v>785</v>
      </c>
      <c r="C609" s="1589" t="s">
        <v>786</v>
      </c>
      <c r="D609" s="1590"/>
      <c r="E609" s="1590"/>
      <c r="F609" s="1590"/>
      <c r="G609" s="1590"/>
      <c r="H609" s="1590"/>
      <c r="I609" s="1591"/>
      <c r="J609" s="943" t="s">
        <v>158</v>
      </c>
      <c r="K609" s="998">
        <v>0.35</v>
      </c>
      <c r="L609" s="993">
        <v>17.13</v>
      </c>
      <c r="M609" s="259">
        <f t="shared" si="50"/>
        <v>6</v>
      </c>
    </row>
    <row r="610" spans="1:13" ht="21" customHeight="1" x14ac:dyDescent="0.2">
      <c r="A610" s="1584" t="str">
        <f>COTAÇÃO!A31</f>
        <v>COTAÇÃO 03</v>
      </c>
      <c r="B610" s="1585"/>
      <c r="C610" s="1589" t="str">
        <f>COTAÇÃO!A30</f>
        <v>BALANÇO COM ESCORREGA</v>
      </c>
      <c r="D610" s="1590"/>
      <c r="E610" s="1590"/>
      <c r="F610" s="1590"/>
      <c r="G610" s="1590"/>
      <c r="H610" s="1590"/>
      <c r="I610" s="1591"/>
      <c r="J610" s="943" t="s">
        <v>219</v>
      </c>
      <c r="K610" s="999">
        <v>1</v>
      </c>
      <c r="L610" s="993">
        <f>COTAÇÃO!E33</f>
        <v>3120</v>
      </c>
      <c r="M610" s="259">
        <f t="shared" si="50"/>
        <v>3120</v>
      </c>
    </row>
    <row r="611" spans="1:13" ht="15" x14ac:dyDescent="0.25">
      <c r="A611" s="941"/>
      <c r="B611" s="1204"/>
      <c r="C611" s="1576" t="s">
        <v>53</v>
      </c>
      <c r="D611" s="1577"/>
      <c r="E611" s="1577"/>
      <c r="F611" s="1577"/>
      <c r="G611" s="1577"/>
      <c r="H611" s="1577"/>
      <c r="I611" s="1577"/>
      <c r="J611" s="1578"/>
      <c r="K611" s="1253"/>
      <c r="L611" s="942"/>
      <c r="M611" s="944">
        <f>ROUND(SUM(M605:M610),2)</f>
        <v>3187.19</v>
      </c>
    </row>
    <row r="613" spans="1:13" s="933" customFormat="1" ht="17.25" customHeight="1" x14ac:dyDescent="0.2">
      <c r="A613" s="988" t="s">
        <v>343</v>
      </c>
      <c r="B613" s="1242" t="s">
        <v>588</v>
      </c>
      <c r="C613" s="1000"/>
      <c r="D613" s="1001"/>
      <c r="E613" s="1001"/>
      <c r="F613" s="1001"/>
      <c r="G613" s="1001" t="s">
        <v>344</v>
      </c>
      <c r="H613" s="1001"/>
      <c r="I613" s="1001"/>
      <c r="J613" s="1001"/>
      <c r="K613" s="1001"/>
      <c r="L613" s="1001"/>
      <c r="M613" s="1002"/>
    </row>
    <row r="614" spans="1:13" ht="33.75" customHeight="1" x14ac:dyDescent="0.2">
      <c r="A614" s="989" t="str">
        <f>ORÇ!A472</f>
        <v>17.3.1.4</v>
      </c>
      <c r="B614" s="923" t="s">
        <v>218</v>
      </c>
      <c r="C614" s="1593" t="s">
        <v>1710</v>
      </c>
      <c r="D614" s="1594"/>
      <c r="E614" s="1594"/>
      <c r="F614" s="1594"/>
      <c r="G614" s="1594"/>
      <c r="H614" s="1594"/>
      <c r="I614" s="1594"/>
      <c r="J614" s="1594"/>
      <c r="K614" s="1594"/>
      <c r="L614" s="1594"/>
      <c r="M614" s="1595"/>
    </row>
    <row r="615" spans="1:13" ht="19.5" customHeight="1" x14ac:dyDescent="0.25">
      <c r="A615" s="1203"/>
      <c r="B615" s="949"/>
      <c r="C615" s="949"/>
      <c r="D615" s="949"/>
      <c r="E615" s="949"/>
      <c r="F615" s="949"/>
      <c r="G615" s="1001" t="s">
        <v>2405</v>
      </c>
      <c r="H615" s="949"/>
      <c r="I615" s="949"/>
      <c r="J615" s="949"/>
      <c r="K615" s="949"/>
      <c r="L615" s="950"/>
      <c r="M615" s="924"/>
    </row>
    <row r="616" spans="1:13" s="933" customFormat="1" ht="16.5" customHeight="1" x14ac:dyDescent="0.2">
      <c r="A616" s="925" t="s">
        <v>184</v>
      </c>
      <c r="B616" s="926" t="s">
        <v>48</v>
      </c>
      <c r="C616" s="936"/>
      <c r="D616" s="937"/>
      <c r="E616" s="937"/>
      <c r="F616" s="937" t="s">
        <v>49</v>
      </c>
      <c r="G616" s="937"/>
      <c r="H616" s="937"/>
      <c r="I616" s="938"/>
      <c r="J616" s="939" t="s">
        <v>50</v>
      </c>
      <c r="K616" s="939" t="s">
        <v>18</v>
      </c>
      <c r="L616" s="940" t="s">
        <v>51</v>
      </c>
      <c r="M616" s="990" t="s">
        <v>47</v>
      </c>
    </row>
    <row r="617" spans="1:13" ht="36" customHeight="1" x14ac:dyDescent="0.2">
      <c r="A617" s="923" t="s">
        <v>319</v>
      </c>
      <c r="B617" s="994" t="s">
        <v>1706</v>
      </c>
      <c r="C617" s="1589" t="s">
        <v>1707</v>
      </c>
      <c r="D617" s="1590"/>
      <c r="E617" s="1590"/>
      <c r="F617" s="1590"/>
      <c r="G617" s="1590"/>
      <c r="H617" s="1590"/>
      <c r="I617" s="1591"/>
      <c r="J617" s="1256" t="s">
        <v>728</v>
      </c>
      <c r="K617" s="959">
        <v>1</v>
      </c>
      <c r="L617" s="993">
        <v>18.3</v>
      </c>
      <c r="M617" s="259">
        <f>ROUND(K617*L617,2)</f>
        <v>18.3</v>
      </c>
    </row>
    <row r="618" spans="1:13" ht="18" customHeight="1" x14ac:dyDescent="0.2">
      <c r="A618" s="923" t="s">
        <v>319</v>
      </c>
      <c r="B618" s="994" t="s">
        <v>1708</v>
      </c>
      <c r="C618" s="1589" t="s">
        <v>1709</v>
      </c>
      <c r="D618" s="1590"/>
      <c r="E618" s="1590"/>
      <c r="F618" s="1590"/>
      <c r="G618" s="1590"/>
      <c r="H618" s="1590"/>
      <c r="I618" s="1591"/>
      <c r="J618" s="943" t="s">
        <v>205</v>
      </c>
      <c r="K618" s="959">
        <v>0.15</v>
      </c>
      <c r="L618" s="993">
        <v>21.57</v>
      </c>
      <c r="M618" s="259">
        <f t="shared" ref="M618:M619" si="51">ROUND(K618*L618,2)</f>
        <v>3.24</v>
      </c>
    </row>
    <row r="619" spans="1:13" ht="18" customHeight="1" x14ac:dyDescent="0.2">
      <c r="A619" s="923" t="s">
        <v>183</v>
      </c>
      <c r="B619" s="996" t="s">
        <v>324</v>
      </c>
      <c r="C619" s="1589" t="s">
        <v>318</v>
      </c>
      <c r="D619" s="1590"/>
      <c r="E619" s="1590"/>
      <c r="F619" s="1590"/>
      <c r="G619" s="1590"/>
      <c r="H619" s="1590"/>
      <c r="I619" s="1591"/>
      <c r="J619" s="943" t="s">
        <v>158</v>
      </c>
      <c r="K619" s="959">
        <v>0.3</v>
      </c>
      <c r="L619" s="993">
        <v>17.09</v>
      </c>
      <c r="M619" s="259">
        <f t="shared" si="51"/>
        <v>5.13</v>
      </c>
    </row>
    <row r="620" spans="1:13" ht="15" x14ac:dyDescent="0.25">
      <c r="A620" s="941"/>
      <c r="B620" s="1204"/>
      <c r="C620" s="1576" t="s">
        <v>53</v>
      </c>
      <c r="D620" s="1577"/>
      <c r="E620" s="1577"/>
      <c r="F620" s="1577"/>
      <c r="G620" s="1577"/>
      <c r="H620" s="1577"/>
      <c r="I620" s="1577"/>
      <c r="J620" s="1578"/>
      <c r="K620" s="1253"/>
      <c r="L620" s="942"/>
      <c r="M620" s="944">
        <f>ROUND(SUM(M616:M619),2)</f>
        <v>26.67</v>
      </c>
    </row>
    <row r="622" spans="1:13" s="933" customFormat="1" ht="17.25" customHeight="1" x14ac:dyDescent="0.2">
      <c r="A622" s="988" t="s">
        <v>343</v>
      </c>
      <c r="B622" s="1242" t="s">
        <v>588</v>
      </c>
      <c r="C622" s="1000"/>
      <c r="D622" s="1001"/>
      <c r="E622" s="1001"/>
      <c r="F622" s="1001"/>
      <c r="G622" s="1001" t="s">
        <v>344</v>
      </c>
      <c r="H622" s="1001"/>
      <c r="I622" s="1001"/>
      <c r="J622" s="1001"/>
      <c r="K622" s="1001"/>
      <c r="L622" s="1001"/>
      <c r="M622" s="1002"/>
    </row>
    <row r="623" spans="1:13" ht="33.75" customHeight="1" x14ac:dyDescent="0.2">
      <c r="A623" s="989" t="str">
        <f>ORÇ!A477</f>
        <v>17.3.2.4</v>
      </c>
      <c r="B623" s="923" t="s">
        <v>201</v>
      </c>
      <c r="C623" s="1593" t="s">
        <v>1422</v>
      </c>
      <c r="D623" s="1594"/>
      <c r="E623" s="1594"/>
      <c r="F623" s="1594"/>
      <c r="G623" s="1594"/>
      <c r="H623" s="1594"/>
      <c r="I623" s="1594"/>
      <c r="J623" s="1594"/>
      <c r="K623" s="1594"/>
      <c r="L623" s="1594"/>
      <c r="M623" s="1595"/>
    </row>
    <row r="624" spans="1:13" ht="19.5" customHeight="1" x14ac:dyDescent="0.25">
      <c r="A624" s="1203"/>
      <c r="B624" s="949"/>
      <c r="C624" s="949"/>
      <c r="D624" s="949"/>
      <c r="E624" s="949"/>
      <c r="F624" s="949"/>
      <c r="G624" s="1001" t="s">
        <v>2406</v>
      </c>
      <c r="H624" s="949"/>
      <c r="I624" s="949"/>
      <c r="J624" s="949"/>
      <c r="K624" s="949"/>
      <c r="L624" s="950"/>
      <c r="M624" s="924"/>
    </row>
    <row r="625" spans="1:13" s="933" customFormat="1" ht="16.5" customHeight="1" x14ac:dyDescent="0.2">
      <c r="A625" s="925" t="s">
        <v>184</v>
      </c>
      <c r="B625" s="926" t="s">
        <v>48</v>
      </c>
      <c r="C625" s="936"/>
      <c r="D625" s="937"/>
      <c r="E625" s="937"/>
      <c r="F625" s="937" t="s">
        <v>49</v>
      </c>
      <c r="G625" s="937"/>
      <c r="H625" s="937"/>
      <c r="I625" s="938"/>
      <c r="J625" s="939" t="s">
        <v>50</v>
      </c>
      <c r="K625" s="939" t="s">
        <v>18</v>
      </c>
      <c r="L625" s="940" t="s">
        <v>51</v>
      </c>
      <c r="M625" s="990" t="s">
        <v>47</v>
      </c>
    </row>
    <row r="626" spans="1:13" ht="36" customHeight="1" x14ac:dyDescent="0.2">
      <c r="A626" s="923" t="s">
        <v>319</v>
      </c>
      <c r="B626" s="994" t="s">
        <v>1420</v>
      </c>
      <c r="C626" s="1589" t="s">
        <v>1421</v>
      </c>
      <c r="D626" s="1590"/>
      <c r="E626" s="1590"/>
      <c r="F626" s="1590"/>
      <c r="G626" s="1590"/>
      <c r="H626" s="1590"/>
      <c r="I626" s="1591"/>
      <c r="J626" s="1256" t="s">
        <v>728</v>
      </c>
      <c r="K626" s="959">
        <v>0.15</v>
      </c>
      <c r="L626" s="993">
        <v>21.85</v>
      </c>
      <c r="M626" s="259">
        <f>ROUND(K626*L626,2)</f>
        <v>3.28</v>
      </c>
    </row>
    <row r="627" spans="1:13" ht="19.5" customHeight="1" x14ac:dyDescent="0.2">
      <c r="A627" s="923" t="s">
        <v>319</v>
      </c>
      <c r="B627" s="994" t="s">
        <v>1416</v>
      </c>
      <c r="C627" s="1589" t="s">
        <v>1417</v>
      </c>
      <c r="D627" s="1590"/>
      <c r="E627" s="1590"/>
      <c r="F627" s="1590"/>
      <c r="G627" s="1590"/>
      <c r="H627" s="1590"/>
      <c r="I627" s="1591"/>
      <c r="J627" s="943" t="s">
        <v>205</v>
      </c>
      <c r="K627" s="998">
        <v>0.57499999999999996</v>
      </c>
      <c r="L627" s="993">
        <v>28.89</v>
      </c>
      <c r="M627" s="259">
        <f t="shared" ref="M627:M629" si="52">ROUND(K627*L627,2)</f>
        <v>16.61</v>
      </c>
    </row>
    <row r="628" spans="1:13" ht="19.5" customHeight="1" x14ac:dyDescent="0.2">
      <c r="A628" s="923" t="s">
        <v>183</v>
      </c>
      <c r="B628" s="996" t="s">
        <v>324</v>
      </c>
      <c r="C628" s="1589" t="s">
        <v>318</v>
      </c>
      <c r="D628" s="1590"/>
      <c r="E628" s="1590"/>
      <c r="F628" s="1590"/>
      <c r="G628" s="1590"/>
      <c r="H628" s="1590"/>
      <c r="I628" s="1591"/>
      <c r="J628" s="943" t="s">
        <v>158</v>
      </c>
      <c r="K628" s="998">
        <v>0.23899999999999999</v>
      </c>
      <c r="L628" s="993">
        <v>17.09</v>
      </c>
      <c r="M628" s="259">
        <f t="shared" si="52"/>
        <v>4.08</v>
      </c>
    </row>
    <row r="629" spans="1:13" ht="33.75" customHeight="1" x14ac:dyDescent="0.2">
      <c r="A629" s="923" t="s">
        <v>183</v>
      </c>
      <c r="B629" s="994" t="s">
        <v>1418</v>
      </c>
      <c r="C629" s="1589" t="s">
        <v>1419</v>
      </c>
      <c r="D629" s="1590"/>
      <c r="E629" s="1590"/>
      <c r="F629" s="1590"/>
      <c r="G629" s="1590"/>
      <c r="H629" s="1590"/>
      <c r="I629" s="1591"/>
      <c r="J629" s="943" t="s">
        <v>158</v>
      </c>
      <c r="K629" s="998">
        <v>0.57599999999999996</v>
      </c>
      <c r="L629" s="993">
        <v>21.07</v>
      </c>
      <c r="M629" s="259">
        <f t="shared" si="52"/>
        <v>12.14</v>
      </c>
    </row>
    <row r="630" spans="1:13" ht="15" x14ac:dyDescent="0.25">
      <c r="A630" s="941"/>
      <c r="B630" s="1204"/>
      <c r="C630" s="1576" t="s">
        <v>53</v>
      </c>
      <c r="D630" s="1577"/>
      <c r="E630" s="1577"/>
      <c r="F630" s="1577"/>
      <c r="G630" s="1577"/>
      <c r="H630" s="1577"/>
      <c r="I630" s="1577"/>
      <c r="J630" s="1578"/>
      <c r="K630" s="1253"/>
      <c r="L630" s="942"/>
      <c r="M630" s="944">
        <f>ROUND(SUM(M625:M629),2)</f>
        <v>36.11</v>
      </c>
    </row>
    <row r="632" spans="1:13" s="933" customFormat="1" ht="17.25" customHeight="1" x14ac:dyDescent="0.2">
      <c r="A632" s="988" t="s">
        <v>343</v>
      </c>
      <c r="B632" s="1242" t="s">
        <v>588</v>
      </c>
      <c r="C632" s="1000"/>
      <c r="D632" s="1001"/>
      <c r="E632" s="1001"/>
      <c r="F632" s="1001"/>
      <c r="G632" s="1001" t="s">
        <v>344</v>
      </c>
      <c r="H632" s="1001"/>
      <c r="I632" s="1001"/>
      <c r="J632" s="1001"/>
      <c r="K632" s="1001"/>
      <c r="L632" s="1001"/>
      <c r="M632" s="1002"/>
    </row>
    <row r="633" spans="1:13" ht="33.75" customHeight="1" x14ac:dyDescent="0.2">
      <c r="A633" s="989" t="str">
        <f>ORÇ!A480</f>
        <v>17.3.3.1</v>
      </c>
      <c r="B633" s="943" t="s">
        <v>335</v>
      </c>
      <c r="C633" s="1593" t="s">
        <v>1718</v>
      </c>
      <c r="D633" s="1594"/>
      <c r="E633" s="1594"/>
      <c r="F633" s="1594"/>
      <c r="G633" s="1594"/>
      <c r="H633" s="1594"/>
      <c r="I633" s="1594"/>
      <c r="J633" s="1594"/>
      <c r="K633" s="1594"/>
      <c r="L633" s="1594"/>
      <c r="M633" s="1595"/>
    </row>
    <row r="634" spans="1:13" ht="22.5" customHeight="1" x14ac:dyDescent="0.25">
      <c r="A634" s="1203"/>
      <c r="B634" s="949"/>
      <c r="C634" s="949"/>
      <c r="D634" s="949"/>
      <c r="E634" s="949"/>
      <c r="F634" s="949"/>
      <c r="G634" s="1001" t="s">
        <v>2407</v>
      </c>
      <c r="H634" s="949"/>
      <c r="I634" s="949"/>
      <c r="J634" s="949"/>
      <c r="K634" s="949"/>
      <c r="L634" s="950"/>
      <c r="M634" s="924"/>
    </row>
    <row r="635" spans="1:13" s="933" customFormat="1" ht="16.5" customHeight="1" x14ac:dyDescent="0.2">
      <c r="A635" s="925" t="s">
        <v>184</v>
      </c>
      <c r="B635" s="926" t="s">
        <v>48</v>
      </c>
      <c r="C635" s="936"/>
      <c r="D635" s="937"/>
      <c r="E635" s="937"/>
      <c r="F635" s="937" t="s">
        <v>49</v>
      </c>
      <c r="G635" s="937"/>
      <c r="H635" s="937"/>
      <c r="I635" s="938"/>
      <c r="J635" s="939" t="s">
        <v>50</v>
      </c>
      <c r="K635" s="939" t="s">
        <v>18</v>
      </c>
      <c r="L635" s="940" t="s">
        <v>51</v>
      </c>
      <c r="M635" s="990" t="s">
        <v>47</v>
      </c>
    </row>
    <row r="636" spans="1:13" ht="33" customHeight="1" x14ac:dyDescent="0.2">
      <c r="A636" s="923" t="s">
        <v>319</v>
      </c>
      <c r="B636" s="994" t="s">
        <v>1428</v>
      </c>
      <c r="C636" s="1589" t="s">
        <v>1429</v>
      </c>
      <c r="D636" s="1590"/>
      <c r="E636" s="1590"/>
      <c r="F636" s="1590"/>
      <c r="G636" s="1590"/>
      <c r="H636" s="1590"/>
      <c r="I636" s="1591"/>
      <c r="J636" s="1256" t="s">
        <v>728</v>
      </c>
      <c r="K636" s="959">
        <v>1</v>
      </c>
      <c r="L636" s="993">
        <v>2.72</v>
      </c>
      <c r="M636" s="259">
        <f>ROUND(K636*L636,2)</f>
        <v>2.72</v>
      </c>
    </row>
    <row r="637" spans="1:13" ht="21.75" customHeight="1" x14ac:dyDescent="0.2">
      <c r="A637" s="923" t="s">
        <v>319</v>
      </c>
      <c r="B637" s="994" t="s">
        <v>1430</v>
      </c>
      <c r="C637" s="1589" t="s">
        <v>1431</v>
      </c>
      <c r="D637" s="1590"/>
      <c r="E637" s="1590"/>
      <c r="F637" s="1590"/>
      <c r="G637" s="1590"/>
      <c r="H637" s="1590"/>
      <c r="I637" s="1591"/>
      <c r="J637" s="943" t="s">
        <v>205</v>
      </c>
      <c r="K637" s="998">
        <v>0.155</v>
      </c>
      <c r="L637" s="993">
        <v>21.33</v>
      </c>
      <c r="M637" s="259">
        <f t="shared" ref="M637:M640" si="53">ROUND(K637*L637,2)</f>
        <v>3.31</v>
      </c>
    </row>
    <row r="638" spans="1:13" ht="51" customHeight="1" x14ac:dyDescent="0.2">
      <c r="A638" s="923" t="s">
        <v>319</v>
      </c>
      <c r="B638" s="996" t="s">
        <v>1432</v>
      </c>
      <c r="C638" s="1589" t="s">
        <v>1433</v>
      </c>
      <c r="D638" s="1590"/>
      <c r="E638" s="1590"/>
      <c r="F638" s="1590"/>
      <c r="G638" s="1590"/>
      <c r="H638" s="1590"/>
      <c r="I638" s="1591"/>
      <c r="J638" s="943" t="s">
        <v>335</v>
      </c>
      <c r="K638" s="959">
        <v>2</v>
      </c>
      <c r="L638" s="993">
        <v>0.75</v>
      </c>
      <c r="M638" s="259">
        <f t="shared" si="53"/>
        <v>1.5</v>
      </c>
    </row>
    <row r="639" spans="1:13" ht="21.75" customHeight="1" x14ac:dyDescent="0.2">
      <c r="A639" s="923" t="s">
        <v>183</v>
      </c>
      <c r="B639" s="996" t="s">
        <v>785</v>
      </c>
      <c r="C639" s="1607" t="s">
        <v>786</v>
      </c>
      <c r="D639" s="1608"/>
      <c r="E639" s="1608"/>
      <c r="F639" s="1608"/>
      <c r="G639" s="1608"/>
      <c r="H639" s="1608"/>
      <c r="I639" s="1609"/>
      <c r="J639" s="943" t="s">
        <v>158</v>
      </c>
      <c r="K639" s="959">
        <v>0.3</v>
      </c>
      <c r="L639" s="993">
        <v>17.13</v>
      </c>
      <c r="M639" s="259">
        <f t="shared" si="53"/>
        <v>5.14</v>
      </c>
    </row>
    <row r="640" spans="1:13" ht="21.75" customHeight="1" x14ac:dyDescent="0.2">
      <c r="A640" s="923" t="s">
        <v>182</v>
      </c>
      <c r="B640" s="994" t="s">
        <v>1386</v>
      </c>
      <c r="C640" s="1589" t="s">
        <v>577</v>
      </c>
      <c r="D640" s="1590"/>
      <c r="E640" s="1590"/>
      <c r="F640" s="1590"/>
      <c r="G640" s="1590"/>
      <c r="H640" s="1590"/>
      <c r="I640" s="1591"/>
      <c r="J640" s="943" t="s">
        <v>158</v>
      </c>
      <c r="K640" s="959">
        <v>0.3</v>
      </c>
      <c r="L640" s="993">
        <v>21.29</v>
      </c>
      <c r="M640" s="259">
        <f t="shared" si="53"/>
        <v>6.39</v>
      </c>
    </row>
    <row r="641" spans="1:13" ht="15" x14ac:dyDescent="0.25">
      <c r="A641" s="941"/>
      <c r="B641" s="1204"/>
      <c r="C641" s="1576" t="s">
        <v>53</v>
      </c>
      <c r="D641" s="1577"/>
      <c r="E641" s="1577"/>
      <c r="F641" s="1577"/>
      <c r="G641" s="1577"/>
      <c r="H641" s="1577"/>
      <c r="I641" s="1577"/>
      <c r="J641" s="1578"/>
      <c r="K641" s="1253"/>
      <c r="L641" s="942"/>
      <c r="M641" s="944">
        <f>ROUND(SUM(M635:M640),2)</f>
        <v>19.059999999999999</v>
      </c>
    </row>
    <row r="643" spans="1:13" ht="22.5" customHeight="1" x14ac:dyDescent="0.2">
      <c r="A643" s="1592" t="str">
        <f>CONCATENATE("INFORMAÇÕES REFERENTE A COMPOSIÇÃO ",G667)</f>
        <v>INFORMAÇÕES REFERENTE A COMPOSIÇÃO COMPOSIÇÃO 53</v>
      </c>
      <c r="B643" s="1592"/>
      <c r="C643" s="1592"/>
      <c r="D643" s="1592"/>
      <c r="E643" s="1592"/>
      <c r="F643" s="1592"/>
      <c r="G643" s="1592"/>
      <c r="H643" s="1592"/>
      <c r="I643" s="1592"/>
      <c r="J643" s="1592"/>
      <c r="K643" s="1592"/>
      <c r="L643" s="1592"/>
      <c r="M643" s="1592"/>
    </row>
    <row r="648" spans="1:13" ht="14.25" customHeight="1" x14ac:dyDescent="0.2">
      <c r="J648" s="1588" t="s">
        <v>1972</v>
      </c>
      <c r="K648" s="1588"/>
      <c r="L648" s="1588"/>
      <c r="M648" s="1588"/>
    </row>
    <row r="649" spans="1:13" x14ac:dyDescent="0.2">
      <c r="J649" s="1588"/>
      <c r="K649" s="1588"/>
      <c r="L649" s="1588"/>
      <c r="M649" s="1588"/>
    </row>
    <row r="650" spans="1:13" x14ac:dyDescent="0.2">
      <c r="J650" s="1588"/>
      <c r="K650" s="1588"/>
      <c r="L650" s="1588"/>
      <c r="M650" s="1588"/>
    </row>
    <row r="651" spans="1:13" x14ac:dyDescent="0.2">
      <c r="C651" s="21"/>
      <c r="J651" s="1588"/>
      <c r="K651" s="1588"/>
      <c r="L651" s="1588"/>
      <c r="M651" s="1588"/>
    </row>
    <row r="652" spans="1:13" x14ac:dyDescent="0.2">
      <c r="J652" s="1588"/>
      <c r="K652" s="1588"/>
      <c r="L652" s="1588"/>
      <c r="M652" s="1588"/>
    </row>
    <row r="653" spans="1:13" x14ac:dyDescent="0.2">
      <c r="J653" s="1588"/>
      <c r="K653" s="1588"/>
      <c r="L653" s="1588"/>
      <c r="M653" s="1588"/>
    </row>
    <row r="654" spans="1:13" x14ac:dyDescent="0.2">
      <c r="J654" s="1588"/>
      <c r="K654" s="1588"/>
      <c r="L654" s="1588"/>
      <c r="M654" s="1588"/>
    </row>
    <row r="655" spans="1:13" x14ac:dyDescent="0.2">
      <c r="J655" s="1588"/>
      <c r="K655" s="1588"/>
      <c r="L655" s="1588"/>
      <c r="M655" s="1588"/>
    </row>
    <row r="656" spans="1:13" x14ac:dyDescent="0.2">
      <c r="J656" s="1588"/>
      <c r="K656" s="1588"/>
      <c r="L656" s="1588"/>
      <c r="M656" s="1588"/>
    </row>
    <row r="657" spans="1:13" x14ac:dyDescent="0.2">
      <c r="J657" s="1588"/>
      <c r="K657" s="1588"/>
      <c r="L657" s="1588"/>
      <c r="M657" s="1588"/>
    </row>
    <row r="665" spans="1:13" s="933" customFormat="1" ht="17.25" customHeight="1" x14ac:dyDescent="0.2">
      <c r="A665" s="988" t="s">
        <v>343</v>
      </c>
      <c r="B665" s="1242" t="s">
        <v>588</v>
      </c>
      <c r="C665" s="1000"/>
      <c r="D665" s="1001"/>
      <c r="E665" s="1001"/>
      <c r="F665" s="1001"/>
      <c r="G665" s="1001" t="s">
        <v>344</v>
      </c>
      <c r="H665" s="1001"/>
      <c r="I665" s="1001"/>
      <c r="J665" s="1001"/>
      <c r="K665" s="1001"/>
      <c r="L665" s="1001"/>
      <c r="M665" s="1002"/>
    </row>
    <row r="666" spans="1:13" ht="33.75" customHeight="1" x14ac:dyDescent="0.2">
      <c r="A666" s="989" t="str">
        <f>ORÇ!A512</f>
        <v>18.1.4.2</v>
      </c>
      <c r="B666" s="1256" t="s">
        <v>219</v>
      </c>
      <c r="C666" s="1593" t="s">
        <v>1977</v>
      </c>
      <c r="D666" s="1594"/>
      <c r="E666" s="1594"/>
      <c r="F666" s="1594"/>
      <c r="G666" s="1594"/>
      <c r="H666" s="1594"/>
      <c r="I666" s="1594"/>
      <c r="J666" s="1594"/>
      <c r="K666" s="1594"/>
      <c r="L666" s="1594"/>
      <c r="M666" s="1595"/>
    </row>
    <row r="667" spans="1:13" ht="22.5" customHeight="1" x14ac:dyDescent="0.25">
      <c r="A667" s="1203"/>
      <c r="B667" s="949"/>
      <c r="C667" s="949"/>
      <c r="D667" s="949"/>
      <c r="E667" s="949"/>
      <c r="F667" s="949"/>
      <c r="G667" s="1001" t="s">
        <v>2592</v>
      </c>
      <c r="H667" s="949"/>
      <c r="I667" s="949"/>
      <c r="J667" s="949"/>
      <c r="K667" s="949"/>
      <c r="L667" s="950"/>
      <c r="M667" s="924"/>
    </row>
    <row r="668" spans="1:13" s="933" customFormat="1" ht="16.5" customHeight="1" x14ac:dyDescent="0.2">
      <c r="A668" s="925" t="s">
        <v>184</v>
      </c>
      <c r="B668" s="926" t="s">
        <v>48</v>
      </c>
      <c r="C668" s="936"/>
      <c r="D668" s="937"/>
      <c r="E668" s="937"/>
      <c r="F668" s="937" t="s">
        <v>49</v>
      </c>
      <c r="G668" s="937"/>
      <c r="H668" s="937"/>
      <c r="I668" s="938"/>
      <c r="J668" s="939" t="s">
        <v>50</v>
      </c>
      <c r="K668" s="939" t="s">
        <v>18</v>
      </c>
      <c r="L668" s="940" t="s">
        <v>51</v>
      </c>
      <c r="M668" s="990" t="s">
        <v>47</v>
      </c>
    </row>
    <row r="669" spans="1:13" ht="18.75" customHeight="1" x14ac:dyDescent="0.2">
      <c r="A669" s="1586" t="str">
        <f>COTAÇÃO!A52</f>
        <v>COTAÇÃO 06</v>
      </c>
      <c r="B669" s="1587"/>
      <c r="C669" s="1589" t="str">
        <f>COTAÇÃO!A51</f>
        <v>ESCADA PARA PISCINA 5 DEGRAUS EM AÇO INOX COMPLETA</v>
      </c>
      <c r="D669" s="1590"/>
      <c r="E669" s="1590"/>
      <c r="F669" s="1590"/>
      <c r="G669" s="1590"/>
      <c r="H669" s="1590"/>
      <c r="I669" s="1591"/>
      <c r="J669" s="1256" t="s">
        <v>219</v>
      </c>
      <c r="K669" s="959">
        <v>1</v>
      </c>
      <c r="L669" s="993">
        <f>COTAÇÃO!E54</f>
        <v>940.24333333333334</v>
      </c>
      <c r="M669" s="259">
        <f>ROUND(K669*L669,2)</f>
        <v>940.24</v>
      </c>
    </row>
    <row r="670" spans="1:13" ht="31.5" customHeight="1" x14ac:dyDescent="0.2">
      <c r="A670" s="923" t="s">
        <v>183</v>
      </c>
      <c r="B670" s="994" t="s">
        <v>1975</v>
      </c>
      <c r="C670" s="1589" t="s">
        <v>1976</v>
      </c>
      <c r="D670" s="1590"/>
      <c r="E670" s="1590"/>
      <c r="F670" s="1590"/>
      <c r="G670" s="1590"/>
      <c r="H670" s="1590"/>
      <c r="I670" s="1591"/>
      <c r="J670" s="1256" t="s">
        <v>219</v>
      </c>
      <c r="K670" s="998">
        <v>2</v>
      </c>
      <c r="L670" s="993">
        <v>80.790000000000006</v>
      </c>
      <c r="M670" s="259">
        <f t="shared" ref="M670:M673" si="54">ROUND(K670*L670,2)</f>
        <v>161.58000000000001</v>
      </c>
    </row>
    <row r="671" spans="1:13" ht="42.75" customHeight="1" x14ac:dyDescent="0.2">
      <c r="A671" s="923" t="s">
        <v>183</v>
      </c>
      <c r="B671" s="996" t="s">
        <v>1973</v>
      </c>
      <c r="C671" s="1589" t="s">
        <v>1974</v>
      </c>
      <c r="D671" s="1590"/>
      <c r="E671" s="1590"/>
      <c r="F671" s="1590"/>
      <c r="G671" s="1590"/>
      <c r="H671" s="1590"/>
      <c r="I671" s="1591"/>
      <c r="J671" s="943" t="s">
        <v>739</v>
      </c>
      <c r="K671" s="999">
        <f>ROUND(2*(0.11*0.06*0.06),4)</f>
        <v>8.0000000000000004E-4</v>
      </c>
      <c r="L671" s="993">
        <v>585.48</v>
      </c>
      <c r="M671" s="259">
        <f t="shared" si="54"/>
        <v>0.47</v>
      </c>
    </row>
    <row r="672" spans="1:13" ht="17.25" customHeight="1" x14ac:dyDescent="0.2">
      <c r="A672" s="923" t="s">
        <v>183</v>
      </c>
      <c r="B672" s="996" t="s">
        <v>785</v>
      </c>
      <c r="C672" s="1589" t="s">
        <v>786</v>
      </c>
      <c r="D672" s="1590"/>
      <c r="E672" s="1590"/>
      <c r="F672" s="1590"/>
      <c r="G672" s="1590"/>
      <c r="H672" s="1590"/>
      <c r="I672" s="1591"/>
      <c r="J672" s="943" t="s">
        <v>158</v>
      </c>
      <c r="K672" s="959">
        <v>0.12</v>
      </c>
      <c r="L672" s="993">
        <v>17.13</v>
      </c>
      <c r="M672" s="259">
        <f t="shared" si="54"/>
        <v>2.06</v>
      </c>
    </row>
    <row r="673" spans="1:13" ht="17.25" customHeight="1" x14ac:dyDescent="0.2">
      <c r="A673" s="923" t="s">
        <v>183</v>
      </c>
      <c r="B673" s="994" t="s">
        <v>576</v>
      </c>
      <c r="C673" s="1589" t="s">
        <v>577</v>
      </c>
      <c r="D673" s="1590"/>
      <c r="E673" s="1590"/>
      <c r="F673" s="1590"/>
      <c r="G673" s="1590"/>
      <c r="H673" s="1590"/>
      <c r="I673" s="1591"/>
      <c r="J673" s="943" t="s">
        <v>158</v>
      </c>
      <c r="K673" s="959">
        <v>0.12</v>
      </c>
      <c r="L673" s="993">
        <v>21.31</v>
      </c>
      <c r="M673" s="259">
        <f t="shared" si="54"/>
        <v>2.56</v>
      </c>
    </row>
    <row r="674" spans="1:13" ht="15" x14ac:dyDescent="0.25">
      <c r="A674" s="941"/>
      <c r="B674" s="1204"/>
      <c r="C674" s="1576" t="s">
        <v>53</v>
      </c>
      <c r="D674" s="1577"/>
      <c r="E674" s="1577"/>
      <c r="F674" s="1577"/>
      <c r="G674" s="1577"/>
      <c r="H674" s="1577"/>
      <c r="I674" s="1577"/>
      <c r="J674" s="1578"/>
      <c r="K674" s="1253"/>
      <c r="L674" s="942"/>
      <c r="M674" s="944">
        <f>ROUND(SUM(M668:M673),2)</f>
        <v>1106.9100000000001</v>
      </c>
    </row>
    <row r="676" spans="1:13" s="933" customFormat="1" ht="17.25" customHeight="1" x14ac:dyDescent="0.2">
      <c r="A676" s="988" t="s">
        <v>343</v>
      </c>
      <c r="B676" s="1242" t="s">
        <v>588</v>
      </c>
      <c r="C676" s="1000"/>
      <c r="D676" s="1001"/>
      <c r="E676" s="1001"/>
      <c r="F676" s="1001"/>
      <c r="G676" s="1001" t="s">
        <v>344</v>
      </c>
      <c r="H676" s="1001"/>
      <c r="I676" s="1001"/>
      <c r="J676" s="1001"/>
      <c r="K676" s="1001"/>
      <c r="L676" s="1001"/>
      <c r="M676" s="1002"/>
    </row>
    <row r="677" spans="1:13" ht="16.5" customHeight="1" x14ac:dyDescent="0.2">
      <c r="A677" s="989" t="str">
        <f>ORÇ!A563</f>
        <v>18.4.2</v>
      </c>
      <c r="B677" s="1256" t="s">
        <v>219</v>
      </c>
      <c r="C677" s="1593" t="s">
        <v>2059</v>
      </c>
      <c r="D677" s="1594"/>
      <c r="E677" s="1594"/>
      <c r="F677" s="1594"/>
      <c r="G677" s="1594"/>
      <c r="H677" s="1594"/>
      <c r="I677" s="1594"/>
      <c r="J677" s="1594"/>
      <c r="K677" s="1594"/>
      <c r="L677" s="1594"/>
      <c r="M677" s="1595"/>
    </row>
    <row r="678" spans="1:13" ht="21.75" customHeight="1" x14ac:dyDescent="0.25">
      <c r="A678" s="1203"/>
      <c r="B678" s="949"/>
      <c r="C678" s="949"/>
      <c r="D678" s="949"/>
      <c r="E678" s="949"/>
      <c r="F678" s="949"/>
      <c r="G678" s="1001" t="s">
        <v>2593</v>
      </c>
      <c r="H678" s="949"/>
      <c r="I678" s="949"/>
      <c r="J678" s="949"/>
      <c r="K678" s="949"/>
      <c r="L678" s="950"/>
      <c r="M678" s="924"/>
    </row>
    <row r="679" spans="1:13" s="933" customFormat="1" ht="16.5" customHeight="1" x14ac:dyDescent="0.2">
      <c r="A679" s="925" t="s">
        <v>184</v>
      </c>
      <c r="B679" s="926" t="s">
        <v>48</v>
      </c>
      <c r="C679" s="936"/>
      <c r="D679" s="937"/>
      <c r="E679" s="937"/>
      <c r="F679" s="937" t="s">
        <v>49</v>
      </c>
      <c r="G679" s="937"/>
      <c r="H679" s="937"/>
      <c r="I679" s="938"/>
      <c r="J679" s="939" t="s">
        <v>50</v>
      </c>
      <c r="K679" s="939" t="s">
        <v>18</v>
      </c>
      <c r="L679" s="940" t="s">
        <v>51</v>
      </c>
      <c r="M679" s="990" t="s">
        <v>47</v>
      </c>
    </row>
    <row r="680" spans="1:13" ht="18" customHeight="1" x14ac:dyDescent="0.2">
      <c r="A680" s="1586" t="str">
        <f>COTAÇÃO!A59</f>
        <v>COTAÇÃO 07</v>
      </c>
      <c r="B680" s="1587"/>
      <c r="C680" s="1589" t="str">
        <f>COTAÇÃO!A58</f>
        <v>FILTRO PARA PISCINA PARA 30.000 LITROS</v>
      </c>
      <c r="D680" s="1590"/>
      <c r="E680" s="1590"/>
      <c r="F680" s="1590"/>
      <c r="G680" s="1590"/>
      <c r="H680" s="1590"/>
      <c r="I680" s="1591"/>
      <c r="J680" s="1256" t="s">
        <v>219</v>
      </c>
      <c r="K680" s="959">
        <v>1</v>
      </c>
      <c r="L680" s="993">
        <f>COTAÇÃO!E61</f>
        <v>1152.6266666666666</v>
      </c>
      <c r="M680" s="259">
        <f>ROUND(K680*L680,2)</f>
        <v>1152.6300000000001</v>
      </c>
    </row>
    <row r="681" spans="1:13" ht="28.5" customHeight="1" x14ac:dyDescent="0.2">
      <c r="A681" s="923" t="s">
        <v>183</v>
      </c>
      <c r="B681" s="994" t="s">
        <v>367</v>
      </c>
      <c r="C681" s="1589" t="s">
        <v>295</v>
      </c>
      <c r="D681" s="1590"/>
      <c r="E681" s="1590"/>
      <c r="F681" s="1590"/>
      <c r="G681" s="1590"/>
      <c r="H681" s="1590"/>
      <c r="I681" s="1591"/>
      <c r="J681" s="943" t="s">
        <v>158</v>
      </c>
      <c r="K681" s="998">
        <v>0.2</v>
      </c>
      <c r="L681" s="993">
        <v>16.989999999999998</v>
      </c>
      <c r="M681" s="259">
        <f t="shared" ref="M681:M682" si="55">ROUND(K681*L681,2)</f>
        <v>3.4</v>
      </c>
    </row>
    <row r="682" spans="1:13" ht="28.5" customHeight="1" x14ac:dyDescent="0.2">
      <c r="A682" s="923" t="s">
        <v>183</v>
      </c>
      <c r="B682" s="996" t="s">
        <v>368</v>
      </c>
      <c r="C682" s="1589" t="s">
        <v>296</v>
      </c>
      <c r="D682" s="1590"/>
      <c r="E682" s="1590"/>
      <c r="F682" s="1590"/>
      <c r="G682" s="1590"/>
      <c r="H682" s="1590"/>
      <c r="I682" s="1591"/>
      <c r="J682" s="943" t="s">
        <v>158</v>
      </c>
      <c r="K682" s="999">
        <v>0.2</v>
      </c>
      <c r="L682" s="993">
        <v>20.7</v>
      </c>
      <c r="M682" s="259">
        <f t="shared" si="55"/>
        <v>4.1399999999999997</v>
      </c>
    </row>
    <row r="683" spans="1:13" ht="15" x14ac:dyDescent="0.25">
      <c r="A683" s="941"/>
      <c r="B683" s="1204"/>
      <c r="C683" s="1576" t="s">
        <v>53</v>
      </c>
      <c r="D683" s="1577"/>
      <c r="E683" s="1577"/>
      <c r="F683" s="1577"/>
      <c r="G683" s="1577"/>
      <c r="H683" s="1577"/>
      <c r="I683" s="1577"/>
      <c r="J683" s="1578"/>
      <c r="K683" s="1253"/>
      <c r="L683" s="942"/>
      <c r="M683" s="944">
        <f>ROUND(SUM(M679:M682),2)</f>
        <v>1160.17</v>
      </c>
    </row>
    <row r="685" spans="1:13" ht="20.25" customHeight="1" x14ac:dyDescent="0.2">
      <c r="A685" s="1600" t="str">
        <f>CONCATENATE("DETALHES REFERENTE A COMPOSIÇÃO ",G699)</f>
        <v>DETALHES REFERENTE A COMPOSIÇÃO COMPOSIÇÃO 55</v>
      </c>
      <c r="B685" s="1600"/>
      <c r="C685" s="1600"/>
      <c r="D685" s="1600"/>
      <c r="E685" s="1600"/>
      <c r="F685" s="1600"/>
      <c r="G685" s="1600"/>
      <c r="H685" s="1600"/>
      <c r="I685" s="1600"/>
      <c r="J685" s="1600"/>
      <c r="K685" s="1600"/>
      <c r="L685" s="1600"/>
      <c r="M685" s="1600"/>
    </row>
    <row r="697" spans="1:13" s="933" customFormat="1" ht="17.25" customHeight="1" x14ac:dyDescent="0.2">
      <c r="A697" s="988" t="s">
        <v>343</v>
      </c>
      <c r="B697" s="1242" t="s">
        <v>588</v>
      </c>
      <c r="C697" s="1000"/>
      <c r="D697" s="1001"/>
      <c r="E697" s="1001"/>
      <c r="F697" s="1001"/>
      <c r="G697" s="1001" t="s">
        <v>344</v>
      </c>
      <c r="H697" s="1001"/>
      <c r="I697" s="1001"/>
      <c r="J697" s="1001"/>
      <c r="K697" s="1001"/>
      <c r="L697" s="1001"/>
      <c r="M697" s="1002"/>
    </row>
    <row r="698" spans="1:13" ht="33.75" customHeight="1" x14ac:dyDescent="0.2">
      <c r="A698" s="989" t="str">
        <f>ORÇ!A564</f>
        <v>18.4.3</v>
      </c>
      <c r="B698" s="1256" t="s">
        <v>328</v>
      </c>
      <c r="C698" s="1593" t="s">
        <v>2079</v>
      </c>
      <c r="D698" s="1594"/>
      <c r="E698" s="1594"/>
      <c r="F698" s="1594"/>
      <c r="G698" s="1594"/>
      <c r="H698" s="1594"/>
      <c r="I698" s="1594"/>
      <c r="J698" s="1594"/>
      <c r="K698" s="1594"/>
      <c r="L698" s="1594"/>
      <c r="M698" s="1595"/>
    </row>
    <row r="699" spans="1:13" ht="22.5" customHeight="1" x14ac:dyDescent="0.25">
      <c r="A699" s="1203"/>
      <c r="B699" s="949"/>
      <c r="C699" s="949"/>
      <c r="D699" s="949"/>
      <c r="E699" s="949"/>
      <c r="F699" s="949"/>
      <c r="G699" s="1001" t="s">
        <v>2594</v>
      </c>
      <c r="H699" s="949"/>
      <c r="I699" s="949"/>
      <c r="J699" s="949"/>
      <c r="K699" s="949"/>
      <c r="L699" s="950"/>
      <c r="M699" s="924"/>
    </row>
    <row r="700" spans="1:13" s="933" customFormat="1" ht="16.5" customHeight="1" x14ac:dyDescent="0.2">
      <c r="A700" s="925" t="s">
        <v>184</v>
      </c>
      <c r="B700" s="926" t="s">
        <v>48</v>
      </c>
      <c r="C700" s="936"/>
      <c r="D700" s="937"/>
      <c r="E700" s="937"/>
      <c r="F700" s="937" t="s">
        <v>49</v>
      </c>
      <c r="G700" s="937"/>
      <c r="H700" s="937"/>
      <c r="I700" s="938"/>
      <c r="J700" s="939" t="s">
        <v>50</v>
      </c>
      <c r="K700" s="939" t="s">
        <v>18</v>
      </c>
      <c r="L700" s="940" t="s">
        <v>51</v>
      </c>
      <c r="M700" s="990" t="s">
        <v>47</v>
      </c>
    </row>
    <row r="701" spans="1:13" ht="29.25" customHeight="1" x14ac:dyDescent="0.2">
      <c r="A701" s="1213" t="s">
        <v>319</v>
      </c>
      <c r="B701" s="923" t="s">
        <v>2060</v>
      </c>
      <c r="C701" s="1589" t="s">
        <v>2061</v>
      </c>
      <c r="D701" s="1590"/>
      <c r="E701" s="1590"/>
      <c r="F701" s="1590"/>
      <c r="G701" s="1590"/>
      <c r="H701" s="1590"/>
      <c r="I701" s="1591"/>
      <c r="J701" s="1256" t="s">
        <v>205</v>
      </c>
      <c r="K701" s="959">
        <v>54.53</v>
      </c>
      <c r="L701" s="993">
        <v>11.45</v>
      </c>
      <c r="M701" s="259">
        <f>ROUND(K701*L701,2)</f>
        <v>624.37</v>
      </c>
    </row>
    <row r="702" spans="1:13" ht="29.25" customHeight="1" x14ac:dyDescent="0.2">
      <c r="A702" s="1213" t="s">
        <v>319</v>
      </c>
      <c r="B702" s="1252" t="s">
        <v>2077</v>
      </c>
      <c r="C702" s="1589" t="s">
        <v>2078</v>
      </c>
      <c r="D702" s="1590"/>
      <c r="E702" s="1590"/>
      <c r="F702" s="1590"/>
      <c r="G702" s="1590"/>
      <c r="H702" s="1590"/>
      <c r="I702" s="1591"/>
      <c r="J702" s="1256" t="s">
        <v>335</v>
      </c>
      <c r="K702" s="959">
        <v>2</v>
      </c>
      <c r="L702" s="993">
        <v>32.159999999999997</v>
      </c>
      <c r="M702" s="259">
        <f t="shared" ref="M702:M711" si="56">ROUND(K702*L702,2)</f>
        <v>64.319999999999993</v>
      </c>
    </row>
    <row r="703" spans="1:13" ht="20.25" customHeight="1" x14ac:dyDescent="0.2">
      <c r="A703" s="923" t="s">
        <v>182</v>
      </c>
      <c r="B703" s="994" t="s">
        <v>2062</v>
      </c>
      <c r="C703" s="1589" t="s">
        <v>2063</v>
      </c>
      <c r="D703" s="1590"/>
      <c r="E703" s="1590"/>
      <c r="F703" s="1590"/>
      <c r="G703" s="1590"/>
      <c r="H703" s="1590"/>
      <c r="I703" s="1591"/>
      <c r="J703" s="943" t="s">
        <v>739</v>
      </c>
      <c r="K703" s="959">
        <v>0.05</v>
      </c>
      <c r="L703" s="993">
        <v>431.94</v>
      </c>
      <c r="M703" s="259">
        <f t="shared" si="56"/>
        <v>21.6</v>
      </c>
    </row>
    <row r="704" spans="1:13" ht="29.25" customHeight="1" x14ac:dyDescent="0.2">
      <c r="A704" s="923" t="s">
        <v>319</v>
      </c>
      <c r="B704" s="996" t="s">
        <v>2064</v>
      </c>
      <c r="C704" s="1589" t="s">
        <v>2065</v>
      </c>
      <c r="D704" s="1590"/>
      <c r="E704" s="1590"/>
      <c r="F704" s="1590"/>
      <c r="G704" s="1590"/>
      <c r="H704" s="1590"/>
      <c r="I704" s="1591"/>
      <c r="J704" s="943" t="s">
        <v>205</v>
      </c>
      <c r="K704" s="999">
        <v>3.47</v>
      </c>
      <c r="L704" s="993">
        <v>13.75</v>
      </c>
      <c r="M704" s="259">
        <f t="shared" si="56"/>
        <v>47.71</v>
      </c>
    </row>
    <row r="705" spans="1:18" ht="20.25" customHeight="1" x14ac:dyDescent="0.2">
      <c r="A705" s="923" t="s">
        <v>319</v>
      </c>
      <c r="B705" s="994" t="s">
        <v>2066</v>
      </c>
      <c r="C705" s="1589" t="s">
        <v>2067</v>
      </c>
      <c r="D705" s="1590"/>
      <c r="E705" s="1590"/>
      <c r="F705" s="1590"/>
      <c r="G705" s="1590"/>
      <c r="H705" s="1590"/>
      <c r="I705" s="1591"/>
      <c r="J705" s="943" t="s">
        <v>2068</v>
      </c>
      <c r="K705" s="998">
        <v>0.154</v>
      </c>
      <c r="L705" s="993">
        <v>29.93</v>
      </c>
      <c r="M705" s="259">
        <f t="shared" si="56"/>
        <v>4.6100000000000003</v>
      </c>
    </row>
    <row r="706" spans="1:18" ht="51.75" customHeight="1" x14ac:dyDescent="0.2">
      <c r="A706" s="923" t="s">
        <v>183</v>
      </c>
      <c r="B706" s="996" t="s">
        <v>2069</v>
      </c>
      <c r="C706" s="1589" t="s">
        <v>2070</v>
      </c>
      <c r="D706" s="1590"/>
      <c r="E706" s="1590"/>
      <c r="F706" s="1590"/>
      <c r="G706" s="1590"/>
      <c r="H706" s="1590"/>
      <c r="I706" s="1591"/>
      <c r="J706" s="943" t="s">
        <v>328</v>
      </c>
      <c r="K706" s="999">
        <v>2</v>
      </c>
      <c r="L706" s="993">
        <v>16.98</v>
      </c>
      <c r="M706" s="259">
        <f t="shared" si="56"/>
        <v>33.96</v>
      </c>
    </row>
    <row r="707" spans="1:18" ht="29.25" customHeight="1" x14ac:dyDescent="0.2">
      <c r="A707" s="923" t="s">
        <v>319</v>
      </c>
      <c r="B707" s="996" t="s">
        <v>2071</v>
      </c>
      <c r="C707" s="1589" t="s">
        <v>2072</v>
      </c>
      <c r="D707" s="1590"/>
      <c r="E707" s="1590"/>
      <c r="F707" s="1590"/>
      <c r="G707" s="1590"/>
      <c r="H707" s="1590"/>
      <c r="I707" s="1591"/>
      <c r="J707" s="943" t="s">
        <v>205</v>
      </c>
      <c r="K707" s="999">
        <v>0.48</v>
      </c>
      <c r="L707" s="993">
        <v>30</v>
      </c>
      <c r="M707" s="259">
        <f t="shared" si="56"/>
        <v>14.4</v>
      </c>
    </row>
    <row r="708" spans="1:18" ht="50.25" customHeight="1" x14ac:dyDescent="0.2">
      <c r="A708" s="923" t="s">
        <v>183</v>
      </c>
      <c r="B708" s="996" t="s">
        <v>2073</v>
      </c>
      <c r="C708" s="1589" t="s">
        <v>2074</v>
      </c>
      <c r="D708" s="1590"/>
      <c r="E708" s="1590"/>
      <c r="F708" s="1590"/>
      <c r="G708" s="1590"/>
      <c r="H708" s="1590"/>
      <c r="I708" s="1591"/>
      <c r="J708" s="943" t="s">
        <v>1597</v>
      </c>
      <c r="K708" s="999">
        <v>0.8</v>
      </c>
      <c r="L708" s="993">
        <v>0.06</v>
      </c>
      <c r="M708" s="259">
        <f t="shared" si="56"/>
        <v>0.05</v>
      </c>
    </row>
    <row r="709" spans="1:18" ht="50.25" customHeight="1" x14ac:dyDescent="0.2">
      <c r="A709" s="923" t="s">
        <v>183</v>
      </c>
      <c r="B709" s="996" t="s">
        <v>2075</v>
      </c>
      <c r="C709" s="1589" t="s">
        <v>2076</v>
      </c>
      <c r="D709" s="1590"/>
      <c r="E709" s="1590"/>
      <c r="F709" s="1590"/>
      <c r="G709" s="1590"/>
      <c r="H709" s="1590"/>
      <c r="I709" s="1591"/>
      <c r="J709" s="943" t="s">
        <v>1598</v>
      </c>
      <c r="K709" s="999">
        <v>0.6</v>
      </c>
      <c r="L709" s="993">
        <v>5.13</v>
      </c>
      <c r="M709" s="259">
        <f t="shared" si="56"/>
        <v>3.08</v>
      </c>
    </row>
    <row r="710" spans="1:18" ht="20.25" customHeight="1" x14ac:dyDescent="0.2">
      <c r="A710" s="923" t="s">
        <v>183</v>
      </c>
      <c r="B710" s="994" t="s">
        <v>785</v>
      </c>
      <c r="C710" s="1589" t="s">
        <v>786</v>
      </c>
      <c r="D710" s="1590"/>
      <c r="E710" s="1590"/>
      <c r="F710" s="1590"/>
      <c r="G710" s="1590"/>
      <c r="H710" s="1590"/>
      <c r="I710" s="1591"/>
      <c r="J710" s="943" t="s">
        <v>158</v>
      </c>
      <c r="K710" s="998">
        <v>1.1000000000000001</v>
      </c>
      <c r="L710" s="993">
        <v>17.13</v>
      </c>
      <c r="M710" s="259">
        <f t="shared" si="56"/>
        <v>18.84</v>
      </c>
    </row>
    <row r="711" spans="1:18" ht="20.25" customHeight="1" x14ac:dyDescent="0.2">
      <c r="A711" s="923" t="s">
        <v>183</v>
      </c>
      <c r="B711" s="996" t="s">
        <v>576</v>
      </c>
      <c r="C711" s="1589" t="s">
        <v>577</v>
      </c>
      <c r="D711" s="1590"/>
      <c r="E711" s="1590"/>
      <c r="F711" s="1590"/>
      <c r="G711" s="1590"/>
      <c r="H711" s="1590"/>
      <c r="I711" s="1591"/>
      <c r="J711" s="943" t="s">
        <v>158</v>
      </c>
      <c r="K711" s="999">
        <v>1.3</v>
      </c>
      <c r="L711" s="993">
        <v>21.31</v>
      </c>
      <c r="M711" s="259">
        <f t="shared" si="56"/>
        <v>27.7</v>
      </c>
    </row>
    <row r="712" spans="1:18" ht="15" x14ac:dyDescent="0.25">
      <c r="A712" s="941"/>
      <c r="B712" s="1204"/>
      <c r="C712" s="1576" t="s">
        <v>53</v>
      </c>
      <c r="D712" s="1577"/>
      <c r="E712" s="1577"/>
      <c r="F712" s="1577"/>
      <c r="G712" s="1577"/>
      <c r="H712" s="1577"/>
      <c r="I712" s="1577"/>
      <c r="J712" s="1578"/>
      <c r="K712" s="1253"/>
      <c r="L712" s="942"/>
      <c r="M712" s="944">
        <f>ROUND(SUM(M700:M711),2)</f>
        <v>860.64</v>
      </c>
    </row>
    <row r="714" spans="1:18" ht="15" x14ac:dyDescent="0.25">
      <c r="A714" s="1242" t="s">
        <v>15</v>
      </c>
      <c r="B714" s="1242" t="s">
        <v>588</v>
      </c>
      <c r="C714" s="920"/>
      <c r="D714" s="921"/>
      <c r="E714" s="921"/>
      <c r="F714" s="921"/>
      <c r="G714" s="921" t="s">
        <v>84</v>
      </c>
      <c r="H714" s="921"/>
      <c r="I714" s="921"/>
      <c r="J714" s="921"/>
      <c r="K714" s="921"/>
      <c r="L714" s="921"/>
      <c r="M714" s="922"/>
    </row>
    <row r="715" spans="1:18" ht="19.5" customHeight="1" x14ac:dyDescent="0.2">
      <c r="A715" s="923" t="str">
        <f>ORÇ!A573</f>
        <v>18.5.8</v>
      </c>
      <c r="B715" s="943" t="s">
        <v>335</v>
      </c>
      <c r="C715" s="1573" t="s">
        <v>2135</v>
      </c>
      <c r="D715" s="1574"/>
      <c r="E715" s="1574"/>
      <c r="F715" s="1574"/>
      <c r="G715" s="1574"/>
      <c r="H715" s="1574"/>
      <c r="I715" s="1574"/>
      <c r="J715" s="1574"/>
      <c r="K715" s="1574"/>
      <c r="L715" s="1574"/>
      <c r="M715" s="1579"/>
    </row>
    <row r="716" spans="1:18" ht="21" customHeight="1" x14ac:dyDescent="0.25">
      <c r="A716" s="1580" t="s">
        <v>2595</v>
      </c>
      <c r="B716" s="1560"/>
      <c r="C716" s="1560"/>
      <c r="D716" s="1560"/>
      <c r="E716" s="1560"/>
      <c r="F716" s="1560"/>
      <c r="G716" s="1560"/>
      <c r="H716" s="1560"/>
      <c r="I716" s="1560"/>
      <c r="J716" s="1560"/>
      <c r="K716" s="1560"/>
      <c r="L716" s="1561"/>
      <c r="M716" s="924"/>
    </row>
    <row r="717" spans="1:18" ht="18" customHeight="1" x14ac:dyDescent="0.25">
      <c r="A717" s="925" t="s">
        <v>184</v>
      </c>
      <c r="B717" s="926" t="s">
        <v>48</v>
      </c>
      <c r="C717" s="927"/>
      <c r="D717" s="928"/>
      <c r="E717" s="928"/>
      <c r="F717" s="928" t="s">
        <v>49</v>
      </c>
      <c r="G717" s="928"/>
      <c r="H717" s="928"/>
      <c r="I717" s="929"/>
      <c r="J717" s="930" t="s">
        <v>50</v>
      </c>
      <c r="K717" s="930" t="s">
        <v>18</v>
      </c>
      <c r="L717" s="931" t="s">
        <v>51</v>
      </c>
      <c r="M717" s="931" t="s">
        <v>47</v>
      </c>
    </row>
    <row r="718" spans="1:18" ht="20.25" customHeight="1" x14ac:dyDescent="0.2">
      <c r="A718" s="1584" t="str">
        <f>COTAÇÃO!A66</f>
        <v>COTAÇÃO 08</v>
      </c>
      <c r="B718" s="1585"/>
      <c r="C718" s="1573" t="str">
        <f>COTAÇÃO!A65</f>
        <v>CRUZETA PVC SOLDAVEL NBR 5648 - 50 MM</v>
      </c>
      <c r="D718" s="1574"/>
      <c r="E718" s="1574"/>
      <c r="F718" s="1574"/>
      <c r="G718" s="1574"/>
      <c r="H718" s="1574"/>
      <c r="I718" s="1575"/>
      <c r="J718" s="943" t="s">
        <v>335</v>
      </c>
      <c r="K718" s="260">
        <v>1</v>
      </c>
      <c r="L718" s="258">
        <f>COTAÇÃO!E68</f>
        <v>70.426666666666662</v>
      </c>
      <c r="M718" s="259">
        <f>ROUND(K718*L718,2)</f>
        <v>70.430000000000007</v>
      </c>
      <c r="R718" s="946"/>
    </row>
    <row r="719" spans="1:18" ht="30.75" customHeight="1" x14ac:dyDescent="0.2">
      <c r="A719" s="1205" t="s">
        <v>183</v>
      </c>
      <c r="B719" s="1245">
        <v>88248</v>
      </c>
      <c r="C719" s="1573" t="s">
        <v>295</v>
      </c>
      <c r="D719" s="1574"/>
      <c r="E719" s="1574"/>
      <c r="F719" s="1574"/>
      <c r="G719" s="1574"/>
      <c r="H719" s="1574"/>
      <c r="I719" s="1575"/>
      <c r="J719" s="1122" t="s">
        <v>158</v>
      </c>
      <c r="K719" s="780">
        <v>0.6</v>
      </c>
      <c r="L719" s="258">
        <v>16.989999999999998</v>
      </c>
      <c r="M719" s="259">
        <f t="shared" ref="M719:M723" si="57">ROUND(K719*L719,2)</f>
        <v>10.19</v>
      </c>
    </row>
    <row r="720" spans="1:18" ht="30.75" customHeight="1" x14ac:dyDescent="0.2">
      <c r="A720" s="1205" t="s">
        <v>183</v>
      </c>
      <c r="B720" s="1245">
        <v>88267</v>
      </c>
      <c r="C720" s="1573" t="s">
        <v>296</v>
      </c>
      <c r="D720" s="1574"/>
      <c r="E720" s="1574"/>
      <c r="F720" s="1574"/>
      <c r="G720" s="1574"/>
      <c r="H720" s="1574"/>
      <c r="I720" s="1575"/>
      <c r="J720" s="1122" t="s">
        <v>158</v>
      </c>
      <c r="K720" s="780">
        <v>0.6</v>
      </c>
      <c r="L720" s="258">
        <v>20.7</v>
      </c>
      <c r="M720" s="259">
        <f t="shared" si="57"/>
        <v>12.42</v>
      </c>
    </row>
    <row r="721" spans="1:18" ht="20.25" customHeight="1" x14ac:dyDescent="0.2">
      <c r="A721" s="1205" t="s">
        <v>319</v>
      </c>
      <c r="B721" s="1245" t="s">
        <v>360</v>
      </c>
      <c r="C721" s="1581" t="s">
        <v>361</v>
      </c>
      <c r="D721" s="1582"/>
      <c r="E721" s="1582"/>
      <c r="F721" s="1582"/>
      <c r="G721" s="1582"/>
      <c r="H721" s="1582"/>
      <c r="I721" s="1583"/>
      <c r="J721" s="1122" t="s">
        <v>219</v>
      </c>
      <c r="K721" s="778">
        <v>0.02</v>
      </c>
      <c r="L721" s="258">
        <v>61.55</v>
      </c>
      <c r="M721" s="259">
        <f t="shared" si="57"/>
        <v>1.23</v>
      </c>
    </row>
    <row r="722" spans="1:18" ht="46.5" customHeight="1" x14ac:dyDescent="0.2">
      <c r="A722" s="1205" t="s">
        <v>319</v>
      </c>
      <c r="B722" s="1207" t="s">
        <v>1505</v>
      </c>
      <c r="C722" s="1573" t="s">
        <v>1506</v>
      </c>
      <c r="D722" s="1574"/>
      <c r="E722" s="1574"/>
      <c r="F722" s="1574"/>
      <c r="G722" s="1574"/>
      <c r="H722" s="1574"/>
      <c r="I722" s="1575"/>
      <c r="J722" s="1122" t="s">
        <v>219</v>
      </c>
      <c r="K722" s="778">
        <v>0.02</v>
      </c>
      <c r="L722" s="258">
        <v>25.4</v>
      </c>
      <c r="M722" s="259">
        <f t="shared" si="57"/>
        <v>0.51</v>
      </c>
    </row>
    <row r="723" spans="1:18" ht="20.25" customHeight="1" x14ac:dyDescent="0.2">
      <c r="A723" s="923" t="s">
        <v>319</v>
      </c>
      <c r="B723" s="1030" t="s">
        <v>366</v>
      </c>
      <c r="C723" s="1589" t="s">
        <v>294</v>
      </c>
      <c r="D723" s="1590"/>
      <c r="E723" s="1590"/>
      <c r="F723" s="1590"/>
      <c r="G723" s="1590"/>
      <c r="H723" s="1590"/>
      <c r="I723" s="1591"/>
      <c r="J723" s="943" t="s">
        <v>219</v>
      </c>
      <c r="K723" s="260">
        <v>0.2</v>
      </c>
      <c r="L723" s="258">
        <v>1.59</v>
      </c>
      <c r="M723" s="259">
        <f t="shared" si="57"/>
        <v>0.32</v>
      </c>
    </row>
    <row r="724" spans="1:18" ht="15" x14ac:dyDescent="0.25">
      <c r="A724" s="941"/>
      <c r="B724" s="1204"/>
      <c r="C724" s="1576" t="s">
        <v>53</v>
      </c>
      <c r="D724" s="1577"/>
      <c r="E724" s="1577"/>
      <c r="F724" s="1577"/>
      <c r="G724" s="1577"/>
      <c r="H724" s="1577"/>
      <c r="I724" s="1577"/>
      <c r="J724" s="1578"/>
      <c r="K724" s="1253"/>
      <c r="L724" s="942"/>
      <c r="M724" s="945">
        <f>ROUND(SUM(M718:P723),2)</f>
        <v>95.1</v>
      </c>
    </row>
    <row r="726" spans="1:18" ht="15" x14ac:dyDescent="0.25">
      <c r="A726" s="1242" t="s">
        <v>15</v>
      </c>
      <c r="B726" s="1242" t="s">
        <v>588</v>
      </c>
      <c r="C726" s="920"/>
      <c r="D726" s="921"/>
      <c r="E726" s="921"/>
      <c r="F726" s="921"/>
      <c r="G726" s="921" t="s">
        <v>84</v>
      </c>
      <c r="H726" s="921"/>
      <c r="I726" s="921"/>
      <c r="J726" s="921"/>
      <c r="K726" s="921"/>
      <c r="L726" s="921"/>
      <c r="M726" s="922"/>
    </row>
    <row r="727" spans="1:18" ht="18.75" customHeight="1" x14ac:dyDescent="0.2">
      <c r="A727" s="923" t="str">
        <f>ORÇ!A577</f>
        <v>18.5.12</v>
      </c>
      <c r="B727" s="943" t="s">
        <v>335</v>
      </c>
      <c r="C727" s="1573" t="s">
        <v>2145</v>
      </c>
      <c r="D727" s="1574"/>
      <c r="E727" s="1574"/>
      <c r="F727" s="1574"/>
      <c r="G727" s="1574"/>
      <c r="H727" s="1574"/>
      <c r="I727" s="1574"/>
      <c r="J727" s="1574"/>
      <c r="K727" s="1574"/>
      <c r="L727" s="1574"/>
      <c r="M727" s="1579"/>
    </row>
    <row r="728" spans="1:18" ht="21" customHeight="1" x14ac:dyDescent="0.25">
      <c r="A728" s="1580" t="s">
        <v>2596</v>
      </c>
      <c r="B728" s="1560"/>
      <c r="C728" s="1560"/>
      <c r="D728" s="1560"/>
      <c r="E728" s="1560"/>
      <c r="F728" s="1560"/>
      <c r="G728" s="1560"/>
      <c r="H728" s="1560"/>
      <c r="I728" s="1560"/>
      <c r="J728" s="1560"/>
      <c r="K728" s="1560"/>
      <c r="L728" s="1561"/>
      <c r="M728" s="924"/>
    </row>
    <row r="729" spans="1:18" ht="18" customHeight="1" x14ac:dyDescent="0.25">
      <c r="A729" s="925" t="s">
        <v>184</v>
      </c>
      <c r="B729" s="926" t="s">
        <v>48</v>
      </c>
      <c r="C729" s="927"/>
      <c r="D729" s="928"/>
      <c r="E729" s="928"/>
      <c r="F729" s="928" t="s">
        <v>49</v>
      </c>
      <c r="G729" s="928"/>
      <c r="H729" s="928"/>
      <c r="I729" s="929"/>
      <c r="J729" s="930" t="s">
        <v>50</v>
      </c>
      <c r="K729" s="930" t="s">
        <v>18</v>
      </c>
      <c r="L729" s="931" t="s">
        <v>51</v>
      </c>
      <c r="M729" s="931" t="s">
        <v>47</v>
      </c>
    </row>
    <row r="730" spans="1:18" ht="18.75" customHeight="1" x14ac:dyDescent="0.2">
      <c r="A730" s="1584" t="str">
        <f>COTAÇÃO!A73</f>
        <v>COTAÇÃO 09</v>
      </c>
      <c r="B730" s="1585"/>
      <c r="C730" s="1573" t="str">
        <f>COTAÇÃO!A72</f>
        <v>SKIMMER PARA PISCINA</v>
      </c>
      <c r="D730" s="1574"/>
      <c r="E730" s="1574"/>
      <c r="F730" s="1574"/>
      <c r="G730" s="1574"/>
      <c r="H730" s="1574"/>
      <c r="I730" s="1575"/>
      <c r="J730" s="943" t="s">
        <v>335</v>
      </c>
      <c r="K730" s="260">
        <v>1</v>
      </c>
      <c r="L730" s="258">
        <f>COTAÇÃO!E75</f>
        <v>446.47</v>
      </c>
      <c r="M730" s="259">
        <f>ROUND(K730*L730,2)</f>
        <v>446.47</v>
      </c>
      <c r="R730" s="946"/>
    </row>
    <row r="731" spans="1:18" ht="77.25" customHeight="1" x14ac:dyDescent="0.2">
      <c r="A731" s="1205" t="s">
        <v>183</v>
      </c>
      <c r="B731" s="1245" t="s">
        <v>2146</v>
      </c>
      <c r="C731" s="1573" t="s">
        <v>2147</v>
      </c>
      <c r="D731" s="1574"/>
      <c r="E731" s="1574"/>
      <c r="F731" s="1574"/>
      <c r="G731" s="1574"/>
      <c r="H731" s="1574"/>
      <c r="I731" s="1575"/>
      <c r="J731" s="1122" t="s">
        <v>739</v>
      </c>
      <c r="K731" s="780">
        <v>0.03</v>
      </c>
      <c r="L731" s="258">
        <v>425.22</v>
      </c>
      <c r="M731" s="259">
        <f t="shared" ref="M731:M736" si="58">ROUND(K731*L731,2)</f>
        <v>12.76</v>
      </c>
    </row>
    <row r="732" spans="1:18" ht="36" customHeight="1" x14ac:dyDescent="0.2">
      <c r="A732" s="1205" t="s">
        <v>183</v>
      </c>
      <c r="B732" s="1245">
        <v>88248</v>
      </c>
      <c r="C732" s="1573" t="s">
        <v>295</v>
      </c>
      <c r="D732" s="1574"/>
      <c r="E732" s="1574"/>
      <c r="F732" s="1574"/>
      <c r="G732" s="1574"/>
      <c r="H732" s="1574"/>
      <c r="I732" s="1575"/>
      <c r="J732" s="1122" t="s">
        <v>158</v>
      </c>
      <c r="K732" s="780">
        <v>0.6</v>
      </c>
      <c r="L732" s="258">
        <v>16.989999999999998</v>
      </c>
      <c r="M732" s="259">
        <f t="shared" si="58"/>
        <v>10.19</v>
      </c>
    </row>
    <row r="733" spans="1:18" ht="36" customHeight="1" x14ac:dyDescent="0.2">
      <c r="A733" s="1205" t="s">
        <v>183</v>
      </c>
      <c r="B733" s="1245">
        <v>88267</v>
      </c>
      <c r="C733" s="1573" t="s">
        <v>296</v>
      </c>
      <c r="D733" s="1574"/>
      <c r="E733" s="1574"/>
      <c r="F733" s="1574"/>
      <c r="G733" s="1574"/>
      <c r="H733" s="1574"/>
      <c r="I733" s="1575"/>
      <c r="J733" s="1122" t="s">
        <v>158</v>
      </c>
      <c r="K733" s="780">
        <v>0.6</v>
      </c>
      <c r="L733" s="258">
        <v>20.7</v>
      </c>
      <c r="M733" s="259">
        <f t="shared" si="58"/>
        <v>12.42</v>
      </c>
    </row>
    <row r="734" spans="1:18" ht="21" customHeight="1" x14ac:dyDescent="0.2">
      <c r="A734" s="1205" t="s">
        <v>319</v>
      </c>
      <c r="B734" s="1207" t="s">
        <v>360</v>
      </c>
      <c r="C734" s="1573" t="s">
        <v>361</v>
      </c>
      <c r="D734" s="1574"/>
      <c r="E734" s="1574"/>
      <c r="F734" s="1574"/>
      <c r="G734" s="1574"/>
      <c r="H734" s="1574"/>
      <c r="I734" s="1575"/>
      <c r="J734" s="1122" t="s">
        <v>219</v>
      </c>
      <c r="K734" s="778">
        <v>0.02</v>
      </c>
      <c r="L734" s="258">
        <v>61.55</v>
      </c>
      <c r="M734" s="259">
        <f t="shared" si="58"/>
        <v>1.23</v>
      </c>
    </row>
    <row r="735" spans="1:18" ht="45.75" customHeight="1" x14ac:dyDescent="0.2">
      <c r="A735" s="1205" t="s">
        <v>319</v>
      </c>
      <c r="B735" s="1245" t="s">
        <v>1505</v>
      </c>
      <c r="C735" s="1573" t="s">
        <v>1506</v>
      </c>
      <c r="D735" s="1574"/>
      <c r="E735" s="1574"/>
      <c r="F735" s="1574"/>
      <c r="G735" s="1574"/>
      <c r="H735" s="1574"/>
      <c r="I735" s="1575"/>
      <c r="J735" s="1122" t="s">
        <v>219</v>
      </c>
      <c r="K735" s="778">
        <v>0.02</v>
      </c>
      <c r="L735" s="258">
        <v>25.4</v>
      </c>
      <c r="M735" s="259">
        <f t="shared" si="58"/>
        <v>0.51</v>
      </c>
    </row>
    <row r="736" spans="1:18" ht="21" customHeight="1" x14ac:dyDescent="0.2">
      <c r="A736" s="1205" t="s">
        <v>319</v>
      </c>
      <c r="B736" s="1207" t="s">
        <v>366</v>
      </c>
      <c r="C736" s="1573" t="s">
        <v>294</v>
      </c>
      <c r="D736" s="1574"/>
      <c r="E736" s="1574"/>
      <c r="F736" s="1574"/>
      <c r="G736" s="1574"/>
      <c r="H736" s="1574"/>
      <c r="I736" s="1575"/>
      <c r="J736" s="943" t="s">
        <v>219</v>
      </c>
      <c r="K736" s="260">
        <v>0.2</v>
      </c>
      <c r="L736" s="258">
        <v>1.59</v>
      </c>
      <c r="M736" s="259">
        <f t="shared" si="58"/>
        <v>0.32</v>
      </c>
    </row>
    <row r="737" spans="1:18" ht="15" x14ac:dyDescent="0.25">
      <c r="A737" s="941"/>
      <c r="B737" s="1204"/>
      <c r="C737" s="1576" t="s">
        <v>53</v>
      </c>
      <c r="D737" s="1577"/>
      <c r="E737" s="1577"/>
      <c r="F737" s="1577"/>
      <c r="G737" s="1577"/>
      <c r="H737" s="1577"/>
      <c r="I737" s="1577"/>
      <c r="J737" s="1578"/>
      <c r="K737" s="1253"/>
      <c r="L737" s="942"/>
      <c r="M737" s="945">
        <f>ROUND(SUM(M730:P736),2)</f>
        <v>483.9</v>
      </c>
    </row>
    <row r="739" spans="1:18" ht="15" x14ac:dyDescent="0.25">
      <c r="A739" s="1242" t="s">
        <v>15</v>
      </c>
      <c r="B739" s="1242" t="s">
        <v>588</v>
      </c>
      <c r="C739" s="920"/>
      <c r="D739" s="921"/>
      <c r="E739" s="921"/>
      <c r="F739" s="921"/>
      <c r="G739" s="921" t="s">
        <v>84</v>
      </c>
      <c r="H739" s="921"/>
      <c r="I739" s="921"/>
      <c r="J739" s="921"/>
      <c r="K739" s="921"/>
      <c r="L739" s="921"/>
      <c r="M739" s="922"/>
    </row>
    <row r="740" spans="1:18" ht="25.5" customHeight="1" x14ac:dyDescent="0.2">
      <c r="A740" s="923" t="str">
        <f>ORÇ!A579</f>
        <v>18.5.14</v>
      </c>
      <c r="B740" s="943" t="s">
        <v>335</v>
      </c>
      <c r="C740" s="1573" t="s">
        <v>2153</v>
      </c>
      <c r="D740" s="1574"/>
      <c r="E740" s="1574"/>
      <c r="F740" s="1574"/>
      <c r="G740" s="1574"/>
      <c r="H740" s="1574"/>
      <c r="I740" s="1574"/>
      <c r="J740" s="1574"/>
      <c r="K740" s="1574"/>
      <c r="L740" s="1574"/>
      <c r="M740" s="1579"/>
    </row>
    <row r="741" spans="1:18" ht="21" customHeight="1" x14ac:dyDescent="0.25">
      <c r="A741" s="1580" t="s">
        <v>2597</v>
      </c>
      <c r="B741" s="1560"/>
      <c r="C741" s="1560"/>
      <c r="D741" s="1560"/>
      <c r="E741" s="1560"/>
      <c r="F741" s="1560"/>
      <c r="G741" s="1560"/>
      <c r="H741" s="1560"/>
      <c r="I741" s="1560"/>
      <c r="J741" s="1560"/>
      <c r="K741" s="1560"/>
      <c r="L741" s="1561"/>
      <c r="M741" s="924"/>
    </row>
    <row r="742" spans="1:18" ht="18" customHeight="1" x14ac:dyDescent="0.25">
      <c r="A742" s="925" t="s">
        <v>184</v>
      </c>
      <c r="B742" s="926" t="s">
        <v>48</v>
      </c>
      <c r="C742" s="927"/>
      <c r="D742" s="928"/>
      <c r="E742" s="928"/>
      <c r="F742" s="928" t="s">
        <v>49</v>
      </c>
      <c r="G742" s="928"/>
      <c r="H742" s="928"/>
      <c r="I742" s="929"/>
      <c r="J742" s="930" t="s">
        <v>50</v>
      </c>
      <c r="K742" s="930" t="s">
        <v>18</v>
      </c>
      <c r="L742" s="931" t="s">
        <v>51</v>
      </c>
      <c r="M742" s="931" t="s">
        <v>47</v>
      </c>
    </row>
    <row r="743" spans="1:18" ht="23.25" customHeight="1" x14ac:dyDescent="0.2">
      <c r="A743" s="1584" t="str">
        <f>COTAÇÃO!A80</f>
        <v>COTAÇÃO 10</v>
      </c>
      <c r="B743" s="1585"/>
      <c r="C743" s="1573" t="str">
        <f>COTAÇÃO!A79</f>
        <v>RALO DRENO DE 50MM PARA PISCINA</v>
      </c>
      <c r="D743" s="1574"/>
      <c r="E743" s="1574"/>
      <c r="F743" s="1574"/>
      <c r="G743" s="1574"/>
      <c r="H743" s="1574"/>
      <c r="I743" s="1575"/>
      <c r="J743" s="943" t="s">
        <v>335</v>
      </c>
      <c r="K743" s="260">
        <v>1</v>
      </c>
      <c r="L743" s="258">
        <f>COTAÇÃO!E82</f>
        <v>123.7</v>
      </c>
      <c r="M743" s="259">
        <f>ROUND(K743*L743,2)</f>
        <v>123.7</v>
      </c>
      <c r="R743" s="946"/>
    </row>
    <row r="744" spans="1:18" ht="36" customHeight="1" x14ac:dyDescent="0.2">
      <c r="A744" s="1205" t="s">
        <v>183</v>
      </c>
      <c r="B744" s="1245">
        <v>88248</v>
      </c>
      <c r="C744" s="1573" t="s">
        <v>295</v>
      </c>
      <c r="D744" s="1574"/>
      <c r="E744" s="1574"/>
      <c r="F744" s="1574"/>
      <c r="G744" s="1574"/>
      <c r="H744" s="1574"/>
      <c r="I744" s="1575"/>
      <c r="J744" s="1122" t="s">
        <v>158</v>
      </c>
      <c r="K744" s="780">
        <v>0.6</v>
      </c>
      <c r="L744" s="258">
        <v>16.989999999999998</v>
      </c>
      <c r="M744" s="259">
        <f t="shared" ref="M744:M748" si="59">ROUND(K744*L744,2)</f>
        <v>10.19</v>
      </c>
    </row>
    <row r="745" spans="1:18" ht="36" customHeight="1" x14ac:dyDescent="0.2">
      <c r="A745" s="1205" t="s">
        <v>183</v>
      </c>
      <c r="B745" s="1245">
        <v>88267</v>
      </c>
      <c r="C745" s="1573" t="s">
        <v>296</v>
      </c>
      <c r="D745" s="1574"/>
      <c r="E745" s="1574"/>
      <c r="F745" s="1574"/>
      <c r="G745" s="1574"/>
      <c r="H745" s="1574"/>
      <c r="I745" s="1575"/>
      <c r="J745" s="1122" t="s">
        <v>158</v>
      </c>
      <c r="K745" s="780">
        <v>0.6</v>
      </c>
      <c r="L745" s="258">
        <v>20.7</v>
      </c>
      <c r="M745" s="259">
        <f t="shared" si="59"/>
        <v>12.42</v>
      </c>
    </row>
    <row r="746" spans="1:18" ht="25.5" customHeight="1" x14ac:dyDescent="0.2">
      <c r="A746" s="1205" t="s">
        <v>319</v>
      </c>
      <c r="B746" s="1207" t="s">
        <v>360</v>
      </c>
      <c r="C746" s="1573" t="s">
        <v>361</v>
      </c>
      <c r="D746" s="1574"/>
      <c r="E746" s="1574"/>
      <c r="F746" s="1574"/>
      <c r="G746" s="1574"/>
      <c r="H746" s="1574"/>
      <c r="I746" s="1575"/>
      <c r="J746" s="1122" t="s">
        <v>219</v>
      </c>
      <c r="K746" s="780">
        <v>0.02</v>
      </c>
      <c r="L746" s="258">
        <v>61.55</v>
      </c>
      <c r="M746" s="259">
        <f t="shared" si="59"/>
        <v>1.23</v>
      </c>
    </row>
    <row r="747" spans="1:18" ht="49.5" customHeight="1" x14ac:dyDescent="0.2">
      <c r="A747" s="1205" t="s">
        <v>319</v>
      </c>
      <c r="B747" s="1245" t="s">
        <v>1505</v>
      </c>
      <c r="C747" s="1573" t="s">
        <v>1506</v>
      </c>
      <c r="D747" s="1574"/>
      <c r="E747" s="1574"/>
      <c r="F747" s="1574"/>
      <c r="G747" s="1574"/>
      <c r="H747" s="1574"/>
      <c r="I747" s="1575"/>
      <c r="J747" s="1122" t="s">
        <v>219</v>
      </c>
      <c r="K747" s="780">
        <v>0.02</v>
      </c>
      <c r="L747" s="258">
        <v>25.4</v>
      </c>
      <c r="M747" s="259">
        <f t="shared" si="59"/>
        <v>0.51</v>
      </c>
    </row>
    <row r="748" spans="1:18" ht="21.75" customHeight="1" x14ac:dyDescent="0.2">
      <c r="A748" s="1205" t="s">
        <v>319</v>
      </c>
      <c r="B748" s="1207" t="s">
        <v>366</v>
      </c>
      <c r="C748" s="1573" t="s">
        <v>294</v>
      </c>
      <c r="D748" s="1574"/>
      <c r="E748" s="1574"/>
      <c r="F748" s="1574"/>
      <c r="G748" s="1574"/>
      <c r="H748" s="1574"/>
      <c r="I748" s="1575"/>
      <c r="J748" s="943" t="s">
        <v>219</v>
      </c>
      <c r="K748" s="260">
        <v>0.2</v>
      </c>
      <c r="L748" s="258">
        <v>1.59</v>
      </c>
      <c r="M748" s="259">
        <f t="shared" si="59"/>
        <v>0.32</v>
      </c>
    </row>
    <row r="749" spans="1:18" ht="15" x14ac:dyDescent="0.25">
      <c r="A749" s="941"/>
      <c r="B749" s="1204"/>
      <c r="C749" s="1576" t="s">
        <v>53</v>
      </c>
      <c r="D749" s="1577"/>
      <c r="E749" s="1577"/>
      <c r="F749" s="1577"/>
      <c r="G749" s="1577"/>
      <c r="H749" s="1577"/>
      <c r="I749" s="1577"/>
      <c r="J749" s="1578"/>
      <c r="K749" s="1253"/>
      <c r="L749" s="942"/>
      <c r="M749" s="945">
        <f>ROUND(SUM(M743:P748),2)</f>
        <v>148.37</v>
      </c>
    </row>
    <row r="751" spans="1:18" ht="15" x14ac:dyDescent="0.25">
      <c r="A751" s="1242" t="s">
        <v>15</v>
      </c>
      <c r="B751" s="1242" t="s">
        <v>588</v>
      </c>
      <c r="C751" s="920"/>
      <c r="D751" s="921"/>
      <c r="E751" s="921"/>
      <c r="F751" s="921"/>
      <c r="G751" s="921" t="s">
        <v>84</v>
      </c>
      <c r="H751" s="921"/>
      <c r="I751" s="921"/>
      <c r="J751" s="921"/>
      <c r="K751" s="921"/>
      <c r="L751" s="921"/>
      <c r="M751" s="922"/>
    </row>
    <row r="752" spans="1:18" ht="25.5" customHeight="1" x14ac:dyDescent="0.2">
      <c r="A752" s="923" t="str">
        <f>ORÇ!A580</f>
        <v>18.5.15</v>
      </c>
      <c r="B752" s="943" t="s">
        <v>335</v>
      </c>
      <c r="C752" s="1573" t="s">
        <v>2156</v>
      </c>
      <c r="D752" s="1574"/>
      <c r="E752" s="1574"/>
      <c r="F752" s="1574"/>
      <c r="G752" s="1574"/>
      <c r="H752" s="1574"/>
      <c r="I752" s="1574"/>
      <c r="J752" s="1574"/>
      <c r="K752" s="1574"/>
      <c r="L752" s="1574"/>
      <c r="M752" s="1579"/>
    </row>
    <row r="753" spans="1:18" ht="21" customHeight="1" x14ac:dyDescent="0.25">
      <c r="A753" s="1580" t="s">
        <v>2598</v>
      </c>
      <c r="B753" s="1560"/>
      <c r="C753" s="1560"/>
      <c r="D753" s="1560"/>
      <c r="E753" s="1560"/>
      <c r="F753" s="1560"/>
      <c r="G753" s="1560"/>
      <c r="H753" s="1560"/>
      <c r="I753" s="1560"/>
      <c r="J753" s="1560"/>
      <c r="K753" s="1560"/>
      <c r="L753" s="1561"/>
      <c r="M753" s="924"/>
    </row>
    <row r="754" spans="1:18" ht="18" customHeight="1" x14ac:dyDescent="0.25">
      <c r="A754" s="925" t="s">
        <v>184</v>
      </c>
      <c r="B754" s="926" t="s">
        <v>48</v>
      </c>
      <c r="C754" s="927"/>
      <c r="D754" s="928"/>
      <c r="E754" s="928"/>
      <c r="F754" s="928" t="s">
        <v>49</v>
      </c>
      <c r="G754" s="928"/>
      <c r="H754" s="928"/>
      <c r="I754" s="929"/>
      <c r="J754" s="930" t="s">
        <v>50</v>
      </c>
      <c r="K754" s="930" t="s">
        <v>18</v>
      </c>
      <c r="L754" s="931" t="s">
        <v>51</v>
      </c>
      <c r="M754" s="931" t="s">
        <v>47</v>
      </c>
    </row>
    <row r="755" spans="1:18" ht="19.5" customHeight="1" x14ac:dyDescent="0.2">
      <c r="A755" s="1584" t="str">
        <f>COTAÇÃO!A87</f>
        <v>COTAÇÃO 11</v>
      </c>
      <c r="B755" s="1585"/>
      <c r="C755" s="1573" t="str">
        <f>COTAÇÃO!A86</f>
        <v>DISPOSITIVO DE RETORNO DE 50MM</v>
      </c>
      <c r="D755" s="1574"/>
      <c r="E755" s="1574"/>
      <c r="F755" s="1574"/>
      <c r="G755" s="1574"/>
      <c r="H755" s="1574"/>
      <c r="I755" s="1575"/>
      <c r="J755" s="943" t="s">
        <v>335</v>
      </c>
      <c r="K755" s="260">
        <v>1</v>
      </c>
      <c r="L755" s="258">
        <f>COTAÇÃO!E89</f>
        <v>100.00333333333333</v>
      </c>
      <c r="M755" s="259">
        <f>ROUND(K755*L755,2)</f>
        <v>100</v>
      </c>
      <c r="R755" s="946"/>
    </row>
    <row r="756" spans="1:18" ht="36" customHeight="1" x14ac:dyDescent="0.2">
      <c r="A756" s="1205" t="s">
        <v>183</v>
      </c>
      <c r="B756" s="1245">
        <v>88248</v>
      </c>
      <c r="C756" s="1573" t="s">
        <v>295</v>
      </c>
      <c r="D756" s="1574"/>
      <c r="E756" s="1574"/>
      <c r="F756" s="1574"/>
      <c r="G756" s="1574"/>
      <c r="H756" s="1574"/>
      <c r="I756" s="1575"/>
      <c r="J756" s="1122" t="s">
        <v>158</v>
      </c>
      <c r="K756" s="780">
        <v>0.6</v>
      </c>
      <c r="L756" s="258">
        <v>16.989999999999998</v>
      </c>
      <c r="M756" s="259">
        <f t="shared" ref="M756:M760" si="60">ROUND(K756*L756,2)</f>
        <v>10.19</v>
      </c>
    </row>
    <row r="757" spans="1:18" ht="36" customHeight="1" x14ac:dyDescent="0.2">
      <c r="A757" s="1205" t="s">
        <v>183</v>
      </c>
      <c r="B757" s="1245">
        <v>88267</v>
      </c>
      <c r="C757" s="1573" t="s">
        <v>296</v>
      </c>
      <c r="D757" s="1574"/>
      <c r="E757" s="1574"/>
      <c r="F757" s="1574"/>
      <c r="G757" s="1574"/>
      <c r="H757" s="1574"/>
      <c r="I757" s="1575"/>
      <c r="J757" s="1122" t="s">
        <v>158</v>
      </c>
      <c r="K757" s="780">
        <v>0.6</v>
      </c>
      <c r="L757" s="258">
        <v>20.7</v>
      </c>
      <c r="M757" s="259">
        <f t="shared" si="60"/>
        <v>12.42</v>
      </c>
    </row>
    <row r="758" spans="1:18" ht="25.5" customHeight="1" x14ac:dyDescent="0.2">
      <c r="A758" s="1205" t="s">
        <v>319</v>
      </c>
      <c r="B758" s="1207" t="s">
        <v>360</v>
      </c>
      <c r="C758" s="1573" t="s">
        <v>361</v>
      </c>
      <c r="D758" s="1574"/>
      <c r="E758" s="1574"/>
      <c r="F758" s="1574"/>
      <c r="G758" s="1574"/>
      <c r="H758" s="1574"/>
      <c r="I758" s="1575"/>
      <c r="J758" s="1122" t="s">
        <v>219</v>
      </c>
      <c r="K758" s="780">
        <v>0.02</v>
      </c>
      <c r="L758" s="258">
        <v>61.55</v>
      </c>
      <c r="M758" s="259">
        <f t="shared" si="60"/>
        <v>1.23</v>
      </c>
    </row>
    <row r="759" spans="1:18" ht="49.5" customHeight="1" x14ac:dyDescent="0.2">
      <c r="A759" s="1205" t="s">
        <v>319</v>
      </c>
      <c r="B759" s="1245" t="s">
        <v>1505</v>
      </c>
      <c r="C759" s="1573" t="s">
        <v>1506</v>
      </c>
      <c r="D759" s="1574"/>
      <c r="E759" s="1574"/>
      <c r="F759" s="1574"/>
      <c r="G759" s="1574"/>
      <c r="H759" s="1574"/>
      <c r="I759" s="1575"/>
      <c r="J759" s="1122" t="s">
        <v>219</v>
      </c>
      <c r="K759" s="780">
        <v>0.02</v>
      </c>
      <c r="L759" s="258">
        <v>25.4</v>
      </c>
      <c r="M759" s="259">
        <f t="shared" si="60"/>
        <v>0.51</v>
      </c>
    </row>
    <row r="760" spans="1:18" ht="21.75" customHeight="1" x14ac:dyDescent="0.2">
      <c r="A760" s="1205" t="s">
        <v>319</v>
      </c>
      <c r="B760" s="1207" t="s">
        <v>366</v>
      </c>
      <c r="C760" s="1573" t="s">
        <v>294</v>
      </c>
      <c r="D760" s="1574"/>
      <c r="E760" s="1574"/>
      <c r="F760" s="1574"/>
      <c r="G760" s="1574"/>
      <c r="H760" s="1574"/>
      <c r="I760" s="1575"/>
      <c r="J760" s="943" t="s">
        <v>219</v>
      </c>
      <c r="K760" s="260">
        <v>0.2</v>
      </c>
      <c r="L760" s="258">
        <v>1.59</v>
      </c>
      <c r="M760" s="259">
        <f t="shared" si="60"/>
        <v>0.32</v>
      </c>
    </row>
    <row r="761" spans="1:18" ht="15" x14ac:dyDescent="0.25">
      <c r="A761" s="941"/>
      <c r="B761" s="1204"/>
      <c r="C761" s="1576" t="s">
        <v>53</v>
      </c>
      <c r="D761" s="1577"/>
      <c r="E761" s="1577"/>
      <c r="F761" s="1577"/>
      <c r="G761" s="1577"/>
      <c r="H761" s="1577"/>
      <c r="I761" s="1577"/>
      <c r="J761" s="1578"/>
      <c r="K761" s="1253"/>
      <c r="L761" s="942"/>
      <c r="M761" s="945">
        <f>ROUND(SUM(M755:P760),2)</f>
        <v>124.67</v>
      </c>
    </row>
    <row r="763" spans="1:18" ht="15" x14ac:dyDescent="0.25">
      <c r="A763" s="1242" t="s">
        <v>15</v>
      </c>
      <c r="B763" s="1242" t="s">
        <v>588</v>
      </c>
      <c r="C763" s="920"/>
      <c r="D763" s="921"/>
      <c r="E763" s="921"/>
      <c r="F763" s="921"/>
      <c r="G763" s="921" t="s">
        <v>84</v>
      </c>
      <c r="H763" s="921"/>
      <c r="I763" s="921"/>
      <c r="J763" s="921"/>
      <c r="K763" s="921"/>
      <c r="L763" s="921"/>
      <c r="M763" s="922"/>
    </row>
    <row r="764" spans="1:18" ht="25.5" customHeight="1" x14ac:dyDescent="0.2">
      <c r="A764" s="923" t="str">
        <f>ORÇ!A581</f>
        <v>18.5.16</v>
      </c>
      <c r="B764" s="943" t="s">
        <v>335</v>
      </c>
      <c r="C764" s="1573" t="s">
        <v>2159</v>
      </c>
      <c r="D764" s="1574"/>
      <c r="E764" s="1574"/>
      <c r="F764" s="1574"/>
      <c r="G764" s="1574"/>
      <c r="H764" s="1574"/>
      <c r="I764" s="1574"/>
      <c r="J764" s="1574"/>
      <c r="K764" s="1574"/>
      <c r="L764" s="1574"/>
      <c r="M764" s="1579"/>
    </row>
    <row r="765" spans="1:18" ht="21" customHeight="1" x14ac:dyDescent="0.25">
      <c r="A765" s="1580" t="s">
        <v>2599</v>
      </c>
      <c r="B765" s="1560"/>
      <c r="C765" s="1560"/>
      <c r="D765" s="1560"/>
      <c r="E765" s="1560"/>
      <c r="F765" s="1560"/>
      <c r="G765" s="1560"/>
      <c r="H765" s="1560"/>
      <c r="I765" s="1560"/>
      <c r="J765" s="1560"/>
      <c r="K765" s="1560"/>
      <c r="L765" s="1561"/>
      <c r="M765" s="924"/>
    </row>
    <row r="766" spans="1:18" ht="18" customHeight="1" x14ac:dyDescent="0.25">
      <c r="A766" s="925" t="s">
        <v>184</v>
      </c>
      <c r="B766" s="926" t="s">
        <v>48</v>
      </c>
      <c r="C766" s="927"/>
      <c r="D766" s="928"/>
      <c r="E766" s="928"/>
      <c r="F766" s="928" t="s">
        <v>49</v>
      </c>
      <c r="G766" s="928"/>
      <c r="H766" s="928"/>
      <c r="I766" s="929"/>
      <c r="J766" s="930" t="s">
        <v>50</v>
      </c>
      <c r="K766" s="930" t="s">
        <v>18</v>
      </c>
      <c r="L766" s="931" t="s">
        <v>51</v>
      </c>
      <c r="M766" s="931" t="s">
        <v>47</v>
      </c>
    </row>
    <row r="767" spans="1:18" ht="23.25" customHeight="1" x14ac:dyDescent="0.2">
      <c r="A767" s="1584" t="str">
        <f>COTAÇÃO!A94</f>
        <v>COTAÇÃO 12</v>
      </c>
      <c r="B767" s="1585"/>
      <c r="C767" s="1573" t="str">
        <f>COTAÇÃO!A93</f>
        <v>DISPOSITIVO DE ASPIRAÇÃO DE 50MM</v>
      </c>
      <c r="D767" s="1574"/>
      <c r="E767" s="1574"/>
      <c r="F767" s="1574"/>
      <c r="G767" s="1574"/>
      <c r="H767" s="1574"/>
      <c r="I767" s="1575"/>
      <c r="J767" s="943" t="s">
        <v>335</v>
      </c>
      <c r="K767" s="260">
        <v>1</v>
      </c>
      <c r="L767" s="258">
        <f>COTAÇÃO!E96</f>
        <v>83.83</v>
      </c>
      <c r="M767" s="259">
        <f>ROUND(K767*L767,2)</f>
        <v>83.83</v>
      </c>
      <c r="R767" s="946"/>
    </row>
    <row r="768" spans="1:18" ht="36" customHeight="1" x14ac:dyDescent="0.2">
      <c r="A768" s="1205" t="s">
        <v>183</v>
      </c>
      <c r="B768" s="1245">
        <v>88248</v>
      </c>
      <c r="C768" s="1573" t="s">
        <v>295</v>
      </c>
      <c r="D768" s="1574"/>
      <c r="E768" s="1574"/>
      <c r="F768" s="1574"/>
      <c r="G768" s="1574"/>
      <c r="H768" s="1574"/>
      <c r="I768" s="1575"/>
      <c r="J768" s="1122" t="s">
        <v>158</v>
      </c>
      <c r="K768" s="780">
        <v>0.6</v>
      </c>
      <c r="L768" s="258">
        <v>16.989999999999998</v>
      </c>
      <c r="M768" s="259">
        <f t="shared" ref="M768:M772" si="61">ROUND(K768*L768,2)</f>
        <v>10.19</v>
      </c>
    </row>
    <row r="769" spans="1:13" ht="36" customHeight="1" x14ac:dyDescent="0.2">
      <c r="A769" s="1205" t="s">
        <v>183</v>
      </c>
      <c r="B769" s="1245">
        <v>88267</v>
      </c>
      <c r="C769" s="1573" t="s">
        <v>296</v>
      </c>
      <c r="D769" s="1574"/>
      <c r="E769" s="1574"/>
      <c r="F769" s="1574"/>
      <c r="G769" s="1574"/>
      <c r="H769" s="1574"/>
      <c r="I769" s="1575"/>
      <c r="J769" s="1122" t="s">
        <v>158</v>
      </c>
      <c r="K769" s="780">
        <v>0.6</v>
      </c>
      <c r="L769" s="258">
        <v>20.7</v>
      </c>
      <c r="M769" s="259">
        <f t="shared" si="61"/>
        <v>12.42</v>
      </c>
    </row>
    <row r="770" spans="1:13" ht="25.5" customHeight="1" x14ac:dyDescent="0.2">
      <c r="A770" s="1205" t="s">
        <v>319</v>
      </c>
      <c r="B770" s="1207" t="s">
        <v>360</v>
      </c>
      <c r="C770" s="1573" t="s">
        <v>361</v>
      </c>
      <c r="D770" s="1574"/>
      <c r="E770" s="1574"/>
      <c r="F770" s="1574"/>
      <c r="G770" s="1574"/>
      <c r="H770" s="1574"/>
      <c r="I770" s="1575"/>
      <c r="J770" s="1122" t="s">
        <v>219</v>
      </c>
      <c r="K770" s="780">
        <v>0.02</v>
      </c>
      <c r="L770" s="258">
        <v>61.55</v>
      </c>
      <c r="M770" s="259">
        <f t="shared" si="61"/>
        <v>1.23</v>
      </c>
    </row>
    <row r="771" spans="1:13" ht="49.5" customHeight="1" x14ac:dyDescent="0.2">
      <c r="A771" s="1205" t="s">
        <v>319</v>
      </c>
      <c r="B771" s="1245" t="s">
        <v>1505</v>
      </c>
      <c r="C771" s="1573" t="s">
        <v>1506</v>
      </c>
      <c r="D771" s="1574"/>
      <c r="E771" s="1574"/>
      <c r="F771" s="1574"/>
      <c r="G771" s="1574"/>
      <c r="H771" s="1574"/>
      <c r="I771" s="1575"/>
      <c r="J771" s="1122" t="s">
        <v>219</v>
      </c>
      <c r="K771" s="780">
        <v>0.02</v>
      </c>
      <c r="L771" s="258">
        <v>25.4</v>
      </c>
      <c r="M771" s="259">
        <f t="shared" si="61"/>
        <v>0.51</v>
      </c>
    </row>
    <row r="772" spans="1:13" ht="21.75" customHeight="1" x14ac:dyDescent="0.2">
      <c r="A772" s="1205" t="s">
        <v>319</v>
      </c>
      <c r="B772" s="1207" t="s">
        <v>366</v>
      </c>
      <c r="C772" s="1573" t="s">
        <v>294</v>
      </c>
      <c r="D772" s="1574"/>
      <c r="E772" s="1574"/>
      <c r="F772" s="1574"/>
      <c r="G772" s="1574"/>
      <c r="H772" s="1574"/>
      <c r="I772" s="1575"/>
      <c r="J772" s="943" t="s">
        <v>219</v>
      </c>
      <c r="K772" s="260">
        <v>0.2</v>
      </c>
      <c r="L772" s="258">
        <v>1.59</v>
      </c>
      <c r="M772" s="259">
        <f t="shared" si="61"/>
        <v>0.32</v>
      </c>
    </row>
    <row r="773" spans="1:13" ht="15" x14ac:dyDescent="0.25">
      <c r="A773" s="941"/>
      <c r="B773" s="1204"/>
      <c r="C773" s="1576" t="s">
        <v>53</v>
      </c>
      <c r="D773" s="1577"/>
      <c r="E773" s="1577"/>
      <c r="F773" s="1577"/>
      <c r="G773" s="1577"/>
      <c r="H773" s="1577"/>
      <c r="I773" s="1577"/>
      <c r="J773" s="1578"/>
      <c r="K773" s="1253"/>
      <c r="L773" s="942"/>
      <c r="M773" s="945">
        <f>ROUND(SUM(M767:P772),2)</f>
        <v>108.5</v>
      </c>
    </row>
    <row r="775" spans="1:13" s="933" customFormat="1" ht="17.25" customHeight="1" x14ac:dyDescent="0.2">
      <c r="A775" s="988" t="s">
        <v>343</v>
      </c>
      <c r="B775" s="1242" t="s">
        <v>588</v>
      </c>
      <c r="C775" s="1000"/>
      <c r="D775" s="1001"/>
      <c r="E775" s="1001"/>
      <c r="F775" s="1001"/>
      <c r="G775" s="1001" t="s">
        <v>344</v>
      </c>
      <c r="H775" s="1001"/>
      <c r="I775" s="1001"/>
      <c r="J775" s="1001"/>
      <c r="K775" s="1001"/>
      <c r="L775" s="1001"/>
      <c r="M775" s="1002"/>
    </row>
    <row r="776" spans="1:13" ht="22.5" customHeight="1" x14ac:dyDescent="0.2">
      <c r="A776" s="989" t="str">
        <f>ORÇ!A588</f>
        <v>19.1.2</v>
      </c>
      <c r="B776" s="943" t="s">
        <v>328</v>
      </c>
      <c r="C776" s="1593" t="s">
        <v>1462</v>
      </c>
      <c r="D776" s="1594"/>
      <c r="E776" s="1594"/>
      <c r="F776" s="1594"/>
      <c r="G776" s="1594"/>
      <c r="H776" s="1594"/>
      <c r="I776" s="1594"/>
      <c r="J776" s="1594"/>
      <c r="K776" s="1594"/>
      <c r="L776" s="1594"/>
      <c r="M776" s="1595"/>
    </row>
    <row r="777" spans="1:13" ht="22.5" customHeight="1" x14ac:dyDescent="0.25">
      <c r="A777" s="1203"/>
      <c r="B777" s="949"/>
      <c r="C777" s="949"/>
      <c r="D777" s="949"/>
      <c r="E777" s="949"/>
      <c r="F777" s="949"/>
      <c r="G777" s="1001" t="s">
        <v>2600</v>
      </c>
      <c r="H777" s="949"/>
      <c r="I777" s="949"/>
      <c r="J777" s="949"/>
      <c r="K777" s="949"/>
      <c r="L777" s="950"/>
      <c r="M777" s="924"/>
    </row>
    <row r="778" spans="1:13" s="933" customFormat="1" ht="16.5" customHeight="1" x14ac:dyDescent="0.2">
      <c r="A778" s="925" t="s">
        <v>184</v>
      </c>
      <c r="B778" s="926" t="s">
        <v>48</v>
      </c>
      <c r="C778" s="936"/>
      <c r="D778" s="937"/>
      <c r="E778" s="937"/>
      <c r="F778" s="937" t="s">
        <v>49</v>
      </c>
      <c r="G778" s="937"/>
      <c r="H778" s="937"/>
      <c r="I778" s="938"/>
      <c r="J778" s="939" t="s">
        <v>50</v>
      </c>
      <c r="K778" s="939" t="s">
        <v>18</v>
      </c>
      <c r="L778" s="940" t="s">
        <v>51</v>
      </c>
      <c r="M778" s="990" t="s">
        <v>47</v>
      </c>
    </row>
    <row r="779" spans="1:13" ht="34.5" customHeight="1" x14ac:dyDescent="0.2">
      <c r="A779" s="923" t="s">
        <v>183</v>
      </c>
      <c r="B779" s="996" t="s">
        <v>1460</v>
      </c>
      <c r="C779" s="1589" t="s">
        <v>1461</v>
      </c>
      <c r="D779" s="1590"/>
      <c r="E779" s="1590"/>
      <c r="F779" s="1590"/>
      <c r="G779" s="1590"/>
      <c r="H779" s="1590"/>
      <c r="I779" s="1591"/>
      <c r="J779" s="943" t="s">
        <v>158</v>
      </c>
      <c r="K779" s="959">
        <v>0.6</v>
      </c>
      <c r="L779" s="993">
        <v>17.38</v>
      </c>
      <c r="M779" s="259">
        <f>ROUND(K779*L779,2)</f>
        <v>10.43</v>
      </c>
    </row>
    <row r="780" spans="1:13" ht="19.5" customHeight="1" x14ac:dyDescent="0.2">
      <c r="A780" s="1586" t="str">
        <f>COTAÇÃO!A38</f>
        <v>COTAÇÃO 04</v>
      </c>
      <c r="B780" s="1587"/>
      <c r="C780" s="1589" t="str">
        <f>COTAÇÃO!A37</f>
        <v>ADESIVO VINILICO</v>
      </c>
      <c r="D780" s="1590"/>
      <c r="E780" s="1590"/>
      <c r="F780" s="1590"/>
      <c r="G780" s="1590"/>
      <c r="H780" s="1590"/>
      <c r="I780" s="1591"/>
      <c r="J780" s="943" t="str">
        <f>COTAÇÃO!B42</f>
        <v>M2</v>
      </c>
      <c r="K780" s="959">
        <v>1</v>
      </c>
      <c r="L780" s="993">
        <f>COTAÇÃO!E40</f>
        <v>104.66666666666667</v>
      </c>
      <c r="M780" s="259">
        <f>ROUND(K780*L780,2)</f>
        <v>104.67</v>
      </c>
    </row>
    <row r="781" spans="1:13" ht="15" x14ac:dyDescent="0.25">
      <c r="A781" s="941"/>
      <c r="B781" s="1204"/>
      <c r="C781" s="1576" t="s">
        <v>53</v>
      </c>
      <c r="D781" s="1577"/>
      <c r="E781" s="1577"/>
      <c r="F781" s="1577"/>
      <c r="G781" s="1577"/>
      <c r="H781" s="1577"/>
      <c r="I781" s="1577"/>
      <c r="J781" s="1578"/>
      <c r="K781" s="1253"/>
      <c r="L781" s="942"/>
      <c r="M781" s="944">
        <f>ROUND(SUM(M778:M780),2)</f>
        <v>115.1</v>
      </c>
    </row>
    <row r="783" spans="1:13" ht="15.75" customHeight="1" x14ac:dyDescent="0.25">
      <c r="A783" s="988" t="s">
        <v>343</v>
      </c>
      <c r="B783" s="1242" t="s">
        <v>588</v>
      </c>
      <c r="C783" s="920"/>
      <c r="D783" s="921"/>
      <c r="E783" s="921"/>
      <c r="F783" s="921"/>
      <c r="G783" s="921" t="s">
        <v>344</v>
      </c>
      <c r="H783" s="921"/>
      <c r="I783" s="921"/>
      <c r="J783" s="921"/>
      <c r="K783" s="921"/>
      <c r="L783" s="921"/>
      <c r="M783" s="922"/>
    </row>
    <row r="784" spans="1:13" ht="21.75" customHeight="1" x14ac:dyDescent="0.2">
      <c r="A784" s="989" t="str">
        <f>ORÇ!A589</f>
        <v>19.1.3</v>
      </c>
      <c r="B784" s="923" t="s">
        <v>218</v>
      </c>
      <c r="C784" s="1650" t="s">
        <v>1469</v>
      </c>
      <c r="D784" s="1651"/>
      <c r="E784" s="1651"/>
      <c r="F784" s="1651"/>
      <c r="G784" s="1651"/>
      <c r="H784" s="1651"/>
      <c r="I784" s="1651"/>
      <c r="J784" s="1651"/>
      <c r="K784" s="1651"/>
      <c r="L784" s="1651"/>
      <c r="M784" s="1656"/>
    </row>
    <row r="785" spans="1:13" ht="22.5" customHeight="1" x14ac:dyDescent="0.25">
      <c r="A785" s="1203"/>
      <c r="B785" s="949"/>
      <c r="C785" s="949"/>
      <c r="D785" s="949"/>
      <c r="E785" s="949"/>
      <c r="F785" s="949"/>
      <c r="G785" s="1001" t="s">
        <v>2601</v>
      </c>
      <c r="H785" s="949"/>
      <c r="I785" s="949"/>
      <c r="J785" s="949"/>
      <c r="K785" s="949"/>
      <c r="L785" s="950"/>
      <c r="M785" s="924"/>
    </row>
    <row r="786" spans="1:13" s="933" customFormat="1" ht="16.5" customHeight="1" x14ac:dyDescent="0.2">
      <c r="A786" s="925" t="s">
        <v>184</v>
      </c>
      <c r="B786" s="926" t="s">
        <v>48</v>
      </c>
      <c r="C786" s="936"/>
      <c r="D786" s="937"/>
      <c r="E786" s="937"/>
      <c r="F786" s="937" t="s">
        <v>49</v>
      </c>
      <c r="G786" s="937"/>
      <c r="H786" s="937"/>
      <c r="I786" s="938"/>
      <c r="J786" s="939" t="s">
        <v>50</v>
      </c>
      <c r="K786" s="939" t="s">
        <v>18</v>
      </c>
      <c r="L786" s="940" t="s">
        <v>51</v>
      </c>
      <c r="M786" s="990" t="s">
        <v>47</v>
      </c>
    </row>
    <row r="787" spans="1:13" s="933" customFormat="1" ht="16.5" customHeight="1" x14ac:dyDescent="0.2">
      <c r="A787" s="991" t="s">
        <v>319</v>
      </c>
      <c r="B787" s="992" t="s">
        <v>1468</v>
      </c>
      <c r="C787" s="1664" t="s">
        <v>2614</v>
      </c>
      <c r="D787" s="1665"/>
      <c r="E787" s="1665"/>
      <c r="F787" s="1665"/>
      <c r="G787" s="1665"/>
      <c r="H787" s="1665"/>
      <c r="I787" s="1666"/>
      <c r="J787" s="943" t="s">
        <v>219</v>
      </c>
      <c r="K787" s="943">
        <v>1.1499999999999999</v>
      </c>
      <c r="L787" s="993">
        <v>1.37</v>
      </c>
      <c r="M787" s="259">
        <f>ROUND(K787*L787,2)</f>
        <v>1.58</v>
      </c>
    </row>
    <row r="788" spans="1:13" s="933" customFormat="1" ht="28.5" customHeight="1" x14ac:dyDescent="0.2">
      <c r="A788" s="991" t="s">
        <v>319</v>
      </c>
      <c r="B788" s="992" t="s">
        <v>1272</v>
      </c>
      <c r="C788" s="1597" t="s">
        <v>1273</v>
      </c>
      <c r="D788" s="1598"/>
      <c r="E788" s="1598"/>
      <c r="F788" s="1598"/>
      <c r="G788" s="1598"/>
      <c r="H788" s="1598"/>
      <c r="I788" s="1599"/>
      <c r="J788" s="943" t="s">
        <v>205</v>
      </c>
      <c r="K788" s="943">
        <f>0.1*0.1*28</f>
        <v>0.28000000000000003</v>
      </c>
      <c r="L788" s="993">
        <v>9.19</v>
      </c>
      <c r="M788" s="259">
        <f t="shared" ref="M788:M793" si="62">ROUND(K788*L788,2)</f>
        <v>2.57</v>
      </c>
    </row>
    <row r="789" spans="1:13" ht="47.25" customHeight="1" x14ac:dyDescent="0.2">
      <c r="A789" s="923" t="s">
        <v>319</v>
      </c>
      <c r="B789" s="994" t="s">
        <v>1281</v>
      </c>
      <c r="C789" s="1589" t="s">
        <v>1282</v>
      </c>
      <c r="D789" s="1590"/>
      <c r="E789" s="1590"/>
      <c r="F789" s="1590"/>
      <c r="G789" s="1590"/>
      <c r="H789" s="1590"/>
      <c r="I789" s="1591"/>
      <c r="J789" s="943" t="s">
        <v>219</v>
      </c>
      <c r="K789" s="959">
        <v>0.45</v>
      </c>
      <c r="L789" s="993">
        <v>90.28</v>
      </c>
      <c r="M789" s="259">
        <f t="shared" si="62"/>
        <v>40.630000000000003</v>
      </c>
    </row>
    <row r="790" spans="1:13" ht="30.75" customHeight="1" x14ac:dyDescent="0.2">
      <c r="A790" s="923" t="s">
        <v>319</v>
      </c>
      <c r="B790" s="994" t="s">
        <v>1279</v>
      </c>
      <c r="C790" s="1589" t="s">
        <v>1280</v>
      </c>
      <c r="D790" s="1590"/>
      <c r="E790" s="1590"/>
      <c r="F790" s="1590"/>
      <c r="G790" s="1590"/>
      <c r="H790" s="1590"/>
      <c r="I790" s="1591"/>
      <c r="J790" s="943" t="s">
        <v>219</v>
      </c>
      <c r="K790" s="959">
        <v>0.45</v>
      </c>
      <c r="L790" s="993">
        <v>18.73</v>
      </c>
      <c r="M790" s="259">
        <f t="shared" si="62"/>
        <v>8.43</v>
      </c>
    </row>
    <row r="791" spans="1:13" ht="32.25" customHeight="1" x14ac:dyDescent="0.2">
      <c r="A791" s="995" t="s">
        <v>319</v>
      </c>
      <c r="B791" s="996" t="s">
        <v>1466</v>
      </c>
      <c r="C791" s="1589" t="s">
        <v>1467</v>
      </c>
      <c r="D791" s="1590"/>
      <c r="E791" s="1590"/>
      <c r="F791" s="1590"/>
      <c r="G791" s="1590"/>
      <c r="H791" s="1590"/>
      <c r="I791" s="1591"/>
      <c r="J791" s="943" t="s">
        <v>205</v>
      </c>
      <c r="K791" s="959">
        <v>0.45</v>
      </c>
      <c r="L791" s="993">
        <v>70.55</v>
      </c>
      <c r="M791" s="259">
        <f t="shared" si="62"/>
        <v>31.75</v>
      </c>
    </row>
    <row r="792" spans="1:13" ht="22.5" customHeight="1" x14ac:dyDescent="0.2">
      <c r="A792" s="1205" t="s">
        <v>183</v>
      </c>
      <c r="B792" s="997">
        <v>88240</v>
      </c>
      <c r="C792" s="1589" t="s">
        <v>345</v>
      </c>
      <c r="D792" s="1590"/>
      <c r="E792" s="1590"/>
      <c r="F792" s="1590"/>
      <c r="G792" s="1590"/>
      <c r="H792" s="1590"/>
      <c r="I792" s="1591"/>
      <c r="J792" s="943" t="s">
        <v>158</v>
      </c>
      <c r="K792" s="959">
        <v>1</v>
      </c>
      <c r="L792" s="993">
        <v>14.57</v>
      </c>
      <c r="M792" s="259">
        <f t="shared" si="62"/>
        <v>14.57</v>
      </c>
    </row>
    <row r="793" spans="1:13" ht="22.5" customHeight="1" x14ac:dyDescent="0.2">
      <c r="A793" s="1205" t="s">
        <v>183</v>
      </c>
      <c r="B793" s="997">
        <v>88278</v>
      </c>
      <c r="C793" s="1589" t="s">
        <v>346</v>
      </c>
      <c r="D793" s="1590"/>
      <c r="E793" s="1590"/>
      <c r="F793" s="1590"/>
      <c r="G793" s="1590"/>
      <c r="H793" s="1590"/>
      <c r="I793" s="1591"/>
      <c r="J793" s="943" t="s">
        <v>158</v>
      </c>
      <c r="K793" s="959">
        <v>1</v>
      </c>
      <c r="L793" s="993">
        <v>17.73</v>
      </c>
      <c r="M793" s="259">
        <f t="shared" si="62"/>
        <v>17.73</v>
      </c>
    </row>
    <row r="794" spans="1:13" ht="15" x14ac:dyDescent="0.25">
      <c r="A794" s="941"/>
      <c r="B794" s="1204"/>
      <c r="C794" s="1576" t="s">
        <v>53</v>
      </c>
      <c r="D794" s="1577"/>
      <c r="E794" s="1577"/>
      <c r="F794" s="1577"/>
      <c r="G794" s="1577"/>
      <c r="H794" s="1577"/>
      <c r="I794" s="1577"/>
      <c r="J794" s="1578"/>
      <c r="K794" s="1253"/>
      <c r="L794" s="942"/>
      <c r="M794" s="944">
        <f>ROUND(SUM(M786:M793),2)</f>
        <v>117.26</v>
      </c>
    </row>
  </sheetData>
  <mergeCells count="600">
    <mergeCell ref="C215:L215"/>
    <mergeCell ref="C216:M216"/>
    <mergeCell ref="A217:M217"/>
    <mergeCell ref="C218:I218"/>
    <mergeCell ref="C219:I219"/>
    <mergeCell ref="C221:I221"/>
    <mergeCell ref="C222:I222"/>
    <mergeCell ref="C223:J223"/>
    <mergeCell ref="A219:B219"/>
    <mergeCell ref="C220:I220"/>
    <mergeCell ref="C206:L206"/>
    <mergeCell ref="C207:M207"/>
    <mergeCell ref="A208:M208"/>
    <mergeCell ref="C209:I209"/>
    <mergeCell ref="C210:I210"/>
    <mergeCell ref="C211:I211"/>
    <mergeCell ref="C212:I212"/>
    <mergeCell ref="C213:J213"/>
    <mergeCell ref="C125:L125"/>
    <mergeCell ref="C126:M126"/>
    <mergeCell ref="A127:M127"/>
    <mergeCell ref="C128:I128"/>
    <mergeCell ref="C129:I129"/>
    <mergeCell ref="C130:I130"/>
    <mergeCell ref="C131:I131"/>
    <mergeCell ref="C132:J132"/>
    <mergeCell ref="C134:L134"/>
    <mergeCell ref="C135:M135"/>
    <mergeCell ref="A136:M136"/>
    <mergeCell ref="C137:I137"/>
    <mergeCell ref="C138:I138"/>
    <mergeCell ref="C139:I139"/>
    <mergeCell ref="C140:I140"/>
    <mergeCell ref="C141:J141"/>
    <mergeCell ref="C277:I277"/>
    <mergeCell ref="C260:I260"/>
    <mergeCell ref="C261:I261"/>
    <mergeCell ref="C262:J262"/>
    <mergeCell ref="C264:L264"/>
    <mergeCell ref="C265:M265"/>
    <mergeCell ref="A266:M266"/>
    <mergeCell ref="C247:I247"/>
    <mergeCell ref="C248:I248"/>
    <mergeCell ref="C249:I249"/>
    <mergeCell ref="C250:I250"/>
    <mergeCell ref="C251:I251"/>
    <mergeCell ref="C252:J252"/>
    <mergeCell ref="C254:L254"/>
    <mergeCell ref="C255:M255"/>
    <mergeCell ref="A256:M256"/>
    <mergeCell ref="C278:I278"/>
    <mergeCell ref="C279:I279"/>
    <mergeCell ref="C280:J280"/>
    <mergeCell ref="C225:L225"/>
    <mergeCell ref="C226:M226"/>
    <mergeCell ref="A227:M227"/>
    <mergeCell ref="C228:I228"/>
    <mergeCell ref="C229:I229"/>
    <mergeCell ref="C230:I230"/>
    <mergeCell ref="C231:I231"/>
    <mergeCell ref="C232:J232"/>
    <mergeCell ref="A229:B229"/>
    <mergeCell ref="C267:I267"/>
    <mergeCell ref="C268:I268"/>
    <mergeCell ref="C269:I269"/>
    <mergeCell ref="C270:I270"/>
    <mergeCell ref="C271:J271"/>
    <mergeCell ref="C273:L273"/>
    <mergeCell ref="C274:M274"/>
    <mergeCell ref="A275:M275"/>
    <mergeCell ref="C276:I276"/>
    <mergeCell ref="C257:I257"/>
    <mergeCell ref="C258:I258"/>
    <mergeCell ref="C259:I259"/>
    <mergeCell ref="C706:I706"/>
    <mergeCell ref="C707:I707"/>
    <mergeCell ref="C709:I709"/>
    <mergeCell ref="C708:I708"/>
    <mergeCell ref="C702:I702"/>
    <mergeCell ref="C715:M715"/>
    <mergeCell ref="A716:L716"/>
    <mergeCell ref="C727:M727"/>
    <mergeCell ref="A728:L728"/>
    <mergeCell ref="C630:J630"/>
    <mergeCell ref="A610:B610"/>
    <mergeCell ref="C610:I610"/>
    <mergeCell ref="C623:M623"/>
    <mergeCell ref="C626:I626"/>
    <mergeCell ref="C627:I627"/>
    <mergeCell ref="C628:I628"/>
    <mergeCell ref="C629:I629"/>
    <mergeCell ref="C614:M614"/>
    <mergeCell ref="C617:I617"/>
    <mergeCell ref="C618:I618"/>
    <mergeCell ref="C619:I619"/>
    <mergeCell ref="C620:J620"/>
    <mergeCell ref="C35:M35"/>
    <mergeCell ref="A36:L36"/>
    <mergeCell ref="C38:I38"/>
    <mergeCell ref="C39:I39"/>
    <mergeCell ref="C40:I40"/>
    <mergeCell ref="C43:I43"/>
    <mergeCell ref="C44:J44"/>
    <mergeCell ref="C394:M394"/>
    <mergeCell ref="C587:I587"/>
    <mergeCell ref="C583:M583"/>
    <mergeCell ref="C586:I586"/>
    <mergeCell ref="A395:L395"/>
    <mergeCell ref="C397:I397"/>
    <mergeCell ref="C398:I398"/>
    <mergeCell ref="C399:I399"/>
    <mergeCell ref="C497:I497"/>
    <mergeCell ref="C498:I498"/>
    <mergeCell ref="C436:I436"/>
    <mergeCell ref="C437:I437"/>
    <mergeCell ref="C446:I446"/>
    <mergeCell ref="C477:M477"/>
    <mergeCell ref="C486:I486"/>
    <mergeCell ref="C487:I487"/>
    <mergeCell ref="C488:I488"/>
    <mergeCell ref="C793:I793"/>
    <mergeCell ref="C794:J794"/>
    <mergeCell ref="C789:I789"/>
    <mergeCell ref="C603:M603"/>
    <mergeCell ref="C606:I606"/>
    <mergeCell ref="C608:I608"/>
    <mergeCell ref="C609:I609"/>
    <mergeCell ref="C611:J611"/>
    <mergeCell ref="C569:M569"/>
    <mergeCell ref="C572:I572"/>
    <mergeCell ref="C574:I574"/>
    <mergeCell ref="C575:I575"/>
    <mergeCell ref="C576:I576"/>
    <mergeCell ref="C577:I577"/>
    <mergeCell ref="C594:I594"/>
    <mergeCell ref="C595:I595"/>
    <mergeCell ref="C596:I596"/>
    <mergeCell ref="C597:I597"/>
    <mergeCell ref="C588:I588"/>
    <mergeCell ref="C589:I589"/>
    <mergeCell ref="C590:I590"/>
    <mergeCell ref="C591:I591"/>
    <mergeCell ref="C592:I592"/>
    <mergeCell ref="C593:I593"/>
    <mergeCell ref="B466:E466"/>
    <mergeCell ref="A470:A473"/>
    <mergeCell ref="C454:I454"/>
    <mergeCell ref="C776:M776"/>
    <mergeCell ref="C779:I779"/>
    <mergeCell ref="C780:I780"/>
    <mergeCell ref="C781:J781"/>
    <mergeCell ref="A780:B780"/>
    <mergeCell ref="C787:I787"/>
    <mergeCell ref="C564:I564"/>
    <mergeCell ref="C565:I565"/>
    <mergeCell ref="C566:J566"/>
    <mergeCell ref="C493:I493"/>
    <mergeCell ref="C495:I495"/>
    <mergeCell ref="C496:I496"/>
    <mergeCell ref="C537:M537"/>
    <mergeCell ref="C494:I494"/>
    <mergeCell ref="C542:I542"/>
    <mergeCell ref="C543:I543"/>
    <mergeCell ref="C544:I544"/>
    <mergeCell ref="C560:M560"/>
    <mergeCell ref="C677:M677"/>
    <mergeCell ref="A680:B680"/>
    <mergeCell ref="C680:I680"/>
    <mergeCell ref="A431:L431"/>
    <mergeCell ref="C445:I445"/>
    <mergeCell ref="C447:I447"/>
    <mergeCell ref="C455:I455"/>
    <mergeCell ref="C456:I456"/>
    <mergeCell ref="C457:I457"/>
    <mergeCell ref="C491:I491"/>
    <mergeCell ref="C492:I492"/>
    <mergeCell ref="C448:I448"/>
    <mergeCell ref="C449:I449"/>
    <mergeCell ref="C450:I450"/>
    <mergeCell ref="C451:I451"/>
    <mergeCell ref="C453:I453"/>
    <mergeCell ref="C438:J438"/>
    <mergeCell ref="C433:I433"/>
    <mergeCell ref="C434:I434"/>
    <mergeCell ref="C489:I489"/>
    <mergeCell ref="C490:I490"/>
    <mergeCell ref="C458:I458"/>
    <mergeCell ref="C459:J459"/>
    <mergeCell ref="C444:I444"/>
    <mergeCell ref="C441:M441"/>
    <mergeCell ref="C485:I485"/>
    <mergeCell ref="A468:D468"/>
    <mergeCell ref="A474:G474"/>
    <mergeCell ref="C480:I480"/>
    <mergeCell ref="C481:I481"/>
    <mergeCell ref="C482:I482"/>
    <mergeCell ref="C483:I483"/>
    <mergeCell ref="C435:I435"/>
    <mergeCell ref="C378:I378"/>
    <mergeCell ref="C379:J379"/>
    <mergeCell ref="A375:B375"/>
    <mergeCell ref="C402:I402"/>
    <mergeCell ref="C403:J403"/>
    <mergeCell ref="C401:I401"/>
    <mergeCell ref="C452:I452"/>
    <mergeCell ref="A461:M461"/>
    <mergeCell ref="H466:L466"/>
    <mergeCell ref="H468:L468"/>
    <mergeCell ref="C430:M430"/>
    <mergeCell ref="C382:M382"/>
    <mergeCell ref="A383:L383"/>
    <mergeCell ref="C385:I385"/>
    <mergeCell ref="C386:I386"/>
    <mergeCell ref="C387:I387"/>
    <mergeCell ref="C388:I388"/>
    <mergeCell ref="C391:J391"/>
    <mergeCell ref="C484:I484"/>
    <mergeCell ref="C372:M372"/>
    <mergeCell ref="C93:I93"/>
    <mergeCell ref="C94:I94"/>
    <mergeCell ref="C91:I91"/>
    <mergeCell ref="C89:I89"/>
    <mergeCell ref="C88:I88"/>
    <mergeCell ref="C400:I400"/>
    <mergeCell ref="C790:I790"/>
    <mergeCell ref="A373:L373"/>
    <mergeCell ref="C375:I375"/>
    <mergeCell ref="C376:I376"/>
    <mergeCell ref="C377:I377"/>
    <mergeCell ref="C92:I92"/>
    <mergeCell ref="C784:M784"/>
    <mergeCell ref="C97:J97"/>
    <mergeCell ref="C103:I103"/>
    <mergeCell ref="C104:I104"/>
    <mergeCell ref="C105:I105"/>
    <mergeCell ref="C106:I106"/>
    <mergeCell ref="C107:I107"/>
    <mergeCell ref="C113:M113"/>
    <mergeCell ref="C110:J110"/>
    <mergeCell ref="C100:M100"/>
    <mergeCell ref="C367:I367"/>
    <mergeCell ref="C368:I368"/>
    <mergeCell ref="C369:J369"/>
    <mergeCell ref="C234:L234"/>
    <mergeCell ref="C235:M235"/>
    <mergeCell ref="A236:M236"/>
    <mergeCell ref="C237:I237"/>
    <mergeCell ref="C238:I238"/>
    <mergeCell ref="C240:I240"/>
    <mergeCell ref="C241:I241"/>
    <mergeCell ref="C242:J242"/>
    <mergeCell ref="C239:I239"/>
    <mergeCell ref="C244:L244"/>
    <mergeCell ref="C245:M245"/>
    <mergeCell ref="A246:M246"/>
    <mergeCell ref="A284:M284"/>
    <mergeCell ref="C286:I286"/>
    <mergeCell ref="C287:I287"/>
    <mergeCell ref="C288:I288"/>
    <mergeCell ref="C348:M348"/>
    <mergeCell ref="A349:L349"/>
    <mergeCell ref="C351:I351"/>
    <mergeCell ref="C352:I352"/>
    <mergeCell ref="C353:I353"/>
    <mergeCell ref="C363:I363"/>
    <mergeCell ref="C364:I364"/>
    <mergeCell ref="C365:I365"/>
    <mergeCell ref="C366:I366"/>
    <mergeCell ref="C354:I354"/>
    <mergeCell ref="C355:I355"/>
    <mergeCell ref="C356:I356"/>
    <mergeCell ref="C357:J357"/>
    <mergeCell ref="C291:L291"/>
    <mergeCell ref="C292:M292"/>
    <mergeCell ref="A293:M293"/>
    <mergeCell ref="C294:I294"/>
    <mergeCell ref="C295:I295"/>
    <mergeCell ref="C296:I296"/>
    <mergeCell ref="C297:I297"/>
    <mergeCell ref="C298:J298"/>
    <mergeCell ref="C300:L300"/>
    <mergeCell ref="C301:M301"/>
    <mergeCell ref="A302:M302"/>
    <mergeCell ref="C303:I303"/>
    <mergeCell ref="C304:I304"/>
    <mergeCell ref="C305:I305"/>
    <mergeCell ref="C306:I306"/>
    <mergeCell ref="C307:J307"/>
    <mergeCell ref="C87:I87"/>
    <mergeCell ref="C27:I27"/>
    <mergeCell ref="C28:I28"/>
    <mergeCell ref="C57:J57"/>
    <mergeCell ref="C289:J289"/>
    <mergeCell ref="C283:M283"/>
    <mergeCell ref="C285:I285"/>
    <mergeCell ref="C282:L282"/>
    <mergeCell ref="C360:M360"/>
    <mergeCell ref="C76:I76"/>
    <mergeCell ref="C77:I77"/>
    <mergeCell ref="C78:I78"/>
    <mergeCell ref="C80:I80"/>
    <mergeCell ref="C81:J81"/>
    <mergeCell ref="C118:I118"/>
    <mergeCell ref="C121:I121"/>
    <mergeCell ref="C122:I122"/>
    <mergeCell ref="C123:J123"/>
    <mergeCell ref="C90:I90"/>
    <mergeCell ref="A101:L101"/>
    <mergeCell ref="C108:I108"/>
    <mergeCell ref="A114:L114"/>
    <mergeCell ref="C116:I116"/>
    <mergeCell ref="C117:I117"/>
    <mergeCell ref="C47:M47"/>
    <mergeCell ref="A48:L48"/>
    <mergeCell ref="C50:I50"/>
    <mergeCell ref="A61:L61"/>
    <mergeCell ref="C389:I389"/>
    <mergeCell ref="C390:I390"/>
    <mergeCell ref="A1:M1"/>
    <mergeCell ref="C2:H2"/>
    <mergeCell ref="I2:J2"/>
    <mergeCell ref="C3:M3"/>
    <mergeCell ref="K2:M2"/>
    <mergeCell ref="A2:B2"/>
    <mergeCell ref="A4:B4"/>
    <mergeCell ref="A5:B5"/>
    <mergeCell ref="I4:J5"/>
    <mergeCell ref="C4:H4"/>
    <mergeCell ref="K4:M5"/>
    <mergeCell ref="C5:H5"/>
    <mergeCell ref="A6:B6"/>
    <mergeCell ref="A19:L19"/>
    <mergeCell ref="I6:J6"/>
    <mergeCell ref="K6:M6"/>
    <mergeCell ref="C84:M84"/>
    <mergeCell ref="A85:L85"/>
    <mergeCell ref="C6:H6"/>
    <mergeCell ref="A11:L11"/>
    <mergeCell ref="A7:M7"/>
    <mergeCell ref="C10:M10"/>
    <mergeCell ref="C13:I13"/>
    <mergeCell ref="C18:M18"/>
    <mergeCell ref="C32:J32"/>
    <mergeCell ref="C23:I23"/>
    <mergeCell ref="C21:I21"/>
    <mergeCell ref="C22:I22"/>
    <mergeCell ref="C24:I24"/>
    <mergeCell ref="C25:I25"/>
    <mergeCell ref="C26:I26"/>
    <mergeCell ref="C14:I14"/>
    <mergeCell ref="C29:I29"/>
    <mergeCell ref="C30:I30"/>
    <mergeCell ref="C31:I31"/>
    <mergeCell ref="A15:L15"/>
    <mergeCell ref="C60:M60"/>
    <mergeCell ref="C55:I55"/>
    <mergeCell ref="C56:I56"/>
    <mergeCell ref="C63:I63"/>
    <mergeCell ref="C64:I64"/>
    <mergeCell ref="C65:I65"/>
    <mergeCell ref="C68:I68"/>
    <mergeCell ref="C69:I69"/>
    <mergeCell ref="C51:I51"/>
    <mergeCell ref="C52:I52"/>
    <mergeCell ref="C70:J70"/>
    <mergeCell ref="C79:I79"/>
    <mergeCell ref="C73:M73"/>
    <mergeCell ref="A74:L74"/>
    <mergeCell ref="C633:M633"/>
    <mergeCell ref="C636:I636"/>
    <mergeCell ref="C637:I637"/>
    <mergeCell ref="C638:I638"/>
    <mergeCell ref="C641:J641"/>
    <mergeCell ref="C639:I639"/>
    <mergeCell ref="C640:I640"/>
    <mergeCell ref="C511:I511"/>
    <mergeCell ref="C512:I512"/>
    <mergeCell ref="C540:I540"/>
    <mergeCell ref="C513:I513"/>
    <mergeCell ref="C514:I514"/>
    <mergeCell ref="C515:I515"/>
    <mergeCell ref="C516:I516"/>
    <mergeCell ref="C517:I517"/>
    <mergeCell ref="C518:I518"/>
    <mergeCell ref="C519:I519"/>
    <mergeCell ref="C520:J520"/>
    <mergeCell ref="A538:L538"/>
    <mergeCell ref="A563:B563"/>
    <mergeCell ref="C406:M406"/>
    <mergeCell ref="A407:L407"/>
    <mergeCell ref="C409:I409"/>
    <mergeCell ref="C410:I410"/>
    <mergeCell ref="C411:I411"/>
    <mergeCell ref="C412:I412"/>
    <mergeCell ref="C413:I413"/>
    <mergeCell ref="C414:I414"/>
    <mergeCell ref="C415:J415"/>
    <mergeCell ref="C418:M418"/>
    <mergeCell ref="A419:L419"/>
    <mergeCell ref="C421:I421"/>
    <mergeCell ref="C422:I422"/>
    <mergeCell ref="C423:I423"/>
    <mergeCell ref="C424:I424"/>
    <mergeCell ref="C425:I425"/>
    <mergeCell ref="C580:J580"/>
    <mergeCell ref="C578:I578"/>
    <mergeCell ref="C579:I579"/>
    <mergeCell ref="C499:I499"/>
    <mergeCell ref="C500:I500"/>
    <mergeCell ref="C501:J501"/>
    <mergeCell ref="C504:M504"/>
    <mergeCell ref="C507:I507"/>
    <mergeCell ref="C508:I508"/>
    <mergeCell ref="C509:I509"/>
    <mergeCell ref="C510:I510"/>
    <mergeCell ref="A561:L561"/>
    <mergeCell ref="C563:I563"/>
    <mergeCell ref="C545:J545"/>
    <mergeCell ref="A522:M522"/>
    <mergeCell ref="C426:I426"/>
    <mergeCell ref="C427:J427"/>
    <mergeCell ref="C607:I607"/>
    <mergeCell ref="C791:I791"/>
    <mergeCell ref="C792:I792"/>
    <mergeCell ref="A541:B541"/>
    <mergeCell ref="C541:I541"/>
    <mergeCell ref="A643:M643"/>
    <mergeCell ref="C671:I671"/>
    <mergeCell ref="C670:I670"/>
    <mergeCell ref="C673:I673"/>
    <mergeCell ref="C672:I672"/>
    <mergeCell ref="C666:M666"/>
    <mergeCell ref="C669:I669"/>
    <mergeCell ref="A547:M547"/>
    <mergeCell ref="A572:B572"/>
    <mergeCell ref="C573:I573"/>
    <mergeCell ref="C788:I788"/>
    <mergeCell ref="C681:I681"/>
    <mergeCell ref="C682:I682"/>
    <mergeCell ref="C683:J683"/>
    <mergeCell ref="C698:M698"/>
    <mergeCell ref="A685:M685"/>
    <mergeCell ref="C598:I598"/>
    <mergeCell ref="C599:I599"/>
    <mergeCell ref="C600:J600"/>
    <mergeCell ref="C674:J674"/>
    <mergeCell ref="A669:B669"/>
    <mergeCell ref="J648:M657"/>
    <mergeCell ref="A730:B730"/>
    <mergeCell ref="C730:I730"/>
    <mergeCell ref="C731:I731"/>
    <mergeCell ref="C732:I732"/>
    <mergeCell ref="C733:I733"/>
    <mergeCell ref="C734:I734"/>
    <mergeCell ref="C718:I718"/>
    <mergeCell ref="C719:I719"/>
    <mergeCell ref="C720:I720"/>
    <mergeCell ref="C721:I721"/>
    <mergeCell ref="C722:I722"/>
    <mergeCell ref="C723:I723"/>
    <mergeCell ref="C724:J724"/>
    <mergeCell ref="A718:B718"/>
    <mergeCell ref="C701:I701"/>
    <mergeCell ref="C703:I703"/>
    <mergeCell ref="C712:J712"/>
    <mergeCell ref="C710:I710"/>
    <mergeCell ref="C711:I711"/>
    <mergeCell ref="C704:I704"/>
    <mergeCell ref="C705:I705"/>
    <mergeCell ref="C735:I735"/>
    <mergeCell ref="C737:J737"/>
    <mergeCell ref="C736:I736"/>
    <mergeCell ref="A753:L753"/>
    <mergeCell ref="A755:B755"/>
    <mergeCell ref="C755:I755"/>
    <mergeCell ref="C756:I756"/>
    <mergeCell ref="C757:I757"/>
    <mergeCell ref="C758:I758"/>
    <mergeCell ref="C740:M740"/>
    <mergeCell ref="A741:L741"/>
    <mergeCell ref="A743:B743"/>
    <mergeCell ref="C743:I743"/>
    <mergeCell ref="C744:I744"/>
    <mergeCell ref="C745:I745"/>
    <mergeCell ref="C746:I746"/>
    <mergeCell ref="C747:I747"/>
    <mergeCell ref="C770:I770"/>
    <mergeCell ref="C771:I771"/>
    <mergeCell ref="C772:I772"/>
    <mergeCell ref="C773:J773"/>
    <mergeCell ref="C337:M337"/>
    <mergeCell ref="A338:L338"/>
    <mergeCell ref="C340:I340"/>
    <mergeCell ref="C341:I341"/>
    <mergeCell ref="C342:I342"/>
    <mergeCell ref="C345:J345"/>
    <mergeCell ref="C344:I344"/>
    <mergeCell ref="C343:I343"/>
    <mergeCell ref="C759:I759"/>
    <mergeCell ref="C760:I760"/>
    <mergeCell ref="C761:J761"/>
    <mergeCell ref="C764:M764"/>
    <mergeCell ref="A765:L765"/>
    <mergeCell ref="A767:B767"/>
    <mergeCell ref="C767:I767"/>
    <mergeCell ref="C768:I768"/>
    <mergeCell ref="C769:I769"/>
    <mergeCell ref="C748:I748"/>
    <mergeCell ref="C749:J749"/>
    <mergeCell ref="C752:M752"/>
    <mergeCell ref="C309:L309"/>
    <mergeCell ref="C310:M310"/>
    <mergeCell ref="A311:M311"/>
    <mergeCell ref="C312:I312"/>
    <mergeCell ref="C313:I313"/>
    <mergeCell ref="C314:I314"/>
    <mergeCell ref="C315:I315"/>
    <mergeCell ref="C316:J316"/>
    <mergeCell ref="C318:L318"/>
    <mergeCell ref="C319:M319"/>
    <mergeCell ref="A320:M320"/>
    <mergeCell ref="C330:I330"/>
    <mergeCell ref="A331:B331"/>
    <mergeCell ref="C331:I331"/>
    <mergeCell ref="C332:I332"/>
    <mergeCell ref="C333:I333"/>
    <mergeCell ref="C334:J334"/>
    <mergeCell ref="C321:I321"/>
    <mergeCell ref="C322:I322"/>
    <mergeCell ref="C323:I323"/>
    <mergeCell ref="C324:I324"/>
    <mergeCell ref="C325:J325"/>
    <mergeCell ref="A322:B322"/>
    <mergeCell ref="C327:L327"/>
    <mergeCell ref="C328:M328"/>
    <mergeCell ref="A329:M329"/>
    <mergeCell ref="A138:B138"/>
    <mergeCell ref="C143:L143"/>
    <mergeCell ref="C144:M144"/>
    <mergeCell ref="A145:M145"/>
    <mergeCell ref="C146:I146"/>
    <mergeCell ref="A147:B147"/>
    <mergeCell ref="C147:I147"/>
    <mergeCell ref="C148:I148"/>
    <mergeCell ref="C149:I149"/>
    <mergeCell ref="C150:J150"/>
    <mergeCell ref="C152:L152"/>
    <mergeCell ref="C153:M153"/>
    <mergeCell ref="A154:M154"/>
    <mergeCell ref="C155:I155"/>
    <mergeCell ref="A156:B156"/>
    <mergeCell ref="C156:I156"/>
    <mergeCell ref="C157:I157"/>
    <mergeCell ref="C158:I158"/>
    <mergeCell ref="C159:J159"/>
    <mergeCell ref="C161:L161"/>
    <mergeCell ref="C162:M162"/>
    <mergeCell ref="A163:M163"/>
    <mergeCell ref="C164:I164"/>
    <mergeCell ref="A165:B165"/>
    <mergeCell ref="C165:I165"/>
    <mergeCell ref="C166:I166"/>
    <mergeCell ref="C167:I167"/>
    <mergeCell ref="C168:J168"/>
    <mergeCell ref="C170:L170"/>
    <mergeCell ref="C171:M171"/>
    <mergeCell ref="A172:M172"/>
    <mergeCell ref="C173:I173"/>
    <mergeCell ref="A174:B174"/>
    <mergeCell ref="C174:I174"/>
    <mergeCell ref="C175:I175"/>
    <mergeCell ref="C176:I176"/>
    <mergeCell ref="C177:J177"/>
    <mergeCell ref="C179:L179"/>
    <mergeCell ref="C180:M180"/>
    <mergeCell ref="A181:M181"/>
    <mergeCell ref="C182:I182"/>
    <mergeCell ref="A183:B183"/>
    <mergeCell ref="C183:I183"/>
    <mergeCell ref="C184:I184"/>
    <mergeCell ref="C185:I185"/>
    <mergeCell ref="C186:J186"/>
    <mergeCell ref="C188:L188"/>
    <mergeCell ref="C189:M189"/>
    <mergeCell ref="A190:M190"/>
    <mergeCell ref="C191:I191"/>
    <mergeCell ref="A192:B192"/>
    <mergeCell ref="C192:I192"/>
    <mergeCell ref="C193:I193"/>
    <mergeCell ref="C194:I194"/>
    <mergeCell ref="C204:J204"/>
    <mergeCell ref="C195:J195"/>
    <mergeCell ref="C197:L197"/>
    <mergeCell ref="C198:M198"/>
    <mergeCell ref="A199:M199"/>
    <mergeCell ref="C200:I200"/>
    <mergeCell ref="A201:B201"/>
    <mergeCell ref="C201:I201"/>
    <mergeCell ref="C202:I202"/>
    <mergeCell ref="C203:I203"/>
  </mergeCells>
  <phoneticPr fontId="6" type="noConversion"/>
  <pageMargins left="0.51181102362204722" right="0.51181102362204722" top="0.78740157480314965" bottom="0.78740157480314965" header="0.31496062992125984" footer="0.31496062992125984"/>
  <pageSetup paperSize="9" scale="61" fitToHeight="0" orientation="portrait" r:id="rId1"/>
  <rowBreaks count="14" manualBreakCount="14">
    <brk id="33" max="15" man="1"/>
    <brk id="71" max="15" man="1"/>
    <brk id="98" max="15" man="1"/>
    <brk id="280" max="15" man="1"/>
    <brk id="335" max="15" man="1"/>
    <brk id="380" max="15" man="1"/>
    <brk id="459" max="15" man="1"/>
    <brk id="501" max="15" man="1"/>
    <brk id="546" max="15" man="1"/>
    <brk id="599" max="15" man="1"/>
    <brk id="642" max="15" man="1"/>
    <brk id="684" max="15" man="1"/>
    <brk id="725" max="15" man="1"/>
    <brk id="762"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93"/>
  <sheetViews>
    <sheetView showGridLines="0" view="pageBreakPreview" topLeftCell="A4" zoomScale="110" zoomScaleSheetLayoutView="110" workbookViewId="0">
      <selection activeCell="D20" sqref="D20"/>
    </sheetView>
  </sheetViews>
  <sheetFormatPr defaultRowHeight="12.75" x14ac:dyDescent="0.2"/>
  <cols>
    <col min="1" max="1" width="13.5703125" customWidth="1"/>
    <col min="2" max="2" width="8.5703125" customWidth="1"/>
    <col min="3" max="3" width="11.42578125" customWidth="1"/>
    <col min="5" max="6" width="8.7109375" customWidth="1"/>
    <col min="9" max="9" width="13.5703125" customWidth="1"/>
    <col min="10" max="10" width="13.140625" customWidth="1"/>
  </cols>
  <sheetData>
    <row r="2" spans="1:12" ht="69.95" customHeight="1" x14ac:dyDescent="0.2">
      <c r="A2" s="1365"/>
      <c r="B2" s="1365"/>
      <c r="C2" s="1365"/>
      <c r="D2" s="1365"/>
      <c r="E2" s="1365"/>
      <c r="F2" s="1365"/>
      <c r="G2" s="1365"/>
      <c r="H2" s="1365"/>
      <c r="I2" s="1365"/>
      <c r="J2" s="218"/>
    </row>
    <row r="3" spans="1:12" x14ac:dyDescent="0.2">
      <c r="A3" s="1316" t="s">
        <v>79</v>
      </c>
      <c r="B3" s="1317"/>
      <c r="C3" s="1685" t="str">
        <f>ORÇ!B2</f>
        <v>PREFEITURA MUNICIPAL DE OURÉM</v>
      </c>
      <c r="D3" s="1686"/>
      <c r="E3" s="1686"/>
      <c r="F3" s="1686"/>
      <c r="G3" s="1687"/>
      <c r="H3" s="1682" t="s">
        <v>85</v>
      </c>
      <c r="I3" s="1683"/>
      <c r="J3" s="279" t="str">
        <f>ORÇ!I2</f>
        <v>OURÉM/PA</v>
      </c>
    </row>
    <row r="4" spans="1:12" x14ac:dyDescent="0.2">
      <c r="A4" s="1316" t="s">
        <v>80</v>
      </c>
      <c r="B4" s="1317"/>
      <c r="C4" s="1684" t="str">
        <f>ORÇ!B3</f>
        <v>CONSTRUÇÃO DO CENTRO DE FISIOTERAPIA, NO MUNICÍPIO DE OURÉM/PA</v>
      </c>
      <c r="D4" s="1684"/>
      <c r="E4" s="1684"/>
      <c r="F4" s="1684"/>
      <c r="G4" s="1684"/>
      <c r="H4" s="1684"/>
      <c r="I4" s="1684"/>
      <c r="J4" s="1684"/>
    </row>
    <row r="5" spans="1:12" x14ac:dyDescent="0.2">
      <c r="A5" s="1316" t="s">
        <v>161</v>
      </c>
      <c r="B5" s="1317"/>
      <c r="C5" s="1681" t="str">
        <f>ORÇ!B4</f>
        <v>AV. PADRE ANGELO MORETTE, S/Nº - OURÉM/PA</v>
      </c>
      <c r="D5" s="1681"/>
      <c r="E5" s="1681"/>
      <c r="F5" s="1681"/>
      <c r="G5" s="1681"/>
      <c r="H5" s="1681"/>
      <c r="I5" s="1681"/>
      <c r="J5" s="1681"/>
    </row>
    <row r="6" spans="1:12" ht="24" customHeight="1" x14ac:dyDescent="0.2">
      <c r="A6" s="1310" t="s">
        <v>81</v>
      </c>
      <c r="B6" s="1311"/>
      <c r="C6" s="1312">
        <f>ORÇ!B5</f>
        <v>0.2881986483454233</v>
      </c>
      <c r="D6" s="1680"/>
      <c r="E6" s="1342" t="s">
        <v>169</v>
      </c>
      <c r="F6" s="1343"/>
      <c r="G6" s="1482" t="str">
        <f>ORÇ!G5</f>
        <v>SINAPI FEVEREIRO 2022 - DESONERADA                                 SEDOP FEVEREIRO 2022 - DESONERADA</v>
      </c>
      <c r="H6" s="1482"/>
      <c r="I6" s="1482"/>
      <c r="J6" s="1482"/>
    </row>
    <row r="7" spans="1:12" ht="25.5" customHeight="1" x14ac:dyDescent="0.2">
      <c r="A7" s="1316" t="s">
        <v>82</v>
      </c>
      <c r="B7" s="1317"/>
      <c r="C7" s="1672" t="str">
        <f>ORÇ!B6</f>
        <v>MARUZA BAPTISTA</v>
      </c>
      <c r="D7" s="1673"/>
      <c r="E7" s="1342" t="s">
        <v>170</v>
      </c>
      <c r="F7" s="1343"/>
      <c r="G7" s="1678" t="str">
        <f>ORÇ!G7</f>
        <v>CAU: 28510-2 A</v>
      </c>
      <c r="H7" s="1678"/>
      <c r="I7" s="1679"/>
      <c r="J7" s="1678"/>
    </row>
    <row r="8" spans="1:12" ht="13.5" thickBot="1" x14ac:dyDescent="0.25">
      <c r="A8" s="169"/>
      <c r="B8" s="170"/>
      <c r="C8" s="170"/>
      <c r="D8" s="170"/>
      <c r="E8" s="170"/>
      <c r="F8" s="170"/>
      <c r="G8" s="170"/>
      <c r="H8" s="280"/>
      <c r="I8" s="280"/>
      <c r="J8" s="281"/>
    </row>
    <row r="9" spans="1:12" ht="13.5" thickBot="1" x14ac:dyDescent="0.25"/>
    <row r="10" spans="1:12" ht="21" customHeight="1" thickBot="1" x14ac:dyDescent="0.25">
      <c r="A10" s="1674" t="str">
        <f>CONCATENATE("MEMÓRIA DE CÁLCULO ",ORÇ!A12)</f>
        <v>MEMÓRIA DE CÁLCULO 1</v>
      </c>
      <c r="B10" s="1675"/>
      <c r="C10" s="1675"/>
      <c r="D10" s="1675"/>
      <c r="E10" s="1675"/>
      <c r="F10" s="1675"/>
      <c r="G10" s="1675"/>
      <c r="H10" s="1675"/>
      <c r="I10" s="1675"/>
      <c r="J10" s="1676"/>
    </row>
    <row r="11" spans="1:12" ht="12.75" customHeight="1" x14ac:dyDescent="0.2">
      <c r="A11" s="1677" t="str">
        <f>ORÇ!D12</f>
        <v>Administração Local</v>
      </c>
      <c r="B11" s="1677"/>
      <c r="C11" s="1677"/>
      <c r="D11" s="1677"/>
      <c r="E11" s="1677"/>
      <c r="F11" s="1677"/>
      <c r="G11" s="1677"/>
      <c r="H11" s="1677"/>
      <c r="I11" s="1677"/>
      <c r="J11" s="1677"/>
    </row>
    <row r="12" spans="1:12" x14ac:dyDescent="0.2">
      <c r="A12" s="5"/>
      <c r="B12" s="6"/>
      <c r="C12" s="6"/>
      <c r="D12" s="6"/>
      <c r="E12" s="6"/>
      <c r="F12" s="6"/>
      <c r="G12" s="6"/>
      <c r="H12" s="6"/>
      <c r="I12" s="6"/>
      <c r="J12" s="6"/>
      <c r="L12">
        <f>ORÇ!I14</f>
        <v>27719.97</v>
      </c>
    </row>
    <row r="13" spans="1:12" x14ac:dyDescent="0.2">
      <c r="A13" s="77">
        <f>ORÇ!A12</f>
        <v>1</v>
      </c>
      <c r="B13" s="252" t="str">
        <f>ORÇ!D12</f>
        <v>Administração Local</v>
      </c>
      <c r="C13" s="183"/>
      <c r="D13" s="183"/>
      <c r="E13" s="183"/>
      <c r="F13" s="183"/>
      <c r="G13" s="183"/>
      <c r="H13" s="183"/>
      <c r="I13" s="183"/>
      <c r="J13" s="183"/>
      <c r="L13" s="65">
        <f>ORÇ!J12</f>
        <v>2.1121250532994039E-2</v>
      </c>
    </row>
    <row r="14" spans="1:12" x14ac:dyDescent="0.2">
      <c r="A14" s="252" t="str">
        <f>ORÇ!A13</f>
        <v>1.1</v>
      </c>
      <c r="B14" s="252" t="str">
        <f>ORÇ!D13</f>
        <v>ADMINISTRAÇÃO LOCAL DA OBRA</v>
      </c>
      <c r="C14" s="183"/>
      <c r="D14" s="183"/>
      <c r="E14" s="183"/>
      <c r="F14" s="183"/>
      <c r="G14" s="183"/>
      <c r="H14" s="183"/>
      <c r="I14" s="183"/>
      <c r="J14" s="183"/>
    </row>
    <row r="15" spans="1:12" x14ac:dyDescent="0.2">
      <c r="A15" s="252"/>
      <c r="B15" s="198"/>
      <c r="C15" s="198"/>
      <c r="D15" s="198"/>
      <c r="E15" s="198"/>
      <c r="F15" s="198"/>
      <c r="G15" s="198"/>
      <c r="H15" s="198"/>
      <c r="I15" s="198"/>
      <c r="J15" s="198"/>
    </row>
    <row r="16" spans="1:12" ht="13.5" customHeight="1" x14ac:dyDescent="0.2">
      <c r="A16" s="261" t="s">
        <v>234</v>
      </c>
      <c r="B16" s="262"/>
      <c r="C16" s="261"/>
      <c r="D16" s="261"/>
      <c r="E16" s="261"/>
      <c r="F16" s="261"/>
      <c r="G16" s="261"/>
      <c r="H16" s="261"/>
      <c r="I16" s="261"/>
      <c r="J16" s="261"/>
    </row>
    <row r="17" spans="1:10" x14ac:dyDescent="0.2">
      <c r="A17" s="261"/>
      <c r="B17" s="261"/>
      <c r="C17" s="261"/>
      <c r="D17" s="261"/>
      <c r="E17" s="261"/>
      <c r="F17" s="261"/>
      <c r="G17" s="261"/>
      <c r="H17" s="263" t="s">
        <v>237</v>
      </c>
      <c r="I17" s="261"/>
      <c r="J17" s="264" t="s">
        <v>238</v>
      </c>
    </row>
    <row r="18" spans="1:10" x14ac:dyDescent="0.2">
      <c r="A18" s="264"/>
      <c r="B18" s="264" t="s">
        <v>239</v>
      </c>
      <c r="C18" s="264"/>
      <c r="D18" s="264" t="s">
        <v>240</v>
      </c>
      <c r="E18" s="264"/>
      <c r="F18" s="265" t="s">
        <v>241</v>
      </c>
      <c r="G18" s="266"/>
      <c r="H18" s="263" t="s">
        <v>242</v>
      </c>
      <c r="I18" s="261"/>
      <c r="J18" s="264" t="s">
        <v>243</v>
      </c>
    </row>
    <row r="19" spans="1:10" ht="12.75" customHeight="1" x14ac:dyDescent="0.2">
      <c r="A19" s="264" t="s">
        <v>214</v>
      </c>
      <c r="B19" s="267">
        <v>1</v>
      </c>
      <c r="C19" s="267" t="s">
        <v>45</v>
      </c>
      <c r="D19" s="267">
        <v>4</v>
      </c>
      <c r="E19" s="264" t="s">
        <v>46</v>
      </c>
      <c r="F19" s="268">
        <f>ROUND((B19*D19),2)</f>
        <v>4</v>
      </c>
      <c r="G19" s="269" t="s">
        <v>45</v>
      </c>
      <c r="H19" s="264">
        <v>6</v>
      </c>
      <c r="I19" s="264" t="s">
        <v>46</v>
      </c>
      <c r="J19" s="267">
        <f>ROUND(F19*H19,2)</f>
        <v>24</v>
      </c>
    </row>
    <row r="20" spans="1:10" x14ac:dyDescent="0.2">
      <c r="A20" s="264"/>
      <c r="B20" s="264"/>
      <c r="C20" s="264"/>
      <c r="D20" s="264"/>
      <c r="E20" s="264"/>
      <c r="F20" s="264"/>
      <c r="G20" s="264"/>
      <c r="H20" s="264"/>
      <c r="I20" s="261"/>
      <c r="J20" s="261"/>
    </row>
    <row r="21" spans="1:10" x14ac:dyDescent="0.2">
      <c r="A21" s="270" t="s">
        <v>244</v>
      </c>
      <c r="B21" s="270"/>
      <c r="C21" s="270"/>
      <c r="D21" s="270"/>
      <c r="E21" s="270"/>
      <c r="F21" s="270"/>
      <c r="G21" s="270"/>
      <c r="H21" s="270"/>
      <c r="I21" s="270"/>
      <c r="J21" s="270"/>
    </row>
    <row r="22" spans="1:10" x14ac:dyDescent="0.2">
      <c r="A22" s="270"/>
      <c r="B22" s="270"/>
      <c r="C22" s="270"/>
      <c r="D22" s="270"/>
      <c r="E22" s="270"/>
      <c r="F22" s="270"/>
      <c r="G22" s="270"/>
      <c r="H22" s="263" t="s">
        <v>237</v>
      </c>
      <c r="I22" s="270"/>
      <c r="J22" s="264" t="s">
        <v>238</v>
      </c>
    </row>
    <row r="23" spans="1:10" x14ac:dyDescent="0.2">
      <c r="A23" s="264"/>
      <c r="B23" s="264" t="s">
        <v>239</v>
      </c>
      <c r="C23" s="264"/>
      <c r="D23" s="264" t="s">
        <v>240</v>
      </c>
      <c r="E23" s="264"/>
      <c r="F23" s="265" t="s">
        <v>241</v>
      </c>
      <c r="G23" s="266"/>
      <c r="H23" s="263" t="s">
        <v>242</v>
      </c>
      <c r="I23" s="261"/>
      <c r="J23" s="264" t="s">
        <v>243</v>
      </c>
    </row>
    <row r="24" spans="1:10" x14ac:dyDescent="0.2">
      <c r="A24" s="264" t="s">
        <v>214</v>
      </c>
      <c r="B24" s="267">
        <v>8</v>
      </c>
      <c r="C24" s="267" t="s">
        <v>45</v>
      </c>
      <c r="D24" s="267">
        <v>22</v>
      </c>
      <c r="E24" s="264" t="s">
        <v>46</v>
      </c>
      <c r="F24" s="268">
        <f>ROUND((B24*D24),2)</f>
        <v>176</v>
      </c>
      <c r="G24" s="269" t="s">
        <v>45</v>
      </c>
      <c r="H24" s="264">
        <v>6</v>
      </c>
      <c r="I24" s="264" t="s">
        <v>46</v>
      </c>
      <c r="J24" s="267">
        <f>ROUND(F24*H24,2)</f>
        <v>1056</v>
      </c>
    </row>
    <row r="25" spans="1:10" x14ac:dyDescent="0.2">
      <c r="A25" s="193"/>
      <c r="B25" s="193"/>
      <c r="C25" s="193"/>
      <c r="D25" s="193"/>
      <c r="E25" s="193"/>
      <c r="F25" s="193"/>
      <c r="G25" s="193"/>
      <c r="H25" s="251"/>
      <c r="I25" s="251"/>
      <c r="J25" s="198"/>
    </row>
    <row r="26" spans="1:10" x14ac:dyDescent="0.2">
      <c r="A26" s="193"/>
      <c r="B26" s="193"/>
      <c r="C26" s="193"/>
      <c r="D26" s="193"/>
      <c r="E26" s="193"/>
      <c r="F26" s="193"/>
      <c r="G26" s="193"/>
      <c r="H26" s="204"/>
      <c r="I26" s="204"/>
      <c r="J26" s="183"/>
    </row>
    <row r="27" spans="1:10" x14ac:dyDescent="0.2">
      <c r="A27" s="193"/>
      <c r="B27" s="193"/>
      <c r="C27" s="193"/>
      <c r="D27" s="193"/>
      <c r="E27" s="193"/>
      <c r="F27" s="193"/>
      <c r="G27" s="193"/>
      <c r="H27" s="204"/>
      <c r="I27" s="204"/>
      <c r="J27" s="198"/>
    </row>
    <row r="28" spans="1:10" x14ac:dyDescent="0.2">
      <c r="A28" s="193"/>
      <c r="B28" s="193"/>
      <c r="C28" s="193"/>
      <c r="D28" s="193"/>
      <c r="E28" s="193"/>
      <c r="F28" s="193"/>
      <c r="G28" s="193"/>
      <c r="H28" s="250"/>
      <c r="I28" s="250"/>
      <c r="J28" s="198"/>
    </row>
    <row r="29" spans="1:10" x14ac:dyDescent="0.2">
      <c r="A29" s="193"/>
      <c r="B29" s="193"/>
      <c r="C29" s="193"/>
      <c r="D29" s="193"/>
      <c r="E29" s="193"/>
      <c r="F29" s="193"/>
      <c r="G29" s="193"/>
      <c r="H29" s="1669"/>
      <c r="I29" s="1669"/>
      <c r="J29" s="198"/>
    </row>
    <row r="30" spans="1:10" x14ac:dyDescent="0.2">
      <c r="A30" s="193"/>
      <c r="B30" s="193"/>
      <c r="C30" s="193"/>
      <c r="D30" s="193"/>
      <c r="E30" s="193"/>
      <c r="F30" s="193"/>
      <c r="G30" s="193"/>
      <c r="H30" s="251"/>
      <c r="I30" s="251"/>
      <c r="J30" s="198"/>
    </row>
    <row r="31" spans="1:10" x14ac:dyDescent="0.2">
      <c r="A31" s="193"/>
      <c r="B31" s="193"/>
      <c r="C31" s="193"/>
      <c r="D31" s="193"/>
      <c r="E31" s="193"/>
      <c r="F31" s="193"/>
      <c r="G31" s="193"/>
      <c r="H31" s="189"/>
      <c r="I31" s="189"/>
      <c r="J31" s="198"/>
    </row>
    <row r="32" spans="1:10" x14ac:dyDescent="0.2">
      <c r="A32" s="193"/>
      <c r="B32" s="193"/>
      <c r="C32" s="193"/>
      <c r="D32" s="193"/>
      <c r="E32" s="193"/>
      <c r="F32" s="193"/>
      <c r="G32" s="193"/>
      <c r="H32" s="251"/>
      <c r="I32" s="251"/>
      <c r="J32" s="198"/>
    </row>
    <row r="33" spans="1:12" ht="12.75" customHeight="1" x14ac:dyDescent="0.2">
      <c r="A33" s="252"/>
      <c r="B33" s="1670"/>
      <c r="C33" s="1670"/>
      <c r="D33" s="1670"/>
      <c r="E33" s="1670"/>
      <c r="F33" s="1670"/>
      <c r="G33" s="1670"/>
      <c r="H33" s="204"/>
      <c r="I33" s="204"/>
      <c r="J33" s="198"/>
    </row>
    <row r="34" spans="1:12" x14ac:dyDescent="0.2">
      <c r="A34" s="252"/>
      <c r="B34" s="204"/>
      <c r="C34" s="204"/>
      <c r="D34" s="204"/>
      <c r="E34" s="204"/>
      <c r="F34" s="204"/>
      <c r="G34" s="204"/>
      <c r="H34" s="204"/>
      <c r="I34" s="204"/>
      <c r="J34" s="198"/>
    </row>
    <row r="35" spans="1:12" x14ac:dyDescent="0.2">
      <c r="A35" s="252"/>
      <c r="B35" s="181"/>
      <c r="C35" s="190"/>
      <c r="D35" s="190"/>
      <c r="E35" s="190"/>
      <c r="F35" s="190"/>
      <c r="G35" s="251"/>
      <c r="H35" s="251"/>
      <c r="I35" s="251"/>
      <c r="J35" s="198"/>
    </row>
    <row r="36" spans="1:12" x14ac:dyDescent="0.2">
      <c r="A36" s="252"/>
      <c r="B36" s="13"/>
      <c r="C36" s="14"/>
      <c r="D36" s="22"/>
      <c r="E36" s="190"/>
      <c r="F36" s="190"/>
      <c r="G36" s="251"/>
      <c r="H36" s="251"/>
      <c r="I36" s="251"/>
      <c r="J36" s="198"/>
    </row>
    <row r="37" spans="1:12" x14ac:dyDescent="0.2">
      <c r="B37" s="191"/>
      <c r="C37" s="191"/>
      <c r="D37" s="191"/>
      <c r="E37" s="191"/>
      <c r="F37" s="191"/>
      <c r="G37" s="191"/>
      <c r="H37" s="191"/>
      <c r="I37" s="191"/>
    </row>
    <row r="39" spans="1:12" x14ac:dyDescent="0.2">
      <c r="A39" s="234"/>
      <c r="B39" s="1671"/>
      <c r="C39" s="1671"/>
      <c r="D39" s="1671"/>
      <c r="E39" s="1671"/>
      <c r="F39" s="1671"/>
    </row>
    <row r="46" spans="1:12" x14ac:dyDescent="0.2">
      <c r="K46" s="10"/>
      <c r="L46" s="198"/>
    </row>
    <row r="90" spans="1:10" x14ac:dyDescent="0.2">
      <c r="A90" s="19"/>
      <c r="B90" s="4"/>
      <c r="C90" s="4"/>
      <c r="D90" s="4"/>
      <c r="E90" s="4"/>
      <c r="F90" s="4"/>
      <c r="G90" s="4"/>
      <c r="H90" s="4"/>
      <c r="I90" s="4"/>
      <c r="J90" s="4"/>
    </row>
    <row r="91" spans="1:10" x14ac:dyDescent="0.2">
      <c r="A91" s="19"/>
      <c r="B91" s="4"/>
      <c r="C91" s="4"/>
      <c r="D91" s="4"/>
      <c r="E91" s="4"/>
      <c r="F91" s="4"/>
      <c r="G91" s="4"/>
      <c r="H91" s="4"/>
      <c r="I91" s="4"/>
      <c r="J91" s="4"/>
    </row>
    <row r="92" spans="1:10" x14ac:dyDescent="0.2">
      <c r="A92" s="19"/>
      <c r="B92" s="4"/>
      <c r="C92" s="4"/>
      <c r="D92" s="4"/>
      <c r="E92" s="4"/>
      <c r="F92" s="4"/>
      <c r="G92" s="4"/>
      <c r="H92" s="4"/>
      <c r="I92" s="4"/>
      <c r="J92" s="4"/>
    </row>
    <row r="93" spans="1:10" x14ac:dyDescent="0.2">
      <c r="A93" s="19"/>
      <c r="B93" s="4"/>
      <c r="C93" s="4"/>
      <c r="D93" s="4"/>
      <c r="E93" s="4"/>
      <c r="F93" s="4"/>
      <c r="G93" s="4"/>
      <c r="H93" s="4"/>
      <c r="I93" s="4"/>
      <c r="J93" s="4"/>
    </row>
  </sheetData>
  <mergeCells count="21">
    <mergeCell ref="A4:B4"/>
    <mergeCell ref="A2:I2"/>
    <mergeCell ref="A3:B3"/>
    <mergeCell ref="H3:I3"/>
    <mergeCell ref="C4:J4"/>
    <mergeCell ref="C3:G3"/>
    <mergeCell ref="A5:B5"/>
    <mergeCell ref="A6:B6"/>
    <mergeCell ref="C6:D6"/>
    <mergeCell ref="E6:F6"/>
    <mergeCell ref="G6:J6"/>
    <mergeCell ref="C5:J5"/>
    <mergeCell ref="H29:I29"/>
    <mergeCell ref="B33:G33"/>
    <mergeCell ref="B39:F39"/>
    <mergeCell ref="A7:B7"/>
    <mergeCell ref="C7:D7"/>
    <mergeCell ref="E7:F7"/>
    <mergeCell ref="A10:J10"/>
    <mergeCell ref="A11:J11"/>
    <mergeCell ref="G7:J7"/>
  </mergeCells>
  <pageMargins left="0.51181102362204722" right="0.51181102362204722" top="0.78740157480314965" bottom="0.78740157480314965" header="0.31496062992125984" footer="0.31496062992125984"/>
  <pageSetup paperSize="9"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11"/>
  <sheetViews>
    <sheetView showGridLines="0" view="pageBreakPreview" topLeftCell="A22" zoomScale="110" zoomScaleSheetLayoutView="110" workbookViewId="0">
      <selection activeCell="D37" sqref="D37"/>
    </sheetView>
  </sheetViews>
  <sheetFormatPr defaultRowHeight="12.75" x14ac:dyDescent="0.2"/>
  <cols>
    <col min="1" max="1" width="10.28515625" customWidth="1"/>
    <col min="2" max="2" width="9.42578125" customWidth="1"/>
    <col min="3" max="3" width="11.42578125" customWidth="1"/>
    <col min="4" max="4" width="11.7109375" customWidth="1"/>
    <col min="5" max="5" width="8.7109375" customWidth="1"/>
    <col min="6" max="6" width="9.85546875" customWidth="1"/>
    <col min="7" max="7" width="9.42578125" customWidth="1"/>
    <col min="9" max="9" width="13.5703125" customWidth="1"/>
  </cols>
  <sheetData>
    <row r="2" spans="1:10" ht="69.95" customHeight="1" x14ac:dyDescent="0.2">
      <c r="A2" s="1365"/>
      <c r="B2" s="1365"/>
      <c r="C2" s="1365"/>
      <c r="D2" s="1365"/>
      <c r="E2" s="1365"/>
      <c r="F2" s="1365"/>
      <c r="G2" s="1365"/>
      <c r="H2" s="1365"/>
      <c r="I2" s="1365"/>
      <c r="J2" s="218"/>
    </row>
    <row r="3" spans="1:10" x14ac:dyDescent="0.2">
      <c r="A3" s="1316" t="s">
        <v>79</v>
      </c>
      <c r="B3" s="1317"/>
      <c r="C3" s="1688" t="str">
        <f>ORÇ!B2</f>
        <v>PREFEITURA MUNICIPAL DE OURÉM</v>
      </c>
      <c r="D3" s="1689"/>
      <c r="E3" s="1690"/>
      <c r="F3" s="1326" t="s">
        <v>85</v>
      </c>
      <c r="G3" s="1327"/>
      <c r="H3" s="1697" t="str">
        <f>ORÇ!I2</f>
        <v>OURÉM/PA</v>
      </c>
      <c r="I3" s="1698"/>
    </row>
    <row r="4" spans="1:10" x14ac:dyDescent="0.2">
      <c r="A4" s="1316" t="s">
        <v>80</v>
      </c>
      <c r="B4" s="1317"/>
      <c r="C4" s="1688" t="str">
        <f>ORÇ!B3</f>
        <v>CONSTRUÇÃO DO CENTRO DE FISIOTERAPIA, NO MUNICÍPIO DE OURÉM/PA</v>
      </c>
      <c r="D4" s="1689"/>
      <c r="E4" s="1689"/>
      <c r="F4" s="1689"/>
      <c r="G4" s="1689"/>
      <c r="H4" s="1689"/>
      <c r="I4" s="1690"/>
    </row>
    <row r="5" spans="1:10" ht="12.75" customHeight="1" x14ac:dyDescent="0.2">
      <c r="A5" s="1316" t="s">
        <v>161</v>
      </c>
      <c r="B5" s="1317"/>
      <c r="C5" s="1688" t="str">
        <f>ORÇ!B4</f>
        <v>AV. PADRE ANGELO MORETTE, S/Nº - OURÉM/PA</v>
      </c>
      <c r="D5" s="1689"/>
      <c r="E5" s="1689"/>
      <c r="F5" s="1689"/>
      <c r="G5" s="1689"/>
      <c r="H5" s="1689"/>
      <c r="I5" s="1690"/>
    </row>
    <row r="6" spans="1:10" ht="12.75" customHeight="1" x14ac:dyDescent="0.2">
      <c r="A6" s="1310" t="s">
        <v>81</v>
      </c>
      <c r="B6" s="1311"/>
      <c r="C6" s="1691">
        <f>ORÇ!B5</f>
        <v>0.2881986483454233</v>
      </c>
      <c r="D6" s="1692"/>
      <c r="E6" s="1693" t="s">
        <v>169</v>
      </c>
      <c r="F6" s="1694"/>
      <c r="G6" s="1333" t="str">
        <f>ORÇ!G5</f>
        <v>SINAPI FEVEREIRO 2022 - DESONERADA                                 SEDOP FEVEREIRO 2022 - DESONERADA</v>
      </c>
      <c r="H6" s="1334"/>
      <c r="I6" s="1335"/>
    </row>
    <row r="7" spans="1:10" ht="12.75" customHeight="1" x14ac:dyDescent="0.2">
      <c r="A7" s="1701" t="s">
        <v>82</v>
      </c>
      <c r="B7" s="1702"/>
      <c r="C7" s="1705" t="str">
        <f>ORÇ!B6</f>
        <v>MARUZA BAPTISTA</v>
      </c>
      <c r="D7" s="1705"/>
      <c r="E7" s="1695"/>
      <c r="F7" s="1696"/>
      <c r="G7" s="1336"/>
      <c r="H7" s="1337"/>
      <c r="I7" s="1338"/>
      <c r="J7" s="63"/>
    </row>
    <row r="8" spans="1:10" ht="13.5" thickBot="1" x14ac:dyDescent="0.25">
      <c r="A8" s="1703"/>
      <c r="B8" s="1704"/>
      <c r="C8" s="1706"/>
      <c r="D8" s="1706"/>
      <c r="E8" s="1342" t="s">
        <v>170</v>
      </c>
      <c r="F8" s="1343"/>
      <c r="G8" s="1344" t="str">
        <f>ORÇ!G7</f>
        <v>CAU: 28510-2 A</v>
      </c>
      <c r="H8" s="1344"/>
      <c r="I8" s="1344"/>
    </row>
    <row r="9" spans="1:10" ht="8.25" customHeight="1" thickBot="1" x14ac:dyDescent="0.25"/>
    <row r="10" spans="1:10" ht="17.25" customHeight="1" thickBot="1" x14ac:dyDescent="0.25">
      <c r="A10" s="1707" t="str">
        <f>CONCATENATE("MEMÓRIA DE CÁLCULO ",ORÇ!A15)</f>
        <v>MEMÓRIA DE CÁLCULO 2</v>
      </c>
      <c r="B10" s="1708"/>
      <c r="C10" s="1708"/>
      <c r="D10" s="1708"/>
      <c r="E10" s="1708"/>
      <c r="F10" s="1708"/>
      <c r="G10" s="1708"/>
      <c r="H10" s="1708"/>
      <c r="I10" s="1709"/>
      <c r="J10" s="67"/>
    </row>
    <row r="11" spans="1:10" ht="12.75" customHeight="1" x14ac:dyDescent="0.2">
      <c r="A11" s="1677" t="str">
        <f>ORÇ!D15</f>
        <v xml:space="preserve">Serviços Preliminares </v>
      </c>
      <c r="B11" s="1677"/>
      <c r="C11" s="1677"/>
      <c r="D11" s="1677"/>
      <c r="E11" s="1677"/>
      <c r="F11" s="1677"/>
      <c r="G11" s="1677"/>
      <c r="H11" s="1677"/>
      <c r="I11" s="1677"/>
      <c r="J11" s="126"/>
    </row>
    <row r="12" spans="1:10" ht="6.75" customHeight="1" x14ac:dyDescent="0.2">
      <c r="A12" s="5"/>
      <c r="B12" s="6"/>
      <c r="C12" s="6"/>
      <c r="D12" s="6"/>
      <c r="E12" s="6"/>
      <c r="F12" s="6"/>
      <c r="G12" s="6"/>
      <c r="H12" s="6"/>
      <c r="I12" s="6"/>
      <c r="J12" s="6"/>
    </row>
    <row r="13" spans="1:10" x14ac:dyDescent="0.2">
      <c r="A13" s="30">
        <f>ORÇ!A15</f>
        <v>2</v>
      </c>
      <c r="B13" s="7" t="str">
        <f>ORÇ!D15</f>
        <v xml:space="preserve">Serviços Preliminares </v>
      </c>
      <c r="C13" s="8"/>
      <c r="D13" s="8"/>
      <c r="E13" s="8"/>
      <c r="F13" s="8"/>
      <c r="G13" s="8"/>
      <c r="H13" s="8"/>
      <c r="I13" s="8"/>
      <c r="J13" s="8"/>
    </row>
    <row r="14" spans="1:10" x14ac:dyDescent="0.2">
      <c r="A14" s="183" t="str">
        <f>ORÇ!A16</f>
        <v>2.1</v>
      </c>
      <c r="B14" s="1712" t="str">
        <f>ORÇ!D16</f>
        <v>PLACA DE OBRA EM LONA COM PLOTAGEM DE GRÁFICA</v>
      </c>
      <c r="C14" s="1712"/>
      <c r="D14" s="1712"/>
      <c r="E14" s="1712"/>
      <c r="F14" s="1712"/>
      <c r="G14" s="1712"/>
      <c r="H14" s="8"/>
      <c r="I14" s="8"/>
      <c r="J14" s="8"/>
    </row>
    <row r="15" spans="1:10" ht="9" customHeight="1" x14ac:dyDescent="0.2">
      <c r="A15" s="7"/>
      <c r="B15" s="9"/>
      <c r="C15" s="9"/>
      <c r="D15" s="9"/>
      <c r="E15" s="9"/>
      <c r="F15" s="9"/>
      <c r="G15" s="9"/>
      <c r="H15" s="9"/>
      <c r="I15" s="9"/>
      <c r="J15" s="9"/>
    </row>
    <row r="16" spans="1:10" ht="13.5" customHeight="1" x14ac:dyDescent="0.2">
      <c r="A16" s="7"/>
      <c r="B16" s="9" t="s">
        <v>44</v>
      </c>
      <c r="C16" s="196">
        <v>3</v>
      </c>
      <c r="D16" s="196" t="s">
        <v>45</v>
      </c>
      <c r="E16" s="196">
        <v>2</v>
      </c>
      <c r="F16" s="9"/>
      <c r="G16" s="9"/>
      <c r="H16" s="9"/>
      <c r="I16" s="9"/>
      <c r="J16" s="9"/>
    </row>
    <row r="17" spans="1:10" x14ac:dyDescent="0.2">
      <c r="A17" s="7"/>
      <c r="B17" s="70" t="s">
        <v>44</v>
      </c>
      <c r="C17" s="71">
        <f>ROUND((C16*E16),2)</f>
        <v>6</v>
      </c>
      <c r="D17" s="72" t="s">
        <v>4</v>
      </c>
      <c r="E17" s="9"/>
      <c r="F17" s="9"/>
      <c r="G17" s="9"/>
      <c r="H17" s="9"/>
      <c r="I17" s="9"/>
      <c r="J17" s="9"/>
    </row>
    <row r="18" spans="1:10" ht="9" customHeight="1" x14ac:dyDescent="0.2">
      <c r="A18" s="7"/>
      <c r="B18" s="9"/>
      <c r="C18" s="9"/>
      <c r="D18" s="9"/>
      <c r="E18" s="9"/>
      <c r="F18" s="9"/>
      <c r="G18" s="9"/>
      <c r="H18" s="9"/>
      <c r="I18" s="9"/>
      <c r="J18" s="9"/>
    </row>
    <row r="19" spans="1:10" s="139" customFormat="1" ht="17.25" customHeight="1" x14ac:dyDescent="0.2">
      <c r="A19" s="337" t="str">
        <f>ORÇ!A17</f>
        <v>2.2</v>
      </c>
      <c r="B19" s="1713" t="str">
        <f>ORÇ!D17</f>
        <v>LICENÇAS E TAXAS DA OBRA (ACIMA DE 500M2)</v>
      </c>
      <c r="C19" s="1713"/>
      <c r="D19" s="1713"/>
      <c r="E19" s="1713"/>
      <c r="F19" s="1713"/>
      <c r="G19" s="1713"/>
      <c r="H19" s="337"/>
      <c r="I19" s="337"/>
      <c r="J19" s="337"/>
    </row>
    <row r="20" spans="1:10" ht="9" customHeight="1" x14ac:dyDescent="0.2">
      <c r="A20" s="1233"/>
      <c r="B20" s="198"/>
      <c r="C20" s="198"/>
      <c r="D20" s="198"/>
      <c r="E20" s="198"/>
      <c r="F20" s="198"/>
      <c r="G20" s="198"/>
      <c r="H20" s="198"/>
      <c r="I20" s="198"/>
      <c r="J20" s="198"/>
    </row>
    <row r="21" spans="1:10" x14ac:dyDescent="0.2">
      <c r="A21" s="1233"/>
      <c r="B21" s="70" t="s">
        <v>44</v>
      </c>
      <c r="C21" s="71">
        <v>1</v>
      </c>
      <c r="D21" s="408" t="s">
        <v>2591</v>
      </c>
      <c r="E21" s="198"/>
      <c r="F21" s="198"/>
      <c r="G21" s="198"/>
      <c r="H21" s="198"/>
      <c r="I21" s="198"/>
      <c r="J21" s="198"/>
    </row>
    <row r="22" spans="1:10" ht="9" customHeight="1" x14ac:dyDescent="0.2">
      <c r="A22" s="1233"/>
      <c r="B22" s="198"/>
      <c r="C22" s="198"/>
      <c r="D22" s="198"/>
      <c r="E22" s="198"/>
      <c r="F22" s="198"/>
      <c r="G22" s="198"/>
      <c r="H22" s="198"/>
      <c r="I22" s="198"/>
      <c r="J22" s="198"/>
    </row>
    <row r="23" spans="1:10" s="139" customFormat="1" ht="18" customHeight="1" x14ac:dyDescent="0.2">
      <c r="A23" s="337" t="str">
        <f>ORÇ!A18</f>
        <v>2.3</v>
      </c>
      <c r="B23" s="1710" t="str">
        <f>ORÇ!D18</f>
        <v>LIMPEZA MANUAL DE VEGETAÇÃO EM TERRENO COM ENXADA.AF_05/2018</v>
      </c>
      <c r="C23" s="1710"/>
      <c r="D23" s="1710"/>
      <c r="E23" s="1710"/>
      <c r="F23" s="1710"/>
      <c r="G23" s="1710"/>
      <c r="H23" s="1710"/>
      <c r="I23" s="1710"/>
      <c r="J23" s="420"/>
    </row>
    <row r="24" spans="1:10" ht="9.75" customHeight="1" x14ac:dyDescent="0.2">
      <c r="A24" s="277"/>
      <c r="B24" s="208"/>
      <c r="C24" s="208"/>
      <c r="D24" s="208"/>
      <c r="E24" s="208"/>
      <c r="F24" s="208"/>
      <c r="G24" s="198"/>
      <c r="H24" s="198"/>
      <c r="I24" s="198"/>
      <c r="J24" s="198"/>
    </row>
    <row r="25" spans="1:10" ht="44.25" customHeight="1" x14ac:dyDescent="0.2">
      <c r="A25" s="1233"/>
      <c r="B25" s="1700" t="s">
        <v>2608</v>
      </c>
      <c r="C25" s="1700"/>
      <c r="D25" s="1700"/>
      <c r="E25" s="1700"/>
      <c r="F25" s="1700"/>
      <c r="G25" s="1700"/>
      <c r="H25" s="1700"/>
      <c r="I25" s="1700"/>
      <c r="J25" s="198"/>
    </row>
    <row r="26" spans="1:10" x14ac:dyDescent="0.2">
      <c r="A26" s="302"/>
      <c r="B26" s="301"/>
      <c r="C26" s="99" t="s">
        <v>216</v>
      </c>
      <c r="D26" s="208"/>
      <c r="E26" s="99" t="s">
        <v>405</v>
      </c>
      <c r="F26" s="208"/>
      <c r="G26" s="99" t="s">
        <v>213</v>
      </c>
      <c r="H26" s="301"/>
      <c r="I26" s="301"/>
      <c r="J26" s="198"/>
    </row>
    <row r="27" spans="1:10" x14ac:dyDescent="0.2">
      <c r="A27" s="277"/>
      <c r="B27" s="198" t="s">
        <v>44</v>
      </c>
      <c r="C27" s="198">
        <v>55</v>
      </c>
      <c r="D27" s="10" t="s">
        <v>45</v>
      </c>
      <c r="E27" s="198">
        <v>16.7</v>
      </c>
      <c r="F27" s="13" t="s">
        <v>46</v>
      </c>
      <c r="G27" s="340">
        <f>ROUND(C27*E27,2)</f>
        <v>918.5</v>
      </c>
      <c r="H27" s="198"/>
      <c r="I27" s="198"/>
      <c r="J27" s="198"/>
    </row>
    <row r="28" spans="1:10" ht="9" customHeight="1" x14ac:dyDescent="0.2">
      <c r="A28" s="336"/>
      <c r="B28" s="198"/>
      <c r="C28" s="198"/>
      <c r="D28" s="10"/>
      <c r="E28" s="198"/>
      <c r="F28" s="13"/>
      <c r="G28" s="340"/>
      <c r="H28" s="198"/>
      <c r="I28" s="198"/>
      <c r="J28" s="198"/>
    </row>
    <row r="29" spans="1:10" x14ac:dyDescent="0.2">
      <c r="A29" s="277"/>
      <c r="B29" s="70" t="s">
        <v>44</v>
      </c>
      <c r="C29" s="71">
        <f>ROUND((C27*E27),2)</f>
        <v>918.5</v>
      </c>
      <c r="D29" s="72" t="s">
        <v>4</v>
      </c>
      <c r="E29" s="198"/>
      <c r="F29" s="186"/>
      <c r="G29" s="198"/>
      <c r="H29" s="198"/>
      <c r="I29" s="198"/>
      <c r="J29" s="198"/>
    </row>
    <row r="30" spans="1:10" ht="9.75" customHeight="1" x14ac:dyDescent="0.2">
      <c r="A30" s="277"/>
      <c r="B30" s="198"/>
      <c r="C30" s="198"/>
      <c r="D30" s="198"/>
      <c r="E30" s="198"/>
      <c r="F30" s="198"/>
      <c r="G30" s="198"/>
      <c r="H30" s="198"/>
      <c r="I30" s="198"/>
      <c r="J30" s="198"/>
    </row>
    <row r="31" spans="1:10" x14ac:dyDescent="0.2">
      <c r="A31" s="183" t="str">
        <f>ORÇ!A19</f>
        <v>2.4</v>
      </c>
      <c r="B31" s="1712" t="str">
        <f>ORÇ!D19</f>
        <v>DESTOCAMENTO MANUAL DE ARVORES D=30CM</v>
      </c>
      <c r="C31" s="1712"/>
      <c r="D31" s="1712"/>
      <c r="E31" s="1712"/>
      <c r="F31" s="1712"/>
      <c r="G31" s="1712"/>
      <c r="H31" s="183"/>
      <c r="I31" s="183"/>
      <c r="J31" s="183"/>
    </row>
    <row r="32" spans="1:10" ht="8.25" customHeight="1" x14ac:dyDescent="0.2">
      <c r="A32" s="750"/>
      <c r="B32" s="198"/>
      <c r="C32" s="198"/>
      <c r="D32" s="198"/>
      <c r="E32" s="198"/>
      <c r="F32" s="198"/>
      <c r="G32" s="198"/>
      <c r="H32" s="198"/>
      <c r="I32" s="198"/>
      <c r="J32" s="198"/>
    </row>
    <row r="33" spans="1:10" x14ac:dyDescent="0.2">
      <c r="A33" s="750"/>
      <c r="B33" s="249" t="s">
        <v>47</v>
      </c>
      <c r="C33" s="514">
        <v>5</v>
      </c>
      <c r="D33" s="408" t="s">
        <v>668</v>
      </c>
      <c r="E33" s="198"/>
      <c r="F33" s="198"/>
      <c r="G33" s="198"/>
      <c r="H33" s="198"/>
      <c r="I33" s="198"/>
      <c r="J33" s="198"/>
    </row>
    <row r="34" spans="1:10" ht="9" customHeight="1" x14ac:dyDescent="0.2">
      <c r="A34" s="750"/>
      <c r="B34" s="198"/>
      <c r="C34" s="198"/>
      <c r="D34" s="198"/>
      <c r="E34" s="198"/>
      <c r="F34" s="198"/>
      <c r="G34" s="198"/>
      <c r="H34" s="198"/>
      <c r="I34" s="198"/>
      <c r="J34" s="198"/>
    </row>
    <row r="35" spans="1:10" s="139" customFormat="1" ht="18.75" customHeight="1" x14ac:dyDescent="0.2">
      <c r="A35" s="337" t="str">
        <f>ORÇ!A20</f>
        <v>2.5</v>
      </c>
      <c r="B35" s="1710" t="str">
        <f>ORÇ!D20</f>
        <v>LOCAÇÃO DA OBRA A TRENA</v>
      </c>
      <c r="C35" s="1710"/>
      <c r="D35" s="1710"/>
      <c r="E35" s="1710"/>
      <c r="F35" s="1710"/>
      <c r="G35" s="95"/>
      <c r="H35" s="95"/>
      <c r="I35" s="95"/>
      <c r="J35" s="420"/>
    </row>
    <row r="36" spans="1:10" ht="8.25" customHeight="1" x14ac:dyDescent="0.2">
      <c r="A36" s="97"/>
      <c r="B36" s="208"/>
      <c r="C36" s="208"/>
      <c r="D36" s="208"/>
      <c r="E36" s="208"/>
      <c r="F36" s="208"/>
      <c r="G36" s="208"/>
      <c r="H36" s="208"/>
      <c r="I36" s="208"/>
      <c r="J36" s="96"/>
    </row>
    <row r="37" spans="1:10" ht="15.75" customHeight="1" x14ac:dyDescent="0.2">
      <c r="A37" s="310"/>
      <c r="B37" s="208"/>
      <c r="C37" s="421" t="s">
        <v>340</v>
      </c>
      <c r="D37" s="208"/>
      <c r="E37" s="208"/>
      <c r="F37" s="208"/>
      <c r="G37" s="208"/>
      <c r="H37" s="208"/>
      <c r="I37" s="208"/>
      <c r="J37" s="198"/>
    </row>
    <row r="38" spans="1:10" ht="13.5" customHeight="1" x14ac:dyDescent="0.2">
      <c r="A38" s="336"/>
      <c r="B38" s="208"/>
      <c r="C38" s="99" t="s">
        <v>216</v>
      </c>
      <c r="D38" s="208"/>
      <c r="E38" s="99" t="s">
        <v>405</v>
      </c>
      <c r="F38" s="208"/>
      <c r="G38" s="99" t="s">
        <v>213</v>
      </c>
      <c r="H38" s="208"/>
      <c r="I38" s="208"/>
      <c r="J38" s="198"/>
    </row>
    <row r="39" spans="1:10" x14ac:dyDescent="0.2">
      <c r="A39" s="129"/>
      <c r="B39" s="198" t="s">
        <v>44</v>
      </c>
      <c r="C39" s="198">
        <v>34.5</v>
      </c>
      <c r="D39" s="10" t="s">
        <v>45</v>
      </c>
      <c r="E39" s="198">
        <v>17.649999999999999</v>
      </c>
      <c r="F39" s="13" t="s">
        <v>46</v>
      </c>
      <c r="G39" s="22">
        <f>ROUND(C39*E39,2)</f>
        <v>608.92999999999995</v>
      </c>
      <c r="H39" s="13"/>
      <c r="I39" s="15"/>
      <c r="J39" s="68"/>
    </row>
    <row r="40" spans="1:10" ht="9.75" customHeight="1" x14ac:dyDescent="0.2">
      <c r="A40" s="336"/>
      <c r="B40" s="198"/>
      <c r="C40" s="198"/>
      <c r="D40" s="10"/>
      <c r="E40" s="198"/>
      <c r="F40" s="13"/>
      <c r="G40" s="340"/>
      <c r="H40" s="13"/>
      <c r="I40" s="335"/>
      <c r="J40" s="198"/>
    </row>
    <row r="41" spans="1:10" x14ac:dyDescent="0.2">
      <c r="A41" s="129"/>
      <c r="B41" s="70" t="s">
        <v>44</v>
      </c>
      <c r="C41" s="71">
        <f>G39</f>
        <v>608.92999999999995</v>
      </c>
      <c r="D41" s="72" t="s">
        <v>4</v>
      </c>
      <c r="E41" s="198"/>
      <c r="F41" s="186"/>
      <c r="G41" s="187"/>
      <c r="H41" s="13"/>
      <c r="I41" s="14"/>
      <c r="J41" s="9"/>
    </row>
    <row r="42" spans="1:10" ht="9" customHeight="1" x14ac:dyDescent="0.2">
      <c r="A42" s="129"/>
      <c r="B42" s="15"/>
      <c r="C42" s="15"/>
      <c r="D42" s="184"/>
      <c r="E42" s="15"/>
      <c r="F42" s="13"/>
      <c r="G42" s="14"/>
      <c r="H42" s="13"/>
      <c r="I42" s="15"/>
      <c r="J42" s="94"/>
    </row>
    <row r="43" spans="1:10" s="139" customFormat="1" ht="18.75" customHeight="1" x14ac:dyDescent="0.2">
      <c r="A43" s="884" t="str">
        <f>ORÇ!A21</f>
        <v>2.6</v>
      </c>
      <c r="B43" s="1711" t="str">
        <f>ORÇ!D21</f>
        <v>BARRACÃO DE MADEIRA/ALMOXARIFADO</v>
      </c>
      <c r="C43" s="1711"/>
      <c r="D43" s="1711"/>
      <c r="E43" s="1711"/>
      <c r="F43" s="1711"/>
      <c r="G43" s="1711"/>
      <c r="H43" s="1281"/>
      <c r="I43" s="1281"/>
      <c r="J43" s="337"/>
    </row>
    <row r="44" spans="1:10" ht="9" customHeight="1" x14ac:dyDescent="0.2">
      <c r="A44" s="7"/>
      <c r="B44" s="204"/>
      <c r="C44" s="204"/>
      <c r="D44" s="204"/>
      <c r="E44" s="204"/>
      <c r="F44" s="204"/>
      <c r="G44" s="204"/>
      <c r="H44" s="204"/>
      <c r="I44" s="204"/>
      <c r="J44" s="9"/>
    </row>
    <row r="45" spans="1:10" x14ac:dyDescent="0.2">
      <c r="A45" s="76"/>
      <c r="B45" s="198" t="s">
        <v>44</v>
      </c>
      <c r="C45" s="198">
        <v>2</v>
      </c>
      <c r="D45" s="10" t="s">
        <v>45</v>
      </c>
      <c r="E45" s="198">
        <v>6</v>
      </c>
      <c r="F45" s="188"/>
      <c r="G45" s="188"/>
      <c r="H45" s="188"/>
      <c r="I45" s="188"/>
      <c r="J45" s="74"/>
    </row>
    <row r="46" spans="1:10" ht="11.25" customHeight="1" x14ac:dyDescent="0.2">
      <c r="A46" s="12"/>
      <c r="B46" s="70" t="s">
        <v>44</v>
      </c>
      <c r="C46" s="71">
        <f>ROUND((C45*E45),2)</f>
        <v>12</v>
      </c>
      <c r="D46" s="72" t="s">
        <v>4</v>
      </c>
      <c r="E46" s="198"/>
      <c r="F46" s="184"/>
      <c r="G46" s="15"/>
      <c r="H46" s="1669"/>
      <c r="I46" s="1669"/>
      <c r="J46" s="9"/>
    </row>
    <row r="47" spans="1:10" x14ac:dyDescent="0.2">
      <c r="A47" s="12"/>
      <c r="B47" s="15"/>
      <c r="C47" s="15"/>
      <c r="D47" s="184"/>
      <c r="E47" s="15"/>
      <c r="F47" s="184"/>
      <c r="G47" s="15"/>
      <c r="H47" s="15"/>
      <c r="I47" s="15"/>
      <c r="J47" s="128"/>
    </row>
    <row r="48" spans="1:10" x14ac:dyDescent="0.2">
      <c r="A48" s="245" t="str">
        <f>ORÇ!A22</f>
        <v>2.7</v>
      </c>
      <c r="B48" s="1670" t="str">
        <f>ORÇ!D22</f>
        <v>BOTA FORA MANUAL C/ DMT=200M</v>
      </c>
      <c r="C48" s="1670"/>
      <c r="D48" s="1670"/>
      <c r="E48" s="1670"/>
      <c r="F48" s="1670"/>
      <c r="G48" s="1670"/>
      <c r="H48" s="189"/>
      <c r="I48" s="189"/>
      <c r="J48" s="9"/>
    </row>
    <row r="49" spans="1:12" ht="7.5" customHeight="1" x14ac:dyDescent="0.2">
      <c r="A49" s="7"/>
      <c r="B49" s="13"/>
      <c r="C49" s="14"/>
      <c r="D49" s="13"/>
      <c r="E49" s="15"/>
      <c r="F49" s="15"/>
      <c r="G49" s="15"/>
      <c r="H49" s="15"/>
      <c r="I49" s="15"/>
      <c r="J49" s="9"/>
    </row>
    <row r="50" spans="1:12" ht="12.75" customHeight="1" x14ac:dyDescent="0.2">
      <c r="A50" s="7"/>
      <c r="B50" s="99" t="s">
        <v>413</v>
      </c>
      <c r="C50" s="99"/>
      <c r="D50" s="99" t="s">
        <v>414</v>
      </c>
      <c r="E50" s="99"/>
      <c r="F50" s="99" t="s">
        <v>312</v>
      </c>
      <c r="G50" s="204"/>
      <c r="H50" s="204"/>
      <c r="I50" s="204"/>
      <c r="J50" s="9"/>
    </row>
    <row r="51" spans="1:12" x14ac:dyDescent="0.2">
      <c r="A51" s="196" t="s">
        <v>47</v>
      </c>
      <c r="B51" s="198">
        <f>C29</f>
        <v>918.5</v>
      </c>
      <c r="C51" s="196" t="s">
        <v>45</v>
      </c>
      <c r="D51" s="198">
        <v>0.1</v>
      </c>
      <c r="E51" s="196" t="s">
        <v>46</v>
      </c>
      <c r="F51" s="198">
        <f>ROUND(B51*D51,2)</f>
        <v>91.85</v>
      </c>
      <c r="G51" s="204"/>
      <c r="H51" s="204"/>
      <c r="I51" s="204"/>
      <c r="J51" s="24"/>
    </row>
    <row r="52" spans="1:12" ht="9" customHeight="1" x14ac:dyDescent="0.2">
      <c r="A52" s="76"/>
      <c r="B52" s="181"/>
      <c r="C52" s="190"/>
      <c r="D52" s="190"/>
      <c r="E52" s="190"/>
      <c r="F52" s="190"/>
      <c r="G52" s="15"/>
      <c r="H52" s="15"/>
      <c r="I52" s="15"/>
      <c r="J52" s="74"/>
    </row>
    <row r="53" spans="1:12" x14ac:dyDescent="0.2">
      <c r="A53" s="25"/>
      <c r="B53" s="249" t="s">
        <v>47</v>
      </c>
      <c r="C53" s="71">
        <f>F51</f>
        <v>91.85</v>
      </c>
      <c r="D53" s="72" t="s">
        <v>4</v>
      </c>
      <c r="E53" s="190"/>
      <c r="F53" s="190"/>
      <c r="G53" s="15"/>
      <c r="H53" s="15"/>
      <c r="I53" s="15"/>
      <c r="J53" s="24"/>
    </row>
    <row r="54" spans="1:12" ht="7.5" customHeight="1" x14ac:dyDescent="0.2">
      <c r="B54" s="191"/>
      <c r="C54" s="191"/>
      <c r="D54" s="191"/>
      <c r="E54" s="191"/>
      <c r="F54" s="191"/>
      <c r="G54" s="191"/>
      <c r="H54" s="191"/>
      <c r="I54" s="191"/>
    </row>
    <row r="55" spans="1:12" x14ac:dyDescent="0.2">
      <c r="A55" s="245" t="str">
        <f>ORÇ!A23</f>
        <v>2.8</v>
      </c>
      <c r="B55" s="1670" t="str">
        <f>ORÇ!D23</f>
        <v>TAPUME COM TELHA METÁLICA. AF_05/2018</v>
      </c>
      <c r="C55" s="1670"/>
      <c r="D55" s="1670"/>
      <c r="E55" s="1670"/>
      <c r="F55" s="1670"/>
      <c r="G55" s="1670"/>
      <c r="H55" s="189"/>
      <c r="I55" s="189"/>
      <c r="J55" s="198"/>
    </row>
    <row r="56" spans="1:12" ht="8.25" customHeight="1" x14ac:dyDescent="0.2">
      <c r="A56" s="413"/>
      <c r="B56" s="13"/>
      <c r="C56" s="14"/>
      <c r="D56" s="13"/>
      <c r="E56" s="412"/>
      <c r="F56" s="412"/>
      <c r="G56" s="412"/>
      <c r="H56" s="412"/>
      <c r="I56" s="412"/>
      <c r="J56" s="198"/>
    </row>
    <row r="57" spans="1:12" ht="12.75" customHeight="1" x14ac:dyDescent="0.2">
      <c r="A57" s="413"/>
      <c r="B57" s="196" t="s">
        <v>520</v>
      </c>
      <c r="C57" s="196"/>
      <c r="D57" s="196" t="s">
        <v>311</v>
      </c>
      <c r="E57" s="99"/>
      <c r="F57" s="99" t="s">
        <v>213</v>
      </c>
      <c r="G57" s="204"/>
      <c r="H57" s="204"/>
      <c r="I57" s="204"/>
      <c r="J57" s="198"/>
    </row>
    <row r="58" spans="1:12" ht="25.5" x14ac:dyDescent="0.2">
      <c r="A58" s="419" t="s">
        <v>521</v>
      </c>
      <c r="B58" s="162">
        <v>19.7</v>
      </c>
      <c r="C58" s="162" t="s">
        <v>45</v>
      </c>
      <c r="D58" s="162">
        <v>2</v>
      </c>
      <c r="E58" s="162" t="s">
        <v>46</v>
      </c>
      <c r="F58" s="420">
        <f>ROUND(B58*D58,2)</f>
        <v>39.4</v>
      </c>
      <c r="G58" s="204"/>
      <c r="H58" s="204"/>
      <c r="I58" s="204"/>
      <c r="J58" s="198"/>
    </row>
    <row r="59" spans="1:12" ht="25.5" x14ac:dyDescent="0.2">
      <c r="A59" s="419" t="s">
        <v>522</v>
      </c>
      <c r="B59" s="162">
        <v>5</v>
      </c>
      <c r="C59" s="162" t="s">
        <v>45</v>
      </c>
      <c r="D59" s="162">
        <v>2</v>
      </c>
      <c r="E59" s="162" t="s">
        <v>46</v>
      </c>
      <c r="F59" s="420">
        <f>ROUND(B59*D59,2)</f>
        <v>10</v>
      </c>
      <c r="G59" s="204"/>
      <c r="H59" s="1699" t="s">
        <v>2605</v>
      </c>
      <c r="I59" s="1699"/>
      <c r="J59" s="198"/>
    </row>
    <row r="60" spans="1:12" ht="9" customHeight="1" x14ac:dyDescent="0.2">
      <c r="A60" s="413"/>
      <c r="B60" s="414"/>
      <c r="C60" s="190"/>
      <c r="D60" s="190"/>
      <c r="E60" s="190"/>
      <c r="F60" s="190"/>
      <c r="G60" s="412"/>
      <c r="H60" s="1699"/>
      <c r="I60" s="1699"/>
      <c r="J60" s="198"/>
    </row>
    <row r="61" spans="1:12" x14ac:dyDescent="0.2">
      <c r="A61" s="413"/>
      <c r="B61" s="249" t="s">
        <v>47</v>
      </c>
      <c r="C61" s="71">
        <f>ROUND(SUM(F58:F59),2)</f>
        <v>49.4</v>
      </c>
      <c r="D61" s="72" t="s">
        <v>4</v>
      </c>
      <c r="E61" s="190"/>
      <c r="F61" s="190"/>
      <c r="G61" s="412"/>
      <c r="H61" s="1699"/>
      <c r="I61" s="1699"/>
      <c r="J61" s="198"/>
    </row>
    <row r="62" spans="1:12" x14ac:dyDescent="0.2">
      <c r="B62" s="191"/>
      <c r="C62" s="191"/>
      <c r="D62" s="191"/>
      <c r="E62" s="191"/>
      <c r="F62" s="191"/>
      <c r="G62" s="191"/>
      <c r="H62" s="191"/>
      <c r="I62" s="191"/>
    </row>
    <row r="64" spans="1:12" x14ac:dyDescent="0.2">
      <c r="K64" s="10"/>
      <c r="L64" s="16"/>
    </row>
    <row r="108" spans="1:10" x14ac:dyDescent="0.2">
      <c r="A108" s="19"/>
      <c r="B108" s="4"/>
      <c r="C108" s="4"/>
      <c r="D108" s="4"/>
      <c r="E108" s="4"/>
      <c r="F108" s="4"/>
      <c r="G108" s="4"/>
      <c r="H108" s="4"/>
      <c r="I108" s="4"/>
      <c r="J108" s="4"/>
    </row>
    <row r="109" spans="1:10" x14ac:dyDescent="0.2">
      <c r="A109" s="19"/>
      <c r="B109" s="4"/>
      <c r="C109" s="4"/>
      <c r="D109" s="4"/>
      <c r="E109" s="4"/>
      <c r="F109" s="4"/>
      <c r="G109" s="4"/>
      <c r="H109" s="4"/>
      <c r="I109" s="4"/>
      <c r="J109" s="4"/>
    </row>
    <row r="110" spans="1:10" x14ac:dyDescent="0.2">
      <c r="A110" s="19"/>
      <c r="B110" s="4"/>
      <c r="C110" s="4"/>
      <c r="D110" s="4"/>
      <c r="E110" s="4"/>
      <c r="F110" s="4"/>
      <c r="G110" s="4"/>
      <c r="H110" s="4"/>
      <c r="I110" s="4"/>
      <c r="J110" s="4"/>
    </row>
    <row r="111" spans="1:10" x14ac:dyDescent="0.2">
      <c r="A111" s="19"/>
      <c r="B111" s="4"/>
      <c r="C111" s="4"/>
      <c r="D111" s="4"/>
      <c r="E111" s="4"/>
      <c r="F111" s="4"/>
      <c r="G111" s="4"/>
      <c r="H111" s="4"/>
      <c r="I111" s="4"/>
      <c r="J111" s="4"/>
    </row>
  </sheetData>
  <mergeCells count="30">
    <mergeCell ref="H59:I61"/>
    <mergeCell ref="B25:I25"/>
    <mergeCell ref="B48:G48"/>
    <mergeCell ref="A7:B8"/>
    <mergeCell ref="C7:D8"/>
    <mergeCell ref="A10:I10"/>
    <mergeCell ref="A11:I11"/>
    <mergeCell ref="B35:F35"/>
    <mergeCell ref="B43:G43"/>
    <mergeCell ref="B14:G14"/>
    <mergeCell ref="B23:I23"/>
    <mergeCell ref="B31:G31"/>
    <mergeCell ref="G6:I7"/>
    <mergeCell ref="B19:G19"/>
    <mergeCell ref="B55:G55"/>
    <mergeCell ref="H46:I46"/>
    <mergeCell ref="A2:I2"/>
    <mergeCell ref="H3:I3"/>
    <mergeCell ref="F3:G3"/>
    <mergeCell ref="C3:E3"/>
    <mergeCell ref="C4:I4"/>
    <mergeCell ref="A4:B4"/>
    <mergeCell ref="A3:B3"/>
    <mergeCell ref="A5:B5"/>
    <mergeCell ref="C5:I5"/>
    <mergeCell ref="A6:B6"/>
    <mergeCell ref="C6:D6"/>
    <mergeCell ref="E8:F8"/>
    <mergeCell ref="G8:I8"/>
    <mergeCell ref="E6:F7"/>
  </mergeCells>
  <pageMargins left="0.51181102362204722" right="0.51181102362204722" top="0.78740157480314965" bottom="0.78740157480314965" header="0.31496062992125984" footer="0.31496062992125984"/>
  <pageSetup paperSize="9" scale="76"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70"/>
  <sheetViews>
    <sheetView showGridLines="0" view="pageBreakPreview" zoomScale="110" zoomScaleSheetLayoutView="110" workbookViewId="0">
      <selection activeCell="A11" sqref="A11:J11"/>
    </sheetView>
  </sheetViews>
  <sheetFormatPr defaultRowHeight="12.75" x14ac:dyDescent="0.2"/>
  <cols>
    <col min="1" max="1" width="10.28515625" customWidth="1"/>
    <col min="2" max="2" width="13.28515625" customWidth="1"/>
    <col min="3" max="3" width="17.7109375" customWidth="1"/>
    <col min="5" max="5" width="12.28515625" customWidth="1"/>
    <col min="6" max="6" width="11.140625" customWidth="1"/>
    <col min="7" max="7" width="11.42578125" customWidth="1"/>
    <col min="9" max="9" width="13.5703125" customWidth="1"/>
  </cols>
  <sheetData>
    <row r="2" spans="1:11" ht="69.95" customHeight="1" x14ac:dyDescent="0.2">
      <c r="A2" s="1365"/>
      <c r="B2" s="1365"/>
      <c r="C2" s="1365"/>
      <c r="D2" s="1365"/>
      <c r="E2" s="1365"/>
      <c r="F2" s="1365"/>
      <c r="G2" s="1365"/>
      <c r="H2" s="1365"/>
      <c r="I2" s="1365"/>
      <c r="J2" s="218"/>
    </row>
    <row r="3" spans="1:11" x14ac:dyDescent="0.2">
      <c r="A3" s="1316" t="s">
        <v>79</v>
      </c>
      <c r="B3" s="1317"/>
      <c r="C3" s="1688" t="str">
        <f>ORÇ!B2</f>
        <v>PREFEITURA MUNICIPAL DE OURÉM</v>
      </c>
      <c r="D3" s="1689"/>
      <c r="E3" s="1690"/>
      <c r="F3" s="1326" t="s">
        <v>85</v>
      </c>
      <c r="G3" s="1327"/>
      <c r="H3" s="1697" t="str">
        <f>ORÇ!I2</f>
        <v>OURÉM/PA</v>
      </c>
      <c r="I3" s="1698"/>
    </row>
    <row r="4" spans="1:11" x14ac:dyDescent="0.2">
      <c r="A4" s="1316" t="s">
        <v>80</v>
      </c>
      <c r="B4" s="1317"/>
      <c r="C4" s="1688" t="str">
        <f>ORÇ!B3</f>
        <v>CONSTRUÇÃO DO CENTRO DE FISIOTERAPIA, NO MUNICÍPIO DE OURÉM/PA</v>
      </c>
      <c r="D4" s="1689"/>
      <c r="E4" s="1689"/>
      <c r="F4" s="1689"/>
      <c r="G4" s="1689"/>
      <c r="H4" s="1689"/>
      <c r="I4" s="1690"/>
    </row>
    <row r="5" spans="1:11" x14ac:dyDescent="0.2">
      <c r="A5" s="1316" t="s">
        <v>161</v>
      </c>
      <c r="B5" s="1317"/>
      <c r="C5" s="1688" t="str">
        <f>ORÇ!B4</f>
        <v>AV. PADRE ANGELO MORETTE, S/Nº - OURÉM/PA</v>
      </c>
      <c r="D5" s="1689"/>
      <c r="E5" s="1689"/>
      <c r="F5" s="1689"/>
      <c r="G5" s="1689"/>
      <c r="H5" s="1689"/>
      <c r="I5" s="1690"/>
    </row>
    <row r="6" spans="1:11" x14ac:dyDescent="0.2">
      <c r="A6" s="1310" t="s">
        <v>81</v>
      </c>
      <c r="B6" s="1311"/>
      <c r="C6" s="1691">
        <f>ORÇ!B5</f>
        <v>0.2881986483454233</v>
      </c>
      <c r="D6" s="1692"/>
      <c r="E6" s="1693" t="s">
        <v>169</v>
      </c>
      <c r="F6" s="1694"/>
      <c r="G6" s="1333" t="str">
        <f>ORÇ!G5</f>
        <v>SINAPI FEVEREIRO 2022 - DESONERADA                                 SEDOP FEVEREIRO 2022 - DESONERADA</v>
      </c>
      <c r="H6" s="1334"/>
      <c r="I6" s="1335"/>
    </row>
    <row r="7" spans="1:11" x14ac:dyDescent="0.2">
      <c r="A7" s="1714" t="s">
        <v>82</v>
      </c>
      <c r="B7" s="1715"/>
      <c r="C7" s="1718" t="str">
        <f>ORÇ!B6</f>
        <v>MARUZA BAPTISTA</v>
      </c>
      <c r="D7" s="1719"/>
      <c r="E7" s="1695"/>
      <c r="F7" s="1696"/>
      <c r="G7" s="1336"/>
      <c r="H7" s="1337"/>
      <c r="I7" s="1338"/>
      <c r="J7" s="63"/>
    </row>
    <row r="8" spans="1:11" x14ac:dyDescent="0.2">
      <c r="A8" s="1716"/>
      <c r="B8" s="1717"/>
      <c r="C8" s="1720"/>
      <c r="D8" s="1721"/>
      <c r="E8" s="1342" t="s">
        <v>170</v>
      </c>
      <c r="F8" s="1343"/>
      <c r="G8" s="1722" t="str">
        <f>ORÇ!G7</f>
        <v>CAU: 28510-2 A</v>
      </c>
      <c r="H8" s="1722"/>
      <c r="I8" s="1722"/>
      <c r="J8" s="63"/>
    </row>
    <row r="9" spans="1:11" s="307" customFormat="1" ht="13.5" thickBot="1" x14ac:dyDescent="0.25">
      <c r="A9" s="415"/>
      <c r="B9" s="415"/>
      <c r="C9" s="415"/>
      <c r="D9" s="415"/>
      <c r="E9" s="416"/>
      <c r="F9" s="416"/>
      <c r="G9" s="417"/>
      <c r="H9" s="417"/>
      <c r="I9" s="417"/>
      <c r="J9" s="418"/>
    </row>
    <row r="10" spans="1:11" s="139" customFormat="1" ht="17.25" customHeight="1" thickBot="1" x14ac:dyDescent="0.25">
      <c r="A10" s="1707" t="str">
        <f>CONCATENATE("MEMÓRIA DE CÁLCULO ",ORÇ!A25)</f>
        <v>MEMÓRIA DE CÁLCULO 3</v>
      </c>
      <c r="B10" s="1708"/>
      <c r="C10" s="1708"/>
      <c r="D10" s="1708"/>
      <c r="E10" s="1708"/>
      <c r="F10" s="1708"/>
      <c r="G10" s="1708"/>
      <c r="H10" s="1708"/>
      <c r="I10" s="1709"/>
    </row>
    <row r="11" spans="1:11" x14ac:dyDescent="0.2">
      <c r="J11" s="67"/>
      <c r="K11" s="67"/>
    </row>
    <row r="12" spans="1:11" ht="12.75" customHeight="1" x14ac:dyDescent="0.2">
      <c r="A12" s="1677" t="str">
        <f>ORÇ!D25</f>
        <v>Movimento de Terra</v>
      </c>
      <c r="B12" s="1677"/>
      <c r="C12" s="1677"/>
      <c r="D12" s="1677"/>
      <c r="E12" s="1677"/>
      <c r="F12" s="1677"/>
      <c r="G12" s="1677"/>
      <c r="H12" s="1677"/>
      <c r="I12" s="1677"/>
      <c r="J12" s="126"/>
      <c r="K12" s="126"/>
    </row>
    <row r="13" spans="1:11" x14ac:dyDescent="0.2">
      <c r="A13" s="5"/>
      <c r="B13" s="6"/>
      <c r="C13" s="6"/>
      <c r="D13" s="6"/>
      <c r="E13" s="6"/>
      <c r="F13" s="6"/>
      <c r="G13" s="6"/>
      <c r="H13" s="6"/>
      <c r="I13" s="6"/>
      <c r="J13" s="6"/>
    </row>
    <row r="14" spans="1:11" x14ac:dyDescent="0.2">
      <c r="A14" s="226">
        <f>ORÇ!A25</f>
        <v>3</v>
      </c>
      <c r="B14" s="145" t="str">
        <f>ORÇ!D25</f>
        <v>Movimento de Terra</v>
      </c>
      <c r="C14" s="173"/>
      <c r="D14" s="173"/>
      <c r="E14" s="173"/>
      <c r="F14" s="173"/>
      <c r="G14" s="173"/>
      <c r="H14" s="173"/>
      <c r="I14" s="173"/>
      <c r="J14" s="173"/>
    </row>
    <row r="15" spans="1:11" ht="18" customHeight="1" x14ac:dyDescent="0.2">
      <c r="A15" s="227" t="str">
        <f>ORÇ!A26</f>
        <v>3.1</v>
      </c>
      <c r="B15" s="1724" t="str">
        <f>ORÇ!D26</f>
        <v>ATERRO MANUAL DE VALAS COM SOLO ARGILO-ARENOSO E COMPACTAÇÃO MECANIZADA. AF_05/2016</v>
      </c>
      <c r="C15" s="1724"/>
      <c r="D15" s="1724"/>
      <c r="E15" s="1724"/>
      <c r="F15" s="1724"/>
      <c r="G15" s="1724"/>
      <c r="H15" s="1724"/>
      <c r="I15" s="1724"/>
      <c r="J15" s="173"/>
    </row>
    <row r="16" spans="1:11" s="21" customFormat="1" ht="12" customHeight="1" x14ac:dyDescent="0.2">
      <c r="A16" s="99"/>
      <c r="B16" s="1723"/>
      <c r="C16" s="1723"/>
      <c r="D16" s="483"/>
      <c r="E16" s="185"/>
      <c r="F16" s="484"/>
      <c r="G16" s="185"/>
      <c r="H16" s="483"/>
      <c r="I16" s="476"/>
      <c r="J16" s="196"/>
    </row>
    <row r="17" spans="1:20" s="490" customFormat="1" ht="30" customHeight="1" x14ac:dyDescent="0.2">
      <c r="A17" s="402"/>
      <c r="B17" s="1051" t="s">
        <v>1870</v>
      </c>
      <c r="C17" s="459" t="s">
        <v>496</v>
      </c>
      <c r="D17" s="459"/>
      <c r="E17" s="459" t="s">
        <v>1868</v>
      </c>
      <c r="F17" s="459"/>
      <c r="G17" s="459" t="s">
        <v>312</v>
      </c>
      <c r="H17" s="402"/>
    </row>
    <row r="18" spans="1:20" s="490" customFormat="1" ht="15" customHeight="1" x14ac:dyDescent="0.2">
      <c r="B18" s="1061"/>
      <c r="C18" s="493">
        <v>5.89</v>
      </c>
      <c r="D18" s="491" t="s">
        <v>45</v>
      </c>
      <c r="E18" s="493">
        <v>19.7</v>
      </c>
      <c r="F18" s="491" t="s">
        <v>46</v>
      </c>
      <c r="G18" s="493">
        <f>ROUND(C18*E18,2)</f>
        <v>116.03</v>
      </c>
      <c r="H18" s="402"/>
    </row>
    <row r="19" spans="1:20" s="458" customFormat="1" ht="12" customHeight="1" x14ac:dyDescent="0.2">
      <c r="A19" s="486"/>
      <c r="B19" s="487"/>
      <c r="C19" s="487"/>
      <c r="D19" s="487"/>
      <c r="E19" s="487"/>
      <c r="F19" s="487"/>
      <c r="G19" s="487"/>
      <c r="H19" s="487"/>
      <c r="I19" s="487"/>
      <c r="J19" s="485"/>
    </row>
    <row r="20" spans="1:20" s="140" customFormat="1" ht="15.75" customHeight="1" x14ac:dyDescent="0.2">
      <c r="A20" s="488"/>
      <c r="B20" s="492" t="s">
        <v>312</v>
      </c>
      <c r="C20" s="1060">
        <f>ROUND(SUM(G18:G18),2)</f>
        <v>116.03</v>
      </c>
      <c r="D20" s="488"/>
      <c r="E20" s="488"/>
      <c r="F20" s="488"/>
      <c r="G20" s="488"/>
      <c r="H20" s="488"/>
      <c r="I20" s="488"/>
      <c r="J20" s="162"/>
    </row>
    <row r="21" spans="1:20" s="21" customFormat="1" ht="12" customHeight="1" x14ac:dyDescent="0.2">
      <c r="A21" s="489"/>
      <c r="C21" s="488"/>
      <c r="D21" s="488"/>
      <c r="E21" s="488"/>
      <c r="F21" s="488"/>
      <c r="G21" s="488"/>
      <c r="H21" s="488"/>
      <c r="I21" s="488"/>
    </row>
    <row r="22" spans="1:20" s="21" customFormat="1" ht="12" customHeight="1" x14ac:dyDescent="0.2">
      <c r="A22" s="488"/>
      <c r="B22" s="488"/>
      <c r="C22" s="488"/>
      <c r="D22" s="488"/>
      <c r="E22" s="488"/>
      <c r="F22" s="488"/>
      <c r="G22" s="488"/>
      <c r="H22" s="488"/>
      <c r="I22" s="488"/>
    </row>
    <row r="23" spans="1:20" ht="12.75" customHeight="1" x14ac:dyDescent="0.2">
      <c r="A23" s="248"/>
      <c r="B23" s="248"/>
      <c r="C23" s="248"/>
      <c r="D23" s="248"/>
      <c r="E23" s="248"/>
      <c r="F23" s="248"/>
      <c r="G23" s="248"/>
      <c r="H23" s="248"/>
      <c r="I23" s="248"/>
    </row>
    <row r="24" spans="1:20" ht="12.75" customHeight="1" x14ac:dyDescent="0.2">
      <c r="A24" s="248"/>
      <c r="B24" s="248"/>
      <c r="C24" s="248"/>
      <c r="D24" s="248"/>
      <c r="E24" s="248"/>
      <c r="F24" s="248"/>
      <c r="G24" s="248"/>
      <c r="H24" s="248"/>
      <c r="I24" s="248"/>
    </row>
    <row r="25" spans="1:20" ht="12.75" customHeight="1" x14ac:dyDescent="0.2">
      <c r="A25" s="248"/>
      <c r="B25" s="248"/>
      <c r="C25" s="248"/>
      <c r="D25" s="248"/>
      <c r="E25" s="248"/>
      <c r="F25" s="248"/>
      <c r="G25" s="248"/>
      <c r="H25" s="248"/>
      <c r="I25" s="248"/>
      <c r="S25" s="10"/>
      <c r="T25" s="172"/>
    </row>
    <row r="26" spans="1:20" ht="12.75" customHeight="1" x14ac:dyDescent="0.2">
      <c r="A26" s="248"/>
      <c r="B26" s="248"/>
      <c r="C26" s="248"/>
      <c r="D26" s="248"/>
      <c r="E26" s="248"/>
      <c r="F26" s="248"/>
      <c r="G26" s="248"/>
      <c r="H26" s="248"/>
      <c r="I26" s="248"/>
    </row>
    <row r="27" spans="1:20" ht="12.75" customHeight="1" x14ac:dyDescent="0.2">
      <c r="A27" s="248"/>
      <c r="B27" s="248"/>
      <c r="C27" s="248"/>
      <c r="D27" s="248"/>
      <c r="E27" s="248"/>
      <c r="F27" s="248"/>
      <c r="G27" s="248"/>
      <c r="H27" s="248"/>
      <c r="I27" s="248"/>
    </row>
    <row r="28" spans="1:20" ht="12.75" customHeight="1" x14ac:dyDescent="0.2">
      <c r="A28" s="248"/>
      <c r="B28" s="248"/>
      <c r="C28" s="248"/>
      <c r="D28" s="248"/>
      <c r="E28" s="248"/>
      <c r="F28" s="248"/>
      <c r="G28" s="248"/>
      <c r="H28" s="248"/>
      <c r="I28" s="248"/>
    </row>
    <row r="29" spans="1:20" ht="12.75" customHeight="1" x14ac:dyDescent="0.2">
      <c r="A29" s="248"/>
      <c r="B29" s="248"/>
      <c r="C29" s="248"/>
      <c r="D29" s="248"/>
      <c r="E29" s="248"/>
      <c r="F29" s="248"/>
      <c r="G29" s="248"/>
      <c r="H29" s="248"/>
      <c r="I29" s="248"/>
    </row>
    <row r="30" spans="1:20" ht="27.75" customHeight="1" x14ac:dyDescent="0.2">
      <c r="A30" s="248"/>
      <c r="B30" s="248"/>
      <c r="C30" s="248"/>
      <c r="D30" s="248"/>
      <c r="E30" s="248"/>
      <c r="F30" s="248"/>
      <c r="G30" s="248"/>
      <c r="H30" s="248"/>
      <c r="I30" s="248"/>
    </row>
    <row r="31" spans="1:20" ht="26.25" customHeight="1" x14ac:dyDescent="0.2">
      <c r="A31" s="248"/>
      <c r="B31" s="248"/>
      <c r="C31" s="248"/>
      <c r="D31" s="248"/>
      <c r="E31" s="248"/>
      <c r="F31" s="248"/>
      <c r="G31" s="248"/>
      <c r="H31" s="248"/>
      <c r="I31" s="248"/>
    </row>
    <row r="32" spans="1:20" ht="12.75" customHeight="1" x14ac:dyDescent="0.2">
      <c r="A32" s="248"/>
      <c r="B32" s="248"/>
      <c r="C32" s="248"/>
      <c r="D32" s="248"/>
      <c r="E32" s="248"/>
      <c r="F32" s="248"/>
      <c r="G32" s="248"/>
      <c r="H32" s="248"/>
      <c r="I32" s="248"/>
    </row>
    <row r="33" spans="1:9" ht="12.75" customHeight="1" x14ac:dyDescent="0.2">
      <c r="A33" s="248"/>
      <c r="B33" s="248"/>
      <c r="C33" s="248"/>
      <c r="D33" s="248"/>
      <c r="E33" s="248"/>
      <c r="F33" s="248"/>
      <c r="G33" s="248"/>
      <c r="H33" s="248"/>
      <c r="I33" s="248"/>
    </row>
    <row r="34" spans="1:9" ht="12.75" customHeight="1" x14ac:dyDescent="0.2">
      <c r="A34" s="248"/>
      <c r="B34" s="248"/>
      <c r="C34" s="248"/>
      <c r="D34" s="248"/>
      <c r="E34" s="248"/>
      <c r="F34" s="248"/>
      <c r="G34" s="248"/>
      <c r="H34" s="248"/>
      <c r="I34" s="248"/>
    </row>
    <row r="35" spans="1:9" ht="12.75" customHeight="1" x14ac:dyDescent="0.2">
      <c r="A35" s="248"/>
      <c r="B35" s="248"/>
      <c r="C35" s="248"/>
      <c r="D35" s="248"/>
      <c r="E35" s="248"/>
      <c r="F35" s="248"/>
      <c r="G35" s="248"/>
      <c r="H35" s="248"/>
      <c r="I35" s="248"/>
    </row>
    <row r="36" spans="1:9" ht="12.75" customHeight="1" x14ac:dyDescent="0.2">
      <c r="A36" s="248"/>
      <c r="B36" s="248"/>
      <c r="C36" s="248"/>
      <c r="D36" s="248"/>
      <c r="E36" s="248"/>
      <c r="F36" s="248"/>
      <c r="G36" s="248"/>
      <c r="H36" s="248"/>
      <c r="I36" s="248"/>
    </row>
    <row r="37" spans="1:9" ht="12.75" customHeight="1" x14ac:dyDescent="0.2">
      <c r="A37" s="248"/>
      <c r="B37" s="248"/>
      <c r="C37" s="248"/>
      <c r="D37" s="248"/>
      <c r="E37" s="248"/>
      <c r="F37" s="248"/>
      <c r="G37" s="248"/>
      <c r="H37" s="248"/>
      <c r="I37" s="248"/>
    </row>
    <row r="38" spans="1:9" ht="28.5" customHeight="1" x14ac:dyDescent="0.2">
      <c r="A38" s="248"/>
      <c r="B38" s="248"/>
      <c r="C38" s="248"/>
      <c r="D38" s="248"/>
      <c r="E38" s="248"/>
      <c r="F38" s="248"/>
      <c r="G38" s="248"/>
      <c r="H38" s="248"/>
      <c r="I38" s="248"/>
    </row>
    <row r="39" spans="1:9" ht="12.75" customHeight="1" x14ac:dyDescent="0.2">
      <c r="A39" s="248"/>
      <c r="B39" s="248"/>
      <c r="C39" s="248"/>
      <c r="D39" s="248"/>
      <c r="E39" s="248"/>
      <c r="F39" s="248"/>
      <c r="G39" s="248"/>
      <c r="H39" s="248"/>
      <c r="I39" s="248"/>
    </row>
    <row r="40" spans="1:9" ht="12.75" customHeight="1" x14ac:dyDescent="0.2">
      <c r="A40" s="248"/>
      <c r="B40" s="248"/>
      <c r="C40" s="248"/>
      <c r="D40" s="248"/>
      <c r="E40" s="248"/>
      <c r="F40" s="248"/>
      <c r="G40" s="248"/>
      <c r="H40" s="248"/>
      <c r="I40" s="248"/>
    </row>
    <row r="41" spans="1:9" ht="12.75" customHeight="1" x14ac:dyDescent="0.2">
      <c r="A41" s="248"/>
      <c r="B41" s="248"/>
      <c r="C41" s="248"/>
      <c r="D41" s="248"/>
      <c r="E41" s="248"/>
      <c r="F41" s="248"/>
      <c r="G41" s="248"/>
      <c r="H41" s="248"/>
      <c r="I41" s="248"/>
    </row>
    <row r="42" spans="1:9" ht="12.75" customHeight="1" x14ac:dyDescent="0.2">
      <c r="A42" s="248"/>
      <c r="B42" s="248"/>
      <c r="C42" s="248"/>
      <c r="D42" s="248"/>
      <c r="E42" s="248"/>
      <c r="F42" s="248"/>
      <c r="G42" s="248"/>
      <c r="H42" s="248"/>
      <c r="I42" s="248"/>
    </row>
    <row r="43" spans="1:9" x14ac:dyDescent="0.2">
      <c r="A43" s="27"/>
      <c r="B43" s="27"/>
      <c r="C43" s="27"/>
      <c r="D43" s="27"/>
      <c r="E43" s="27"/>
      <c r="F43" s="27"/>
      <c r="G43" s="27"/>
      <c r="H43" s="27"/>
      <c r="I43" s="27"/>
    </row>
    <row r="44" spans="1:9" x14ac:dyDescent="0.2">
      <c r="A44" s="27"/>
      <c r="B44" s="27"/>
      <c r="C44" s="27"/>
      <c r="D44" s="27"/>
      <c r="E44" s="27"/>
      <c r="F44" s="27"/>
      <c r="G44" s="27"/>
      <c r="H44" s="27"/>
      <c r="I44" s="27"/>
    </row>
    <row r="45" spans="1:9" x14ac:dyDescent="0.2">
      <c r="A45" s="27"/>
      <c r="B45" s="27"/>
      <c r="C45" s="27"/>
      <c r="D45" s="27"/>
      <c r="E45" s="27"/>
      <c r="F45" s="27"/>
      <c r="G45" s="27"/>
      <c r="H45" s="27"/>
      <c r="I45" s="27"/>
    </row>
    <row r="67" spans="1:11" x14ac:dyDescent="0.2">
      <c r="A67" s="19"/>
      <c r="B67" s="4"/>
      <c r="C67" s="4"/>
      <c r="D67" s="4"/>
      <c r="E67" s="4"/>
      <c r="F67" s="4"/>
      <c r="G67" s="4"/>
      <c r="H67" s="4"/>
      <c r="I67" s="4"/>
      <c r="J67" s="4"/>
      <c r="K67" s="4"/>
    </row>
    <row r="68" spans="1:11" x14ac:dyDescent="0.2">
      <c r="A68" s="19"/>
      <c r="B68" s="4"/>
      <c r="C68" s="4"/>
      <c r="D68" s="4"/>
      <c r="E68" s="4"/>
      <c r="F68" s="4"/>
      <c r="G68" s="4"/>
      <c r="H68" s="4"/>
      <c r="I68" s="4"/>
      <c r="J68" s="4"/>
      <c r="K68" s="4"/>
    </row>
    <row r="69" spans="1:11" x14ac:dyDescent="0.2">
      <c r="A69" s="19"/>
      <c r="B69" s="4"/>
      <c r="C69" s="4"/>
      <c r="D69" s="4"/>
      <c r="E69" s="4"/>
      <c r="F69" s="4"/>
      <c r="G69" s="4"/>
      <c r="H69" s="4"/>
      <c r="I69" s="4"/>
      <c r="J69" s="4"/>
      <c r="K69" s="4"/>
    </row>
    <row r="70" spans="1:11" x14ac:dyDescent="0.2">
      <c r="A70" s="19"/>
      <c r="B70" s="4"/>
      <c r="C70" s="4"/>
      <c r="D70" s="4"/>
      <c r="E70" s="4"/>
      <c r="F70" s="4"/>
      <c r="G70" s="4"/>
      <c r="H70" s="4"/>
      <c r="I70" s="4"/>
      <c r="J70" s="4"/>
      <c r="K70" s="4"/>
    </row>
  </sheetData>
  <mergeCells count="21">
    <mergeCell ref="B16:C16"/>
    <mergeCell ref="B15:I15"/>
    <mergeCell ref="A10:I10"/>
    <mergeCell ref="A12:I12"/>
    <mergeCell ref="G6:I7"/>
    <mergeCell ref="A2:I2"/>
    <mergeCell ref="E6:F7"/>
    <mergeCell ref="A7:B8"/>
    <mergeCell ref="C7:D8"/>
    <mergeCell ref="E8:F8"/>
    <mergeCell ref="G8:I8"/>
    <mergeCell ref="A5:B5"/>
    <mergeCell ref="C5:I5"/>
    <mergeCell ref="A6:B6"/>
    <mergeCell ref="C6:D6"/>
    <mergeCell ref="A3:B3"/>
    <mergeCell ref="C3:E3"/>
    <mergeCell ref="F3:G3"/>
    <mergeCell ref="H3:I3"/>
    <mergeCell ref="A4:B4"/>
    <mergeCell ref="C4:I4"/>
  </mergeCells>
  <phoneticPr fontId="6" type="noConversion"/>
  <pageMargins left="0.51181102362204722" right="0.51181102362204722" top="0.78740157480314965" bottom="0.78740157480314965" header="0.31496062992125984" footer="0.31496062992125984"/>
  <pageSetup paperSize="9" scale="43"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82"/>
  <sheetViews>
    <sheetView showGridLines="0" view="pageBreakPreview" topLeftCell="A510" zoomScaleSheetLayoutView="100" workbookViewId="0">
      <selection activeCell="A11" sqref="A11:J11"/>
    </sheetView>
  </sheetViews>
  <sheetFormatPr defaultRowHeight="12.75" x14ac:dyDescent="0.2"/>
  <cols>
    <col min="1" max="1" width="8.7109375" customWidth="1"/>
    <col min="2" max="2" width="10.85546875" customWidth="1"/>
    <col min="3" max="3" width="11.140625" customWidth="1"/>
    <col min="4" max="4" width="10.85546875" customWidth="1"/>
    <col min="5" max="5" width="11.5703125" customWidth="1"/>
    <col min="7" max="7" width="11.42578125" customWidth="1"/>
    <col min="8" max="9" width="12.28515625" customWidth="1"/>
  </cols>
  <sheetData>
    <row r="2" spans="1:11" ht="69.95" customHeight="1" x14ac:dyDescent="0.2">
      <c r="A2" s="215"/>
      <c r="B2" s="1365"/>
      <c r="C2" s="1365"/>
      <c r="D2" s="1365"/>
      <c r="E2" s="1365"/>
      <c r="F2" s="1365"/>
      <c r="G2" s="1365"/>
      <c r="H2" s="1365"/>
      <c r="I2" s="1365"/>
      <c r="J2" s="218"/>
    </row>
    <row r="3" spans="1:11" ht="17.25" customHeight="1" x14ac:dyDescent="0.2">
      <c r="A3" s="1316" t="s">
        <v>79</v>
      </c>
      <c r="B3" s="1317"/>
      <c r="C3" s="1321" t="str">
        <f>ORÇ!B2</f>
        <v>PREFEITURA MUNICIPAL DE OURÉM</v>
      </c>
      <c r="D3" s="1738"/>
      <c r="E3" s="1738"/>
      <c r="F3" s="1738"/>
      <c r="G3" s="1322"/>
      <c r="H3" s="1326" t="s">
        <v>85</v>
      </c>
      <c r="I3" s="1327"/>
      <c r="J3" s="1737" t="str">
        <f>ORÇ!I2</f>
        <v>OURÉM/PA</v>
      </c>
      <c r="K3" s="1458"/>
    </row>
    <row r="4" spans="1:11" ht="17.25" customHeight="1" x14ac:dyDescent="0.2">
      <c r="A4" s="1316" t="s">
        <v>80</v>
      </c>
      <c r="B4" s="1317"/>
      <c r="C4" s="1684" t="str">
        <f>ORÇ!B3</f>
        <v>CONSTRUÇÃO DO CENTRO DE FISIOTERAPIA, NO MUNICÍPIO DE OURÉM/PA</v>
      </c>
      <c r="D4" s="1684"/>
      <c r="E4" s="1684"/>
      <c r="F4" s="1684"/>
      <c r="G4" s="1684"/>
      <c r="H4" s="1684"/>
      <c r="I4" s="1684"/>
      <c r="J4" s="1684"/>
      <c r="K4" s="1684"/>
    </row>
    <row r="5" spans="1:11" ht="18" customHeight="1" x14ac:dyDescent="0.2">
      <c r="A5" s="1316" t="s">
        <v>161</v>
      </c>
      <c r="B5" s="1317"/>
      <c r="C5" s="1681" t="str">
        <f>ORÇ!B4</f>
        <v>AV. PADRE ANGELO MORETTE, S/Nº - OURÉM/PA</v>
      </c>
      <c r="D5" s="1681"/>
      <c r="E5" s="1681"/>
      <c r="F5" s="1681"/>
      <c r="G5" s="1681"/>
      <c r="H5" s="1681"/>
      <c r="I5" s="1681"/>
      <c r="J5" s="1681"/>
      <c r="K5" s="1681"/>
    </row>
    <row r="6" spans="1:11" ht="28.5" customHeight="1" x14ac:dyDescent="0.2">
      <c r="A6" s="1310" t="s">
        <v>81</v>
      </c>
      <c r="B6" s="1311"/>
      <c r="C6" s="1312">
        <f>ORÇ!B5</f>
        <v>0.2881986483454233</v>
      </c>
      <c r="D6" s="1680"/>
      <c r="E6" s="1342" t="s">
        <v>169</v>
      </c>
      <c r="F6" s="1343"/>
      <c r="G6" s="1482" t="str">
        <f>ORÇ!G5</f>
        <v>SINAPI FEVEREIRO 2022 - DESONERADA                                 SEDOP FEVEREIRO 2022 - DESONERADA</v>
      </c>
      <c r="H6" s="1482"/>
      <c r="I6" s="1482"/>
      <c r="J6" s="1482"/>
      <c r="K6" s="1482"/>
    </row>
    <row r="7" spans="1:11" ht="33" customHeight="1" x14ac:dyDescent="0.2">
      <c r="A7" s="1736" t="s">
        <v>82</v>
      </c>
      <c r="B7" s="1736"/>
      <c r="C7" s="1672" t="str">
        <f>ORÇ!B6</f>
        <v>MARUZA BAPTISTA</v>
      </c>
      <c r="D7" s="1673"/>
      <c r="E7" s="1342" t="s">
        <v>170</v>
      </c>
      <c r="F7" s="1343"/>
      <c r="G7" s="1678" t="str">
        <f>ORÇ!G7</f>
        <v>CAU: 28510-2 A</v>
      </c>
      <c r="H7" s="1678"/>
      <c r="I7" s="1678"/>
      <c r="J7" s="1678"/>
      <c r="K7" s="1678"/>
    </row>
    <row r="8" spans="1:11" ht="13.5" customHeight="1" thickBot="1" x14ac:dyDescent="0.25">
      <c r="A8" s="1739"/>
      <c r="B8" s="1739"/>
      <c r="C8" s="1739"/>
      <c r="D8" s="1739"/>
      <c r="E8" s="1739"/>
      <c r="F8" s="1739"/>
      <c r="G8" s="1739"/>
      <c r="H8" s="1739"/>
      <c r="I8" s="1739"/>
      <c r="J8" s="1739"/>
      <c r="K8" s="1739"/>
    </row>
    <row r="9" spans="1:11" ht="17.25" customHeight="1" thickBot="1" x14ac:dyDescent="0.25">
      <c r="A9" s="1674" t="str">
        <f>CONCATENATE("MEMÓRIA DE CÁLCULO ",ORÇ!A28)</f>
        <v>MEMÓRIA DE CÁLCULO 4</v>
      </c>
      <c r="B9" s="1675"/>
      <c r="C9" s="1675"/>
      <c r="D9" s="1675"/>
      <c r="E9" s="1675"/>
      <c r="F9" s="1675"/>
      <c r="G9" s="1675"/>
      <c r="H9" s="1675"/>
      <c r="I9" s="1675"/>
      <c r="J9" s="1675"/>
      <c r="K9" s="1676"/>
    </row>
    <row r="10" spans="1:11" ht="12.75" customHeight="1" x14ac:dyDescent="0.2">
      <c r="A10" s="1677" t="str">
        <f>ORÇ!D28</f>
        <v>Infraestrutura</v>
      </c>
      <c r="B10" s="1677"/>
      <c r="C10" s="1677"/>
      <c r="D10" s="1677"/>
      <c r="E10" s="1677"/>
      <c r="F10" s="1677"/>
      <c r="G10" s="1677"/>
      <c r="H10" s="1677"/>
      <c r="I10" s="1677"/>
      <c r="J10" s="1677"/>
      <c r="K10" s="1677"/>
    </row>
    <row r="11" spans="1:11" x14ac:dyDescent="0.2">
      <c r="A11" s="5"/>
      <c r="B11" s="6"/>
      <c r="C11" s="6"/>
      <c r="D11" s="6"/>
      <c r="E11" s="6"/>
      <c r="F11" s="6"/>
      <c r="G11" s="6"/>
      <c r="H11" s="6"/>
      <c r="I11" s="6"/>
    </row>
    <row r="12" spans="1:11" x14ac:dyDescent="0.2">
      <c r="A12" s="226">
        <f>ORÇ!A28</f>
        <v>4</v>
      </c>
      <c r="B12" s="145" t="str">
        <f>ORÇ!D28</f>
        <v>Infraestrutura</v>
      </c>
      <c r="C12" s="183"/>
      <c r="D12" s="183"/>
      <c r="E12" s="183"/>
      <c r="F12" s="183"/>
      <c r="G12" s="183"/>
      <c r="H12" s="183"/>
      <c r="I12" s="183"/>
    </row>
    <row r="13" spans="1:11" x14ac:dyDescent="0.2">
      <c r="A13" s="227" t="str">
        <f>ORÇ!A29</f>
        <v>4.1</v>
      </c>
      <c r="B13" s="1712" t="str">
        <f>ORÇ!D29</f>
        <v>Sapatas</v>
      </c>
      <c r="C13" s="1712"/>
      <c r="D13" s="1712"/>
      <c r="E13" s="1712"/>
      <c r="F13" s="1712"/>
      <c r="G13" s="183"/>
      <c r="H13" s="183"/>
      <c r="I13" s="183"/>
    </row>
    <row r="14" spans="1:11" ht="18.75" customHeight="1" x14ac:dyDescent="0.2">
      <c r="A14" s="225" t="str">
        <f>ORÇ!A30</f>
        <v>4.1.1</v>
      </c>
      <c r="B14" s="1734" t="str">
        <f>ORÇ!D30</f>
        <v>ESCAVAÇÃO MANUAL ATE 1.50M DE PROFUNDIDADE</v>
      </c>
      <c r="C14" s="1734"/>
      <c r="D14" s="1734"/>
      <c r="E14" s="1734"/>
      <c r="F14" s="1734"/>
      <c r="G14" s="1734"/>
      <c r="H14" s="1734"/>
      <c r="I14" s="1734"/>
      <c r="J14" s="1734"/>
      <c r="K14" s="1734"/>
    </row>
    <row r="15" spans="1:11" s="21" customFormat="1" ht="12" customHeight="1" x14ac:dyDescent="0.2">
      <c r="A15" s="529"/>
      <c r="B15" s="670"/>
      <c r="C15" s="670"/>
      <c r="D15" s="670"/>
      <c r="E15" s="670"/>
      <c r="F15" s="670"/>
      <c r="G15" s="670"/>
      <c r="H15" s="670"/>
      <c r="I15" s="670"/>
    </row>
    <row r="16" spans="1:11" s="602" customFormat="1" ht="32.25" customHeight="1" x14ac:dyDescent="0.2">
      <c r="A16" s="671"/>
      <c r="B16" s="512" t="s">
        <v>616</v>
      </c>
      <c r="C16" s="512" t="s">
        <v>887</v>
      </c>
      <c r="D16" s="512"/>
      <c r="E16" s="512" t="s">
        <v>888</v>
      </c>
      <c r="F16" s="512"/>
      <c r="G16" s="512" t="s">
        <v>889</v>
      </c>
      <c r="H16" s="512"/>
      <c r="I16" s="512" t="s">
        <v>469</v>
      </c>
      <c r="J16" s="512"/>
      <c r="K16" s="512" t="s">
        <v>312</v>
      </c>
    </row>
    <row r="17" spans="1:11" s="602" customFormat="1" ht="15" customHeight="1" x14ac:dyDescent="0.2">
      <c r="A17" s="671"/>
      <c r="B17" s="247" t="s">
        <v>890</v>
      </c>
      <c r="C17" s="512">
        <v>1.25</v>
      </c>
      <c r="D17" s="512" t="s">
        <v>45</v>
      </c>
      <c r="E17" s="512">
        <v>1.1000000000000001</v>
      </c>
      <c r="F17" s="512" t="s">
        <v>45</v>
      </c>
      <c r="G17" s="512">
        <v>1.53</v>
      </c>
      <c r="H17" s="512" t="s">
        <v>45</v>
      </c>
      <c r="I17" s="512">
        <v>1</v>
      </c>
      <c r="J17" s="512" t="s">
        <v>46</v>
      </c>
      <c r="K17" s="512">
        <f>ROUND(C17*E17*G17*I17,2)</f>
        <v>2.1</v>
      </c>
    </row>
    <row r="18" spans="1:11" s="140" customFormat="1" ht="69" customHeight="1" x14ac:dyDescent="0.2">
      <c r="A18" s="671"/>
      <c r="B18" s="247" t="s">
        <v>896</v>
      </c>
      <c r="C18" s="512">
        <v>1.25</v>
      </c>
      <c r="D18" s="512" t="s">
        <v>45</v>
      </c>
      <c r="E18" s="512">
        <v>1.1499999999999999</v>
      </c>
      <c r="F18" s="512" t="s">
        <v>45</v>
      </c>
      <c r="G18" s="512">
        <v>1.53</v>
      </c>
      <c r="H18" s="512" t="s">
        <v>45</v>
      </c>
      <c r="I18" s="512">
        <v>12</v>
      </c>
      <c r="J18" s="512" t="s">
        <v>46</v>
      </c>
      <c r="K18" s="512">
        <f t="shared" ref="K18:K23" si="0">ROUND(C18*E18*G18*I18,2)</f>
        <v>26.39</v>
      </c>
    </row>
    <row r="19" spans="1:11" s="140" customFormat="1" ht="45" customHeight="1" x14ac:dyDescent="0.2">
      <c r="A19" s="671"/>
      <c r="B19" s="247" t="s">
        <v>894</v>
      </c>
      <c r="C19" s="512">
        <v>1.25</v>
      </c>
      <c r="D19" s="512" t="s">
        <v>45</v>
      </c>
      <c r="E19" s="512">
        <v>1.25</v>
      </c>
      <c r="F19" s="512" t="s">
        <v>45</v>
      </c>
      <c r="G19" s="512">
        <v>1.53</v>
      </c>
      <c r="H19" s="512" t="s">
        <v>45</v>
      </c>
      <c r="I19" s="512">
        <v>7</v>
      </c>
      <c r="J19" s="512" t="s">
        <v>46</v>
      </c>
      <c r="K19" s="512">
        <f t="shared" si="0"/>
        <v>16.73</v>
      </c>
    </row>
    <row r="20" spans="1:11" s="140" customFormat="1" ht="33.75" customHeight="1" x14ac:dyDescent="0.2">
      <c r="A20" s="671"/>
      <c r="B20" s="247" t="s">
        <v>891</v>
      </c>
      <c r="C20" s="512">
        <v>1.1000000000000001</v>
      </c>
      <c r="D20" s="512" t="s">
        <v>45</v>
      </c>
      <c r="E20" s="512">
        <v>1</v>
      </c>
      <c r="F20" s="512" t="s">
        <v>45</v>
      </c>
      <c r="G20" s="512">
        <v>1.53</v>
      </c>
      <c r="H20" s="512" t="s">
        <v>45</v>
      </c>
      <c r="I20" s="512">
        <v>4</v>
      </c>
      <c r="J20" s="512" t="s">
        <v>46</v>
      </c>
      <c r="K20" s="512">
        <f t="shared" si="0"/>
        <v>6.73</v>
      </c>
    </row>
    <row r="21" spans="1:11" s="140" customFormat="1" ht="15" customHeight="1" x14ac:dyDescent="0.2">
      <c r="A21" s="671"/>
      <c r="B21" s="247" t="s">
        <v>892</v>
      </c>
      <c r="C21" s="512">
        <v>1.2</v>
      </c>
      <c r="D21" s="512" t="s">
        <v>45</v>
      </c>
      <c r="E21" s="512">
        <v>1.05</v>
      </c>
      <c r="F21" s="512" t="s">
        <v>45</v>
      </c>
      <c r="G21" s="512">
        <v>1.53</v>
      </c>
      <c r="H21" s="512" t="s">
        <v>45</v>
      </c>
      <c r="I21" s="512">
        <v>2</v>
      </c>
      <c r="J21" s="512" t="s">
        <v>46</v>
      </c>
      <c r="K21" s="512">
        <f t="shared" si="0"/>
        <v>3.86</v>
      </c>
    </row>
    <row r="22" spans="1:11" s="140" customFormat="1" ht="28.5" customHeight="1" x14ac:dyDescent="0.2">
      <c r="A22" s="671"/>
      <c r="B22" s="247" t="s">
        <v>893</v>
      </c>
      <c r="C22" s="512">
        <v>1.55</v>
      </c>
      <c r="D22" s="512" t="s">
        <v>45</v>
      </c>
      <c r="E22" s="512">
        <v>1.4</v>
      </c>
      <c r="F22" s="512" t="s">
        <v>45</v>
      </c>
      <c r="G22" s="512">
        <v>1.53</v>
      </c>
      <c r="H22" s="512" t="s">
        <v>45</v>
      </c>
      <c r="I22" s="512">
        <v>4</v>
      </c>
      <c r="J22" s="512" t="s">
        <v>46</v>
      </c>
      <c r="K22" s="512">
        <f t="shared" si="0"/>
        <v>13.28</v>
      </c>
    </row>
    <row r="23" spans="1:11" s="140" customFormat="1" ht="16.5" customHeight="1" x14ac:dyDescent="0.2">
      <c r="A23" s="671"/>
      <c r="B23" s="247" t="s">
        <v>895</v>
      </c>
      <c r="C23" s="512">
        <v>1.4</v>
      </c>
      <c r="D23" s="512" t="s">
        <v>45</v>
      </c>
      <c r="E23" s="512">
        <v>1.3</v>
      </c>
      <c r="F23" s="512" t="s">
        <v>45</v>
      </c>
      <c r="G23" s="512">
        <v>1.53</v>
      </c>
      <c r="H23" s="512" t="s">
        <v>45</v>
      </c>
      <c r="I23" s="512">
        <v>5</v>
      </c>
      <c r="J23" s="512" t="s">
        <v>46</v>
      </c>
      <c r="K23" s="512">
        <f t="shared" si="0"/>
        <v>13.92</v>
      </c>
    </row>
    <row r="24" spans="1:11" s="21" customFormat="1" ht="12" customHeight="1" x14ac:dyDescent="0.2">
      <c r="A24" s="529"/>
      <c r="B24" s="670"/>
      <c r="C24" s="670"/>
      <c r="D24" s="670"/>
      <c r="E24" s="670"/>
      <c r="F24" s="670"/>
      <c r="G24" s="670"/>
      <c r="H24" s="670"/>
      <c r="I24" s="670"/>
    </row>
    <row r="25" spans="1:11" s="140" customFormat="1" ht="15.75" customHeight="1" x14ac:dyDescent="0.2">
      <c r="A25" s="671"/>
      <c r="B25" s="659" t="s">
        <v>47</v>
      </c>
      <c r="C25" s="661">
        <f>ROUND(SUM(K17:K23),2)</f>
        <v>83.01</v>
      </c>
      <c r="D25" s="660" t="s">
        <v>497</v>
      </c>
      <c r="E25" s="672"/>
      <c r="F25" s="672"/>
      <c r="G25" s="672"/>
      <c r="H25" s="672"/>
      <c r="I25" s="672"/>
    </row>
    <row r="26" spans="1:11" s="21" customFormat="1" ht="9" customHeight="1" x14ac:dyDescent="0.2">
      <c r="A26" s="205"/>
      <c r="B26" s="244"/>
      <c r="C26" s="196"/>
      <c r="D26" s="196"/>
      <c r="E26" s="196"/>
      <c r="F26" s="167"/>
      <c r="G26" s="167"/>
      <c r="H26" s="653"/>
      <c r="I26" s="205"/>
    </row>
    <row r="27" spans="1:11" ht="30.75" customHeight="1" x14ac:dyDescent="0.2">
      <c r="A27" s="225" t="str">
        <f>ORÇ!A31</f>
        <v>4.1.2</v>
      </c>
      <c r="B27" s="1734" t="str">
        <f>ORÇ!D31</f>
        <v>LASTRO DE CONCRETO MAGRO, APLICADO EM PISOS, LAJES SOBRE SOLO OU RADIERS, ESPESSURA DE 3 CM. AF_07/2016</v>
      </c>
      <c r="C27" s="1734"/>
      <c r="D27" s="1734"/>
      <c r="E27" s="1734"/>
      <c r="F27" s="1734"/>
      <c r="G27" s="1734"/>
      <c r="H27" s="1734"/>
      <c r="I27" s="1734"/>
      <c r="J27" s="1734"/>
      <c r="K27" s="1734"/>
    </row>
    <row r="28" spans="1:11" ht="9" customHeight="1" x14ac:dyDescent="0.2">
      <c r="A28" s="238"/>
      <c r="B28" s="240"/>
      <c r="C28" s="240"/>
      <c r="D28" s="240"/>
      <c r="E28" s="240"/>
      <c r="F28" s="240"/>
      <c r="G28" s="240"/>
      <c r="H28" s="240"/>
      <c r="I28" s="240"/>
    </row>
    <row r="29" spans="1:11" s="602" customFormat="1" ht="32.25" customHeight="1" x14ac:dyDescent="0.2">
      <c r="A29" s="671"/>
      <c r="B29" s="512" t="s">
        <v>616</v>
      </c>
      <c r="C29" s="512" t="s">
        <v>887</v>
      </c>
      <c r="D29" s="512"/>
      <c r="E29" s="512" t="s">
        <v>888</v>
      </c>
      <c r="F29" s="512"/>
      <c r="G29" s="512" t="s">
        <v>469</v>
      </c>
      <c r="H29" s="512"/>
      <c r="I29" s="512" t="s">
        <v>213</v>
      </c>
    </row>
    <row r="30" spans="1:11" s="602" customFormat="1" ht="15" customHeight="1" x14ac:dyDescent="0.2">
      <c r="A30" s="671"/>
      <c r="B30" s="247" t="s">
        <v>890</v>
      </c>
      <c r="C30" s="512">
        <v>1.25</v>
      </c>
      <c r="D30" s="512" t="s">
        <v>45</v>
      </c>
      <c r="E30" s="512">
        <v>1.1000000000000001</v>
      </c>
      <c r="F30" s="512" t="s">
        <v>45</v>
      </c>
      <c r="G30" s="512">
        <v>1</v>
      </c>
      <c r="H30" s="512" t="s">
        <v>46</v>
      </c>
      <c r="I30" s="512">
        <f>ROUND(C30*E30*G30,2)</f>
        <v>1.38</v>
      </c>
    </row>
    <row r="31" spans="1:11" s="140" customFormat="1" ht="63.75" customHeight="1" x14ac:dyDescent="0.2">
      <c r="A31" s="671"/>
      <c r="B31" s="247" t="s">
        <v>896</v>
      </c>
      <c r="C31" s="512">
        <v>1.25</v>
      </c>
      <c r="D31" s="512" t="s">
        <v>45</v>
      </c>
      <c r="E31" s="512">
        <v>1.1499999999999999</v>
      </c>
      <c r="F31" s="512" t="s">
        <v>45</v>
      </c>
      <c r="G31" s="512">
        <v>12</v>
      </c>
      <c r="H31" s="512" t="s">
        <v>46</v>
      </c>
      <c r="I31" s="512">
        <f t="shared" ref="I31:I36" si="1">ROUND(C31*E31*G31,2)</f>
        <v>17.25</v>
      </c>
    </row>
    <row r="32" spans="1:11" s="140" customFormat="1" ht="40.5" customHeight="1" x14ac:dyDescent="0.2">
      <c r="A32" s="671"/>
      <c r="B32" s="247" t="s">
        <v>894</v>
      </c>
      <c r="C32" s="512">
        <v>1.25</v>
      </c>
      <c r="D32" s="512" t="s">
        <v>45</v>
      </c>
      <c r="E32" s="512">
        <v>1.25</v>
      </c>
      <c r="F32" s="512" t="s">
        <v>45</v>
      </c>
      <c r="G32" s="512">
        <v>7</v>
      </c>
      <c r="H32" s="512" t="s">
        <v>46</v>
      </c>
      <c r="I32" s="512">
        <f t="shared" si="1"/>
        <v>10.94</v>
      </c>
    </row>
    <row r="33" spans="1:11" s="140" customFormat="1" ht="27.75" customHeight="1" x14ac:dyDescent="0.2">
      <c r="A33" s="671"/>
      <c r="B33" s="247" t="s">
        <v>891</v>
      </c>
      <c r="C33" s="512">
        <v>1.1000000000000001</v>
      </c>
      <c r="D33" s="512" t="s">
        <v>45</v>
      </c>
      <c r="E33" s="512">
        <v>1</v>
      </c>
      <c r="F33" s="512" t="s">
        <v>45</v>
      </c>
      <c r="G33" s="512">
        <v>4</v>
      </c>
      <c r="H33" s="512" t="s">
        <v>46</v>
      </c>
      <c r="I33" s="512">
        <f t="shared" si="1"/>
        <v>4.4000000000000004</v>
      </c>
    </row>
    <row r="34" spans="1:11" s="140" customFormat="1" ht="15" customHeight="1" x14ac:dyDescent="0.2">
      <c r="A34" s="671"/>
      <c r="B34" s="247" t="s">
        <v>892</v>
      </c>
      <c r="C34" s="512">
        <v>1.2</v>
      </c>
      <c r="D34" s="512" t="s">
        <v>45</v>
      </c>
      <c r="E34" s="512">
        <v>1.05</v>
      </c>
      <c r="F34" s="512" t="s">
        <v>45</v>
      </c>
      <c r="G34" s="512">
        <v>2</v>
      </c>
      <c r="H34" s="512" t="s">
        <v>46</v>
      </c>
      <c r="I34" s="512">
        <f t="shared" si="1"/>
        <v>2.52</v>
      </c>
    </row>
    <row r="35" spans="1:11" s="140" customFormat="1" ht="29.25" customHeight="1" x14ac:dyDescent="0.2">
      <c r="A35" s="671"/>
      <c r="B35" s="247" t="s">
        <v>893</v>
      </c>
      <c r="C35" s="512">
        <v>1.55</v>
      </c>
      <c r="D35" s="512" t="s">
        <v>45</v>
      </c>
      <c r="E35" s="512">
        <v>1.4</v>
      </c>
      <c r="F35" s="512" t="s">
        <v>45</v>
      </c>
      <c r="G35" s="512">
        <v>4</v>
      </c>
      <c r="H35" s="512" t="s">
        <v>46</v>
      </c>
      <c r="I35" s="512">
        <f t="shared" si="1"/>
        <v>8.68</v>
      </c>
    </row>
    <row r="36" spans="1:11" s="140" customFormat="1" ht="16.5" customHeight="1" x14ac:dyDescent="0.2">
      <c r="A36" s="671"/>
      <c r="B36" s="247" t="s">
        <v>895</v>
      </c>
      <c r="C36" s="512">
        <v>1.4</v>
      </c>
      <c r="D36" s="512" t="s">
        <v>45</v>
      </c>
      <c r="E36" s="512">
        <v>1.3</v>
      </c>
      <c r="F36" s="512" t="s">
        <v>45</v>
      </c>
      <c r="G36" s="512">
        <v>5</v>
      </c>
      <c r="H36" s="512" t="s">
        <v>46</v>
      </c>
      <c r="I36" s="512">
        <f t="shared" si="1"/>
        <v>9.1</v>
      </c>
    </row>
    <row r="37" spans="1:11" s="21" customFormat="1" ht="9" customHeight="1" x14ac:dyDescent="0.2">
      <c r="A37" s="529"/>
      <c r="B37" s="670"/>
      <c r="C37" s="670"/>
      <c r="D37" s="670"/>
      <c r="E37" s="670"/>
      <c r="F37" s="670"/>
      <c r="G37" s="670"/>
      <c r="H37" s="670"/>
      <c r="I37" s="670"/>
    </row>
    <row r="38" spans="1:11" s="140" customFormat="1" ht="15.75" customHeight="1" x14ac:dyDescent="0.2">
      <c r="A38" s="671"/>
      <c r="B38" s="659" t="s">
        <v>47</v>
      </c>
      <c r="C38" s="661">
        <f>ROUND(SUM(I30:I36),2)</f>
        <v>54.27</v>
      </c>
      <c r="D38" s="660" t="s">
        <v>4</v>
      </c>
      <c r="E38" s="672"/>
      <c r="F38" s="672"/>
      <c r="G38" s="672"/>
      <c r="H38" s="672"/>
      <c r="I38" s="672"/>
    </row>
    <row r="39" spans="1:11" s="21" customFormat="1" x14ac:dyDescent="0.2">
      <c r="A39" s="205"/>
      <c r="B39" s="244"/>
      <c r="C39" s="196"/>
      <c r="D39" s="196"/>
      <c r="E39" s="196"/>
      <c r="F39" s="167"/>
      <c r="G39" s="167"/>
      <c r="H39" s="653"/>
      <c r="I39" s="205"/>
    </row>
    <row r="40" spans="1:11" s="21" customFormat="1" ht="28.5" customHeight="1" x14ac:dyDescent="0.2">
      <c r="A40" s="246" t="str">
        <f>ORÇ!A32</f>
        <v>4.1.3</v>
      </c>
      <c r="B40" s="1735" t="str">
        <f>ORÇ!D32</f>
        <v>FABRICAÇÃO, MONTAGEM E DESMONTAGEM DE FÔRMA PARA VIGA BALDRAME, EM MADEIRA SERRADA, E=25 MM, 4 UTILIZAÇÕES. AF_06/2017</v>
      </c>
      <c r="C40" s="1735"/>
      <c r="D40" s="1735"/>
      <c r="E40" s="1735"/>
      <c r="F40" s="1735"/>
      <c r="G40" s="1735"/>
      <c r="H40" s="1735"/>
      <c r="I40" s="1735"/>
      <c r="J40" s="1735"/>
      <c r="K40" s="1735"/>
    </row>
    <row r="41" spans="1:11" s="21" customFormat="1" x14ac:dyDescent="0.2">
      <c r="A41" s="246"/>
      <c r="B41" s="542"/>
      <c r="C41" s="542"/>
      <c r="D41" s="542"/>
      <c r="E41" s="542"/>
      <c r="F41" s="542"/>
      <c r="G41" s="542"/>
      <c r="H41" s="542"/>
      <c r="I41" s="542"/>
    </row>
    <row r="42" spans="1:11" s="602" customFormat="1" ht="22.5" customHeight="1" x14ac:dyDescent="0.2">
      <c r="A42" s="671"/>
      <c r="B42" s="512" t="s">
        <v>616</v>
      </c>
      <c r="C42" s="512" t="s">
        <v>897</v>
      </c>
      <c r="D42" s="512"/>
      <c r="E42" s="512" t="s">
        <v>898</v>
      </c>
      <c r="F42" s="512"/>
      <c r="G42" s="512" t="s">
        <v>311</v>
      </c>
      <c r="H42" s="512"/>
      <c r="I42" s="512" t="s">
        <v>469</v>
      </c>
      <c r="J42" s="512"/>
      <c r="K42" s="512" t="s">
        <v>213</v>
      </c>
    </row>
    <row r="43" spans="1:11" s="602" customFormat="1" ht="15" customHeight="1" x14ac:dyDescent="0.2">
      <c r="A43" s="671"/>
      <c r="B43" s="247" t="s">
        <v>890</v>
      </c>
      <c r="C43" s="512">
        <f>2*1.15</f>
        <v>2.2999999999999998</v>
      </c>
      <c r="D43" s="512" t="s">
        <v>615</v>
      </c>
      <c r="E43" s="512">
        <f>2*1</f>
        <v>2</v>
      </c>
      <c r="F43" s="512" t="s">
        <v>45</v>
      </c>
      <c r="G43" s="512">
        <v>0.3</v>
      </c>
      <c r="H43" s="512" t="s">
        <v>45</v>
      </c>
      <c r="I43" s="512">
        <v>1</v>
      </c>
      <c r="J43" s="512" t="s">
        <v>46</v>
      </c>
      <c r="K43" s="512">
        <f>ROUND((C43+E43)*G43*I43,2)</f>
        <v>1.29</v>
      </c>
    </row>
    <row r="44" spans="1:11" s="140" customFormat="1" ht="69" customHeight="1" x14ac:dyDescent="0.2">
      <c r="A44" s="671"/>
      <c r="B44" s="247" t="s">
        <v>896</v>
      </c>
      <c r="C44" s="512">
        <f>2*1.15</f>
        <v>2.2999999999999998</v>
      </c>
      <c r="D44" s="512" t="s">
        <v>615</v>
      </c>
      <c r="E44" s="512">
        <f>2*1.05</f>
        <v>2.1</v>
      </c>
      <c r="F44" s="512" t="s">
        <v>45</v>
      </c>
      <c r="G44" s="512">
        <v>0.3</v>
      </c>
      <c r="H44" s="512" t="s">
        <v>45</v>
      </c>
      <c r="I44" s="512">
        <v>12</v>
      </c>
      <c r="J44" s="512" t="s">
        <v>46</v>
      </c>
      <c r="K44" s="512">
        <f t="shared" ref="K44:K49" si="2">ROUND((C44+E44)*G44*I44,2)</f>
        <v>15.84</v>
      </c>
    </row>
    <row r="45" spans="1:11" s="140" customFormat="1" ht="45" customHeight="1" x14ac:dyDescent="0.2">
      <c r="A45" s="671"/>
      <c r="B45" s="247" t="s">
        <v>894</v>
      </c>
      <c r="C45" s="512">
        <f>2*1.15</f>
        <v>2.2999999999999998</v>
      </c>
      <c r="D45" s="512" t="s">
        <v>615</v>
      </c>
      <c r="E45" s="512">
        <f>2*1.15</f>
        <v>2.2999999999999998</v>
      </c>
      <c r="F45" s="512" t="s">
        <v>45</v>
      </c>
      <c r="G45" s="512">
        <v>0.3</v>
      </c>
      <c r="H45" s="512" t="s">
        <v>45</v>
      </c>
      <c r="I45" s="512">
        <v>7</v>
      </c>
      <c r="J45" s="512" t="s">
        <v>46</v>
      </c>
      <c r="K45" s="512">
        <f t="shared" si="2"/>
        <v>9.66</v>
      </c>
    </row>
    <row r="46" spans="1:11" s="140" customFormat="1" ht="33.75" customHeight="1" x14ac:dyDescent="0.2">
      <c r="A46" s="671"/>
      <c r="B46" s="247" t="s">
        <v>891</v>
      </c>
      <c r="C46" s="512">
        <f>2*1</f>
        <v>2</v>
      </c>
      <c r="D46" s="512" t="s">
        <v>615</v>
      </c>
      <c r="E46" s="512">
        <f>2*0.9</f>
        <v>1.8</v>
      </c>
      <c r="F46" s="512" t="s">
        <v>45</v>
      </c>
      <c r="G46" s="512">
        <v>0.3</v>
      </c>
      <c r="H46" s="512" t="s">
        <v>45</v>
      </c>
      <c r="I46" s="512">
        <v>4</v>
      </c>
      <c r="J46" s="512" t="s">
        <v>46</v>
      </c>
      <c r="K46" s="512">
        <f t="shared" si="2"/>
        <v>4.5599999999999996</v>
      </c>
    </row>
    <row r="47" spans="1:11" s="140" customFormat="1" ht="15" customHeight="1" x14ac:dyDescent="0.2">
      <c r="A47" s="671"/>
      <c r="B47" s="247" t="s">
        <v>892</v>
      </c>
      <c r="C47" s="512">
        <f>2*1.1</f>
        <v>2.2000000000000002</v>
      </c>
      <c r="D47" s="512" t="s">
        <v>615</v>
      </c>
      <c r="E47" s="512">
        <f>2*0.95</f>
        <v>1.9</v>
      </c>
      <c r="F47" s="512" t="s">
        <v>45</v>
      </c>
      <c r="G47" s="512">
        <v>0.3</v>
      </c>
      <c r="H47" s="512" t="s">
        <v>45</v>
      </c>
      <c r="I47" s="512">
        <v>2</v>
      </c>
      <c r="J47" s="512" t="s">
        <v>46</v>
      </c>
      <c r="K47" s="512">
        <f t="shared" si="2"/>
        <v>2.46</v>
      </c>
    </row>
    <row r="48" spans="1:11" s="140" customFormat="1" ht="42.75" customHeight="1" x14ac:dyDescent="0.2">
      <c r="A48" s="671"/>
      <c r="B48" s="247" t="s">
        <v>893</v>
      </c>
      <c r="C48" s="512">
        <f>2*1.45</f>
        <v>2.9</v>
      </c>
      <c r="D48" s="512" t="s">
        <v>615</v>
      </c>
      <c r="E48" s="512">
        <f>2*1.3</f>
        <v>2.6</v>
      </c>
      <c r="F48" s="512" t="s">
        <v>45</v>
      </c>
      <c r="G48" s="512">
        <v>0.3</v>
      </c>
      <c r="H48" s="512" t="s">
        <v>45</v>
      </c>
      <c r="I48" s="512">
        <v>4</v>
      </c>
      <c r="J48" s="512" t="s">
        <v>46</v>
      </c>
      <c r="K48" s="512">
        <f t="shared" si="2"/>
        <v>6.6</v>
      </c>
    </row>
    <row r="49" spans="1:11" s="140" customFormat="1" ht="16.5" customHeight="1" x14ac:dyDescent="0.2">
      <c r="A49" s="671"/>
      <c r="B49" s="247" t="s">
        <v>895</v>
      </c>
      <c r="C49" s="512">
        <f>2*1.3</f>
        <v>2.6</v>
      </c>
      <c r="D49" s="512" t="s">
        <v>615</v>
      </c>
      <c r="E49" s="512">
        <f>2*1.2</f>
        <v>2.4</v>
      </c>
      <c r="F49" s="512" t="s">
        <v>45</v>
      </c>
      <c r="G49" s="512">
        <v>0.3</v>
      </c>
      <c r="H49" s="512" t="s">
        <v>45</v>
      </c>
      <c r="I49" s="512">
        <v>5</v>
      </c>
      <c r="J49" s="512" t="s">
        <v>46</v>
      </c>
      <c r="K49" s="512">
        <f t="shared" si="2"/>
        <v>7.5</v>
      </c>
    </row>
    <row r="50" spans="1:11" s="21" customFormat="1" ht="12" customHeight="1" x14ac:dyDescent="0.2">
      <c r="A50" s="529"/>
      <c r="B50" s="670"/>
      <c r="C50" s="670"/>
      <c r="D50" s="670"/>
      <c r="E50" s="670"/>
      <c r="F50" s="670"/>
      <c r="G50" s="670"/>
      <c r="H50" s="670"/>
      <c r="I50" s="670"/>
    </row>
    <row r="51" spans="1:11" s="140" customFormat="1" ht="15.75" customHeight="1" x14ac:dyDescent="0.2">
      <c r="A51" s="671"/>
      <c r="B51" s="659" t="s">
        <v>47</v>
      </c>
      <c r="C51" s="661">
        <f>ROUND(SUM(K43:K49),2)</f>
        <v>47.91</v>
      </c>
      <c r="D51" s="660" t="s">
        <v>4</v>
      </c>
      <c r="E51" s="672"/>
      <c r="F51" s="672"/>
      <c r="G51" s="672"/>
      <c r="H51" s="672"/>
      <c r="I51" s="672"/>
    </row>
    <row r="52" spans="1:11" s="21" customFormat="1" x14ac:dyDescent="0.2">
      <c r="A52" s="205"/>
      <c r="B52" s="244"/>
      <c r="C52" s="196"/>
      <c r="D52" s="196"/>
      <c r="E52" s="196"/>
      <c r="F52" s="167"/>
      <c r="G52" s="167"/>
      <c r="H52" s="653"/>
      <c r="I52" s="205"/>
    </row>
    <row r="53" spans="1:11" s="21" customFormat="1" ht="23.25" customHeight="1" x14ac:dyDescent="0.2">
      <c r="A53" s="225" t="str">
        <f>ORÇ!A33</f>
        <v>4.1.4</v>
      </c>
      <c r="B53" s="1734" t="str">
        <f>ORÇ!D33</f>
        <v>ARMAÇÃO DE BLOCO, VIGA BALDRAME OU SAPATA UTILIZANDO AÇO CA-50 DE 8 MM - MONTAGEM. AF_06/2017</v>
      </c>
      <c r="C53" s="1734"/>
      <c r="D53" s="1734"/>
      <c r="E53" s="1734"/>
      <c r="F53" s="1734"/>
      <c r="G53" s="1734"/>
      <c r="H53" s="1734"/>
      <c r="I53" s="1734"/>
      <c r="J53" s="1734"/>
      <c r="K53" s="1734"/>
    </row>
    <row r="54" spans="1:11" s="21" customFormat="1" ht="12" customHeight="1" x14ac:dyDescent="0.2">
      <c r="A54" s="238"/>
      <c r="B54" s="543"/>
      <c r="C54" s="543"/>
      <c r="D54" s="543"/>
      <c r="E54" s="543"/>
      <c r="F54" s="543"/>
      <c r="G54" s="543"/>
      <c r="H54" s="543"/>
      <c r="I54" s="543"/>
    </row>
    <row r="55" spans="1:11" s="602" customFormat="1" ht="24" customHeight="1" x14ac:dyDescent="0.2">
      <c r="A55" s="671"/>
      <c r="B55" s="512" t="s">
        <v>616</v>
      </c>
      <c r="C55" s="512" t="s">
        <v>917</v>
      </c>
      <c r="D55" s="512" t="s">
        <v>753</v>
      </c>
      <c r="E55" s="512"/>
      <c r="F55" s="512" t="s">
        <v>590</v>
      </c>
      <c r="G55" s="512"/>
      <c r="H55" s="512" t="s">
        <v>918</v>
      </c>
      <c r="I55" s="512"/>
      <c r="J55" s="512" t="s">
        <v>614</v>
      </c>
    </row>
    <row r="56" spans="1:11" s="602" customFormat="1" ht="15" customHeight="1" x14ac:dyDescent="0.2">
      <c r="A56" s="671"/>
      <c r="B56" s="1725" t="s">
        <v>890</v>
      </c>
      <c r="C56" s="512" t="s">
        <v>919</v>
      </c>
      <c r="D56" s="512">
        <v>1.38</v>
      </c>
      <c r="E56" s="512" t="s">
        <v>45</v>
      </c>
      <c r="F56" s="512">
        <v>11</v>
      </c>
      <c r="G56" s="512" t="s">
        <v>45</v>
      </c>
      <c r="H56" s="512">
        <v>1</v>
      </c>
      <c r="I56" s="512" t="s">
        <v>46</v>
      </c>
      <c r="J56" s="512">
        <f>ROUND(D56*F56*H56,2)</f>
        <v>15.18</v>
      </c>
    </row>
    <row r="57" spans="1:11" s="602" customFormat="1" ht="15" customHeight="1" x14ac:dyDescent="0.2">
      <c r="A57" s="671"/>
      <c r="B57" s="1727"/>
      <c r="C57" s="512" t="s">
        <v>920</v>
      </c>
      <c r="D57" s="512">
        <v>1.53</v>
      </c>
      <c r="E57" s="512" t="s">
        <v>45</v>
      </c>
      <c r="F57" s="512">
        <v>9</v>
      </c>
      <c r="G57" s="512" t="s">
        <v>45</v>
      </c>
      <c r="H57" s="512">
        <v>1</v>
      </c>
      <c r="I57" s="512" t="s">
        <v>46</v>
      </c>
      <c r="J57" s="512">
        <f t="shared" ref="J57:J65" si="3">ROUND(D57*F57*H57,2)</f>
        <v>13.77</v>
      </c>
    </row>
    <row r="58" spans="1:11" s="140" customFormat="1" ht="33" customHeight="1" x14ac:dyDescent="0.2">
      <c r="A58" s="671"/>
      <c r="B58" s="1725" t="s">
        <v>896</v>
      </c>
      <c r="C58" s="512" t="s">
        <v>921</v>
      </c>
      <c r="D58" s="512">
        <v>1.43</v>
      </c>
      <c r="E58" s="512" t="s">
        <v>45</v>
      </c>
      <c r="F58" s="512">
        <v>11</v>
      </c>
      <c r="G58" s="512" t="s">
        <v>45</v>
      </c>
      <c r="H58" s="512">
        <v>12</v>
      </c>
      <c r="I58" s="512" t="s">
        <v>46</v>
      </c>
      <c r="J58" s="512">
        <f t="shared" si="3"/>
        <v>188.76</v>
      </c>
    </row>
    <row r="59" spans="1:11" s="140" customFormat="1" ht="33" customHeight="1" x14ac:dyDescent="0.2">
      <c r="A59" s="671"/>
      <c r="B59" s="1727"/>
      <c r="C59" s="512" t="s">
        <v>922</v>
      </c>
      <c r="D59" s="512">
        <v>1.53</v>
      </c>
      <c r="E59" s="512" t="s">
        <v>45</v>
      </c>
      <c r="F59" s="512">
        <v>9</v>
      </c>
      <c r="G59" s="512" t="s">
        <v>45</v>
      </c>
      <c r="H59" s="512">
        <v>12</v>
      </c>
      <c r="I59" s="512" t="s">
        <v>46</v>
      </c>
      <c r="J59" s="512">
        <f t="shared" si="3"/>
        <v>165.24</v>
      </c>
    </row>
    <row r="60" spans="1:11" s="140" customFormat="1" ht="45" customHeight="1" x14ac:dyDescent="0.2">
      <c r="A60" s="671"/>
      <c r="B60" s="673" t="s">
        <v>894</v>
      </c>
      <c r="C60" s="512" t="s">
        <v>920</v>
      </c>
      <c r="D60" s="512">
        <v>1.53</v>
      </c>
      <c r="E60" s="512" t="s">
        <v>45</v>
      </c>
      <c r="F60" s="512">
        <v>26</v>
      </c>
      <c r="G60" s="512" t="s">
        <v>45</v>
      </c>
      <c r="H60" s="512">
        <v>7</v>
      </c>
      <c r="I60" s="512" t="s">
        <v>46</v>
      </c>
      <c r="J60" s="512">
        <f t="shared" si="3"/>
        <v>278.45999999999998</v>
      </c>
    </row>
    <row r="61" spans="1:11" s="140" customFormat="1" ht="17.25" customHeight="1" x14ac:dyDescent="0.2">
      <c r="A61" s="671"/>
      <c r="B61" s="1725" t="s">
        <v>891</v>
      </c>
      <c r="C61" s="512" t="s">
        <v>919</v>
      </c>
      <c r="D61" s="512">
        <v>1.38</v>
      </c>
      <c r="E61" s="512" t="s">
        <v>45</v>
      </c>
      <c r="F61" s="512">
        <v>7</v>
      </c>
      <c r="G61" s="512" t="s">
        <v>45</v>
      </c>
      <c r="H61" s="512">
        <v>4</v>
      </c>
      <c r="I61" s="512" t="s">
        <v>46</v>
      </c>
      <c r="J61" s="512">
        <f t="shared" si="3"/>
        <v>38.64</v>
      </c>
    </row>
    <row r="62" spans="1:11" s="140" customFormat="1" ht="17.25" customHeight="1" x14ac:dyDescent="0.2">
      <c r="A62" s="671"/>
      <c r="B62" s="1727"/>
      <c r="C62" s="512" t="s">
        <v>923</v>
      </c>
      <c r="D62" s="512">
        <v>1.28</v>
      </c>
      <c r="E62" s="512" t="s">
        <v>45</v>
      </c>
      <c r="F62" s="512">
        <v>9</v>
      </c>
      <c r="G62" s="512" t="s">
        <v>45</v>
      </c>
      <c r="H62" s="512">
        <v>4</v>
      </c>
      <c r="I62" s="512" t="s">
        <v>46</v>
      </c>
      <c r="J62" s="512">
        <f t="shared" si="3"/>
        <v>46.08</v>
      </c>
    </row>
    <row r="63" spans="1:11" s="140" customFormat="1" ht="15" customHeight="1" x14ac:dyDescent="0.2">
      <c r="A63" s="671"/>
      <c r="B63" s="1725" t="s">
        <v>892</v>
      </c>
      <c r="C63" s="512" t="s">
        <v>924</v>
      </c>
      <c r="D63" s="512">
        <v>1.33</v>
      </c>
      <c r="E63" s="512" t="s">
        <v>45</v>
      </c>
      <c r="F63" s="512">
        <v>11</v>
      </c>
      <c r="G63" s="512" t="s">
        <v>45</v>
      </c>
      <c r="H63" s="512">
        <v>2</v>
      </c>
      <c r="I63" s="512" t="s">
        <v>46</v>
      </c>
      <c r="J63" s="512">
        <f t="shared" si="3"/>
        <v>29.26</v>
      </c>
    </row>
    <row r="64" spans="1:11" s="140" customFormat="1" ht="15" customHeight="1" x14ac:dyDescent="0.2">
      <c r="A64" s="671"/>
      <c r="B64" s="1727"/>
      <c r="C64" s="512" t="s">
        <v>925</v>
      </c>
      <c r="D64" s="512">
        <v>1.48</v>
      </c>
      <c r="E64" s="512" t="s">
        <v>45</v>
      </c>
      <c r="F64" s="512">
        <v>8</v>
      </c>
      <c r="G64" s="512" t="s">
        <v>45</v>
      </c>
      <c r="H64" s="512">
        <v>2</v>
      </c>
      <c r="I64" s="512" t="s">
        <v>46</v>
      </c>
      <c r="J64" s="512">
        <f t="shared" si="3"/>
        <v>23.68</v>
      </c>
    </row>
    <row r="65" spans="1:11" s="140" customFormat="1" ht="16.5" customHeight="1" x14ac:dyDescent="0.2">
      <c r="A65" s="671"/>
      <c r="B65" s="247" t="s">
        <v>895</v>
      </c>
      <c r="C65" s="512" t="s">
        <v>926</v>
      </c>
      <c r="D65" s="512">
        <v>1.68</v>
      </c>
      <c r="E65" s="512" t="s">
        <v>45</v>
      </c>
      <c r="F65" s="512">
        <v>15</v>
      </c>
      <c r="G65" s="512" t="s">
        <v>45</v>
      </c>
      <c r="H65" s="512">
        <v>5</v>
      </c>
      <c r="I65" s="512" t="s">
        <v>46</v>
      </c>
      <c r="J65" s="512">
        <f t="shared" si="3"/>
        <v>126</v>
      </c>
    </row>
    <row r="66" spans="1:11" s="21" customFormat="1" ht="12" customHeight="1" x14ac:dyDescent="0.2">
      <c r="A66" s="529"/>
      <c r="B66" s="670"/>
      <c r="C66" s="670"/>
      <c r="D66" s="670"/>
      <c r="E66" s="670"/>
      <c r="F66" s="670"/>
      <c r="G66" s="670"/>
      <c r="H66" s="670"/>
      <c r="I66" s="670"/>
    </row>
    <row r="67" spans="1:11" s="140" customFormat="1" ht="17.25" customHeight="1" x14ac:dyDescent="0.2">
      <c r="A67" s="671"/>
      <c r="B67" s="672"/>
      <c r="C67" s="512" t="s">
        <v>614</v>
      </c>
      <c r="D67" s="521"/>
      <c r="E67" s="512" t="s">
        <v>928</v>
      </c>
      <c r="F67" s="521"/>
      <c r="G67" s="681" t="s">
        <v>927</v>
      </c>
      <c r="H67" s="672"/>
      <c r="I67" s="672"/>
    </row>
    <row r="68" spans="1:11" s="685" customFormat="1" ht="17.25" customHeight="1" x14ac:dyDescent="0.2">
      <c r="A68" s="682"/>
      <c r="B68" s="678" t="s">
        <v>930</v>
      </c>
      <c r="C68" s="678">
        <f>ROUND(SUM(J56:J66),2)</f>
        <v>925.07</v>
      </c>
      <c r="D68" s="678" t="s">
        <v>45</v>
      </c>
      <c r="E68" s="683">
        <v>0.39500000000000002</v>
      </c>
      <c r="F68" s="512" t="s">
        <v>46</v>
      </c>
      <c r="G68" s="681">
        <f>ROUND(C68*E68,2)</f>
        <v>365.4</v>
      </c>
      <c r="H68" s="684"/>
      <c r="I68" s="684"/>
    </row>
    <row r="69" spans="1:11" s="21" customFormat="1" x14ac:dyDescent="0.2">
      <c r="A69" s="205"/>
      <c r="B69" s="244"/>
      <c r="C69" s="196"/>
      <c r="D69" s="196"/>
      <c r="E69" s="196"/>
      <c r="F69" s="167"/>
      <c r="G69" s="167"/>
      <c r="H69" s="653"/>
      <c r="I69" s="205"/>
    </row>
    <row r="70" spans="1:11" s="21" customFormat="1" ht="21" customHeight="1" x14ac:dyDescent="0.2">
      <c r="A70" s="246" t="str">
        <f>ORÇ!A34</f>
        <v>4.1.5</v>
      </c>
      <c r="B70" s="1710" t="str">
        <f>ORÇ!D34</f>
        <v>ARMAÇÃO DE BLOCO, VIGA BALDRAME OU SAPATA UTILIZANDO AÇO CA-50 DE 10 MM - MONTAGEM. AF_06/2017</v>
      </c>
      <c r="C70" s="1710"/>
      <c r="D70" s="1710"/>
      <c r="E70" s="1710"/>
      <c r="F70" s="1710"/>
      <c r="G70" s="1710"/>
      <c r="H70" s="1710"/>
      <c r="I70" s="1710"/>
      <c r="J70" s="1710"/>
      <c r="K70" s="1710"/>
    </row>
    <row r="71" spans="1:11" s="21" customFormat="1" x14ac:dyDescent="0.2">
      <c r="A71" s="246"/>
      <c r="B71" s="542"/>
      <c r="C71" s="542"/>
      <c r="D71" s="542"/>
      <c r="E71" s="542"/>
      <c r="F71" s="542"/>
      <c r="G71" s="542"/>
      <c r="H71" s="542"/>
      <c r="I71" s="542"/>
    </row>
    <row r="72" spans="1:11" s="602" customFormat="1" ht="21" customHeight="1" x14ac:dyDescent="0.2">
      <c r="A72" s="671"/>
      <c r="B72" s="512" t="s">
        <v>616</v>
      </c>
      <c r="C72" s="512" t="s">
        <v>917</v>
      </c>
      <c r="D72" s="512" t="s">
        <v>753</v>
      </c>
      <c r="E72" s="512"/>
      <c r="F72" s="512" t="s">
        <v>590</v>
      </c>
      <c r="G72" s="512"/>
      <c r="H72" s="512" t="s">
        <v>918</v>
      </c>
      <c r="I72" s="512"/>
      <c r="J72" s="512" t="s">
        <v>614</v>
      </c>
      <c r="K72" s="522"/>
    </row>
    <row r="73" spans="1:11" s="140" customFormat="1" ht="15.75" customHeight="1" x14ac:dyDescent="0.2">
      <c r="A73" s="671"/>
      <c r="B73" s="1725" t="s">
        <v>893</v>
      </c>
      <c r="C73" s="512" t="s">
        <v>931</v>
      </c>
      <c r="D73" s="512">
        <v>1.67</v>
      </c>
      <c r="E73" s="512" t="s">
        <v>45</v>
      </c>
      <c r="F73" s="512">
        <v>14</v>
      </c>
      <c r="G73" s="512" t="s">
        <v>45</v>
      </c>
      <c r="H73" s="512">
        <v>4</v>
      </c>
      <c r="I73" s="512" t="s">
        <v>46</v>
      </c>
      <c r="J73" s="512">
        <f t="shared" ref="J73:J75" si="4">ROUND(D73*F73*H73,2)</f>
        <v>93.52</v>
      </c>
      <c r="K73" s="522"/>
    </row>
    <row r="74" spans="1:11" s="140" customFormat="1" ht="15.75" customHeight="1" x14ac:dyDescent="0.2">
      <c r="A74" s="671"/>
      <c r="B74" s="1727"/>
      <c r="C74" s="512" t="s">
        <v>932</v>
      </c>
      <c r="D74" s="512">
        <v>1.82</v>
      </c>
      <c r="E74" s="512" t="s">
        <v>45</v>
      </c>
      <c r="F74" s="512">
        <v>12</v>
      </c>
      <c r="G74" s="512" t="s">
        <v>45</v>
      </c>
      <c r="H74" s="512">
        <v>4</v>
      </c>
      <c r="I74" s="512" t="s">
        <v>46</v>
      </c>
      <c r="J74" s="512">
        <f>ROUND(D74*F74*H74,2)</f>
        <v>87.36</v>
      </c>
      <c r="K74" s="522"/>
    </row>
    <row r="75" spans="1:11" s="140" customFormat="1" ht="16.5" customHeight="1" x14ac:dyDescent="0.2">
      <c r="A75" s="671"/>
      <c r="B75" s="247" t="s">
        <v>895</v>
      </c>
      <c r="C75" s="512" t="s">
        <v>920</v>
      </c>
      <c r="D75" s="512">
        <v>1.57</v>
      </c>
      <c r="E75" s="512" t="s">
        <v>45</v>
      </c>
      <c r="F75" s="512">
        <v>11</v>
      </c>
      <c r="G75" s="512" t="s">
        <v>45</v>
      </c>
      <c r="H75" s="512">
        <v>5</v>
      </c>
      <c r="I75" s="512" t="s">
        <v>46</v>
      </c>
      <c r="J75" s="512">
        <f t="shared" si="4"/>
        <v>86.35</v>
      </c>
      <c r="K75" s="522"/>
    </row>
    <row r="76" spans="1:11" s="21" customFormat="1" ht="12" customHeight="1" x14ac:dyDescent="0.2">
      <c r="A76" s="529"/>
      <c r="B76" s="670"/>
      <c r="C76" s="670"/>
      <c r="D76" s="670"/>
      <c r="E76" s="670"/>
      <c r="F76" s="670"/>
      <c r="G76" s="670"/>
      <c r="H76" s="670"/>
      <c r="I76" s="670"/>
    </row>
    <row r="77" spans="1:11" s="140" customFormat="1" ht="17.25" customHeight="1" x14ac:dyDescent="0.2">
      <c r="A77" s="671"/>
      <c r="B77" s="672"/>
      <c r="C77" s="512" t="s">
        <v>614</v>
      </c>
      <c r="D77" s="521"/>
      <c r="E77" s="512" t="s">
        <v>928</v>
      </c>
      <c r="F77" s="521"/>
      <c r="G77" s="681" t="s">
        <v>927</v>
      </c>
      <c r="H77" s="672"/>
      <c r="I77" s="672"/>
    </row>
    <row r="78" spans="1:11" s="685" customFormat="1" ht="25.5" customHeight="1" x14ac:dyDescent="0.2">
      <c r="A78" s="682"/>
      <c r="B78" s="686" t="s">
        <v>929</v>
      </c>
      <c r="C78" s="678">
        <f>ROUND(SUM(J71:J76),2)</f>
        <v>267.23</v>
      </c>
      <c r="D78" s="678" t="s">
        <v>45</v>
      </c>
      <c r="E78" s="683">
        <v>0.61699999999999999</v>
      </c>
      <c r="F78" s="512" t="s">
        <v>46</v>
      </c>
      <c r="G78" s="681">
        <f>ROUND(C78*E78,2)</f>
        <v>164.88</v>
      </c>
      <c r="H78" s="684"/>
      <c r="I78" s="684"/>
    </row>
    <row r="79" spans="1:11" s="21" customFormat="1" x14ac:dyDescent="0.2">
      <c r="A79" s="205"/>
      <c r="B79" s="244"/>
      <c r="C79" s="196"/>
      <c r="D79" s="196"/>
      <c r="E79" s="196"/>
      <c r="F79" s="167"/>
      <c r="G79" s="167"/>
      <c r="H79" s="653"/>
      <c r="I79" s="205"/>
    </row>
    <row r="80" spans="1:11" s="139" customFormat="1" ht="29.25" customHeight="1" x14ac:dyDescent="0.2">
      <c r="A80" s="246" t="str">
        <f>ORÇ!A35</f>
        <v>4.1.6</v>
      </c>
      <c r="B80" s="1730" t="str">
        <f>ORÇ!D35</f>
        <v>CONCRETO FCK = 25MPA, TRAÇO 1:2,3:2,7 (EM MASSA SECA DE CIMENTO/ AREIA MÉDIA/ BRITA 1) - PREPARO MECÂNICO COM BETONEIRA 400 L. AF_05/2021</v>
      </c>
      <c r="C80" s="1730"/>
      <c r="D80" s="1730"/>
      <c r="E80" s="1730"/>
      <c r="F80" s="1730"/>
      <c r="G80" s="1730"/>
      <c r="H80" s="1730"/>
      <c r="I80" s="1730"/>
      <c r="J80" s="1730"/>
      <c r="K80" s="1730"/>
    </row>
    <row r="82" spans="1:11" s="602" customFormat="1" ht="20.25" customHeight="1" x14ac:dyDescent="0.2">
      <c r="A82" s="671"/>
      <c r="B82" s="512" t="s">
        <v>616</v>
      </c>
      <c r="C82" s="512" t="s">
        <v>753</v>
      </c>
      <c r="D82" s="512"/>
      <c r="E82" s="512" t="s">
        <v>405</v>
      </c>
      <c r="F82" s="512"/>
      <c r="G82" s="512" t="s">
        <v>899</v>
      </c>
      <c r="H82" s="512"/>
      <c r="I82" s="512" t="s">
        <v>469</v>
      </c>
      <c r="J82" s="512"/>
      <c r="K82" s="512" t="s">
        <v>312</v>
      </c>
    </row>
    <row r="83" spans="1:11" s="602" customFormat="1" ht="15" customHeight="1" x14ac:dyDescent="0.2">
      <c r="A83" s="671"/>
      <c r="B83" s="247" t="s">
        <v>890</v>
      </c>
      <c r="C83" s="512">
        <v>1.1499999999999999</v>
      </c>
      <c r="D83" s="512" t="s">
        <v>45</v>
      </c>
      <c r="E83" s="512">
        <v>1</v>
      </c>
      <c r="F83" s="512" t="s">
        <v>45</v>
      </c>
      <c r="G83" s="512">
        <v>0.3</v>
      </c>
      <c r="H83" s="512" t="s">
        <v>45</v>
      </c>
      <c r="I83" s="512">
        <v>1</v>
      </c>
      <c r="J83" s="512" t="s">
        <v>46</v>
      </c>
      <c r="K83" s="512">
        <f>ROUND(C83*E83*G83*I83,2)</f>
        <v>0.35</v>
      </c>
    </row>
    <row r="84" spans="1:11" s="140" customFormat="1" ht="69" customHeight="1" x14ac:dyDescent="0.2">
      <c r="A84" s="671"/>
      <c r="B84" s="247" t="s">
        <v>896</v>
      </c>
      <c r="C84" s="512">
        <v>1.1499999999999999</v>
      </c>
      <c r="D84" s="512" t="s">
        <v>45</v>
      </c>
      <c r="E84" s="512">
        <v>1.05</v>
      </c>
      <c r="F84" s="512" t="s">
        <v>45</v>
      </c>
      <c r="G84" s="512">
        <v>0.3</v>
      </c>
      <c r="H84" s="512" t="s">
        <v>45</v>
      </c>
      <c r="I84" s="512">
        <v>12</v>
      </c>
      <c r="J84" s="512" t="s">
        <v>46</v>
      </c>
      <c r="K84" s="512">
        <f>ROUND(C84*E84*G84*I84,2)</f>
        <v>4.3499999999999996</v>
      </c>
    </row>
    <row r="85" spans="1:11" s="140" customFormat="1" ht="45" customHeight="1" x14ac:dyDescent="0.2">
      <c r="A85" s="671"/>
      <c r="B85" s="247" t="s">
        <v>894</v>
      </c>
      <c r="C85" s="512">
        <v>1.1499999999999999</v>
      </c>
      <c r="D85" s="512" t="s">
        <v>45</v>
      </c>
      <c r="E85" s="512">
        <v>1.1499999999999999</v>
      </c>
      <c r="F85" s="512" t="s">
        <v>45</v>
      </c>
      <c r="G85" s="512">
        <v>0.3</v>
      </c>
      <c r="H85" s="512" t="s">
        <v>45</v>
      </c>
      <c r="I85" s="512">
        <v>7</v>
      </c>
      <c r="J85" s="512" t="s">
        <v>46</v>
      </c>
      <c r="K85" s="512">
        <f t="shared" ref="K85:K89" si="5">ROUND(C85*E85*G85*I85,2)</f>
        <v>2.78</v>
      </c>
    </row>
    <row r="86" spans="1:11" s="140" customFormat="1" ht="33.75" customHeight="1" x14ac:dyDescent="0.2">
      <c r="A86" s="671"/>
      <c r="B86" s="247" t="s">
        <v>891</v>
      </c>
      <c r="C86" s="512">
        <v>1</v>
      </c>
      <c r="D86" s="512" t="s">
        <v>45</v>
      </c>
      <c r="E86" s="512">
        <v>0.9</v>
      </c>
      <c r="F86" s="512" t="s">
        <v>45</v>
      </c>
      <c r="G86" s="512">
        <v>0.3</v>
      </c>
      <c r="H86" s="512" t="s">
        <v>45</v>
      </c>
      <c r="I86" s="512">
        <v>4</v>
      </c>
      <c r="J86" s="512" t="s">
        <v>46</v>
      </c>
      <c r="K86" s="512">
        <f t="shared" si="5"/>
        <v>1.08</v>
      </c>
    </row>
    <row r="87" spans="1:11" s="140" customFormat="1" ht="15" customHeight="1" x14ac:dyDescent="0.2">
      <c r="A87" s="671"/>
      <c r="B87" s="247" t="s">
        <v>892</v>
      </c>
      <c r="C87" s="512">
        <v>1.1000000000000001</v>
      </c>
      <c r="D87" s="512" t="s">
        <v>45</v>
      </c>
      <c r="E87" s="512">
        <v>0.95</v>
      </c>
      <c r="F87" s="512" t="s">
        <v>45</v>
      </c>
      <c r="G87" s="512">
        <v>0.3</v>
      </c>
      <c r="H87" s="512" t="s">
        <v>45</v>
      </c>
      <c r="I87" s="512">
        <v>2</v>
      </c>
      <c r="J87" s="512" t="s">
        <v>46</v>
      </c>
      <c r="K87" s="512">
        <f t="shared" si="5"/>
        <v>0.63</v>
      </c>
    </row>
    <row r="88" spans="1:11" s="140" customFormat="1" ht="42.75" customHeight="1" x14ac:dyDescent="0.2">
      <c r="A88" s="671"/>
      <c r="B88" s="247" t="s">
        <v>893</v>
      </c>
      <c r="C88" s="512">
        <v>1.45</v>
      </c>
      <c r="D88" s="512" t="s">
        <v>45</v>
      </c>
      <c r="E88" s="512">
        <v>1.3</v>
      </c>
      <c r="F88" s="512" t="s">
        <v>45</v>
      </c>
      <c r="G88" s="512">
        <v>0.3</v>
      </c>
      <c r="H88" s="512" t="s">
        <v>45</v>
      </c>
      <c r="I88" s="512">
        <v>4</v>
      </c>
      <c r="J88" s="512" t="s">
        <v>46</v>
      </c>
      <c r="K88" s="512">
        <f t="shared" si="5"/>
        <v>2.2599999999999998</v>
      </c>
    </row>
    <row r="89" spans="1:11" s="140" customFormat="1" ht="16.5" customHeight="1" x14ac:dyDescent="0.2">
      <c r="A89" s="671"/>
      <c r="B89" s="247" t="s">
        <v>895</v>
      </c>
      <c r="C89" s="512">
        <v>1.3</v>
      </c>
      <c r="D89" s="512" t="s">
        <v>45</v>
      </c>
      <c r="E89" s="512">
        <v>1.2</v>
      </c>
      <c r="F89" s="512" t="s">
        <v>45</v>
      </c>
      <c r="G89" s="512">
        <v>0.3</v>
      </c>
      <c r="H89" s="512" t="s">
        <v>45</v>
      </c>
      <c r="I89" s="512">
        <v>5</v>
      </c>
      <c r="J89" s="512" t="s">
        <v>46</v>
      </c>
      <c r="K89" s="512">
        <f t="shared" si="5"/>
        <v>2.34</v>
      </c>
    </row>
    <row r="90" spans="1:11" s="21" customFormat="1" ht="12" customHeight="1" x14ac:dyDescent="0.2">
      <c r="A90" s="529"/>
      <c r="B90" s="670"/>
      <c r="C90" s="670"/>
      <c r="D90" s="670"/>
      <c r="E90" s="670"/>
      <c r="F90" s="670"/>
      <c r="G90" s="670"/>
      <c r="H90" s="670"/>
      <c r="I90" s="670"/>
    </row>
    <row r="91" spans="1:11" s="140" customFormat="1" ht="15.75" customHeight="1" x14ac:dyDescent="0.2">
      <c r="A91" s="671"/>
      <c r="B91" s="659" t="s">
        <v>47</v>
      </c>
      <c r="C91" s="661">
        <f>ROUND(SUM(K83:K89),2)</f>
        <v>13.79</v>
      </c>
      <c r="D91" s="660" t="s">
        <v>497</v>
      </c>
      <c r="E91" s="672"/>
      <c r="F91" s="672"/>
      <c r="G91" s="672"/>
      <c r="H91" s="672"/>
      <c r="I91" s="672"/>
    </row>
    <row r="93" spans="1:11" s="139" customFormat="1" ht="29.25" customHeight="1" x14ac:dyDescent="0.2">
      <c r="A93" s="246" t="str">
        <f>ORÇ!A36</f>
        <v>4.1.7</v>
      </c>
      <c r="B93" s="1730" t="str">
        <f>ORÇ!D36</f>
        <v>LANÇAMENTO COM USO DE BALDES, ADENSAMENTO E ACABAMENTO DE CONCRETO EM ESTRUTURAS. AF_02/2022</v>
      </c>
      <c r="C93" s="1730"/>
      <c r="D93" s="1730"/>
      <c r="E93" s="1730"/>
      <c r="F93" s="1730"/>
      <c r="G93" s="1730"/>
      <c r="H93" s="1730"/>
      <c r="I93" s="1730"/>
      <c r="J93" s="1730"/>
      <c r="K93" s="1730"/>
    </row>
    <row r="95" spans="1:11" s="21" customFormat="1" ht="12" customHeight="1" x14ac:dyDescent="0.2">
      <c r="A95" s="529"/>
      <c r="B95" s="1731" t="s">
        <v>1097</v>
      </c>
      <c r="C95" s="1731"/>
      <c r="D95" s="1731"/>
      <c r="E95" s="1731"/>
      <c r="F95" s="670"/>
      <c r="G95" s="670"/>
      <c r="H95" s="670"/>
      <c r="I95" s="670"/>
    </row>
    <row r="96" spans="1:11" s="140" customFormat="1" ht="15.75" customHeight="1" x14ac:dyDescent="0.2">
      <c r="A96" s="671"/>
      <c r="B96" s="659" t="s">
        <v>47</v>
      </c>
      <c r="C96" s="661">
        <f>C91</f>
        <v>13.79</v>
      </c>
      <c r="D96" s="660" t="s">
        <v>497</v>
      </c>
      <c r="E96" s="672"/>
      <c r="F96" s="672"/>
      <c r="G96" s="672"/>
      <c r="H96" s="672"/>
      <c r="I96" s="672"/>
    </row>
    <row r="98" spans="1:11" s="139" customFormat="1" ht="24.75" customHeight="1" x14ac:dyDescent="0.2">
      <c r="A98" s="246" t="str">
        <f>ORÇ!A37</f>
        <v>4.1.8</v>
      </c>
      <c r="B98" s="1730" t="str">
        <f>ORÇ!D37</f>
        <v>IMPERMEABILIZAÇÃO COM MASSA ASFÁLTICA PARA CONCRETO (2 DEMÃOS)</v>
      </c>
      <c r="C98" s="1730"/>
      <c r="D98" s="1730"/>
      <c r="E98" s="1730"/>
      <c r="F98" s="1730"/>
      <c r="G98" s="1730"/>
      <c r="H98" s="1730"/>
      <c r="I98" s="1730"/>
      <c r="J98" s="1730"/>
      <c r="K98" s="1730"/>
    </row>
    <row r="100" spans="1:11" s="602" customFormat="1" ht="21.75" customHeight="1" x14ac:dyDescent="0.2">
      <c r="A100" s="671"/>
      <c r="B100" s="512" t="s">
        <v>616</v>
      </c>
      <c r="C100" s="512" t="s">
        <v>897</v>
      </c>
      <c r="D100" s="512"/>
      <c r="E100" s="512" t="s">
        <v>898</v>
      </c>
      <c r="F100" s="512"/>
      <c r="G100" s="512" t="s">
        <v>311</v>
      </c>
      <c r="H100" s="512"/>
      <c r="I100" s="512" t="s">
        <v>469</v>
      </c>
      <c r="J100" s="512"/>
      <c r="K100" s="512" t="s">
        <v>213</v>
      </c>
    </row>
    <row r="101" spans="1:11" s="602" customFormat="1" ht="15" customHeight="1" x14ac:dyDescent="0.2">
      <c r="A101" s="674" t="s">
        <v>900</v>
      </c>
      <c r="B101" s="1725" t="s">
        <v>890</v>
      </c>
      <c r="C101" s="512">
        <f t="shared" ref="C101:C106" si="6">2*1.15</f>
        <v>2.2999999999999998</v>
      </c>
      <c r="D101" s="512" t="s">
        <v>615</v>
      </c>
      <c r="E101" s="512">
        <f>2*1</f>
        <v>2</v>
      </c>
      <c r="F101" s="512" t="s">
        <v>45</v>
      </c>
      <c r="G101" s="512">
        <v>0.3</v>
      </c>
      <c r="H101" s="512" t="s">
        <v>45</v>
      </c>
      <c r="I101" s="512">
        <v>1</v>
      </c>
      <c r="J101" s="512" t="s">
        <v>46</v>
      </c>
      <c r="K101" s="512">
        <f>ROUND((C101+E101)*G101*I101,2)</f>
        <v>1.29</v>
      </c>
    </row>
    <row r="102" spans="1:11" s="602" customFormat="1" ht="15" customHeight="1" x14ac:dyDescent="0.2">
      <c r="A102" s="674" t="s">
        <v>901</v>
      </c>
      <c r="B102" s="1727"/>
      <c r="C102" s="512">
        <f t="shared" si="6"/>
        <v>2.2999999999999998</v>
      </c>
      <c r="D102" s="512" t="s">
        <v>615</v>
      </c>
      <c r="E102" s="512">
        <f>2*0.15</f>
        <v>0.3</v>
      </c>
      <c r="F102" s="512" t="s">
        <v>45</v>
      </c>
      <c r="G102" s="512">
        <v>0.3</v>
      </c>
      <c r="H102" s="512" t="s">
        <v>45</v>
      </c>
      <c r="I102" s="512">
        <v>1</v>
      </c>
      <c r="J102" s="512" t="s">
        <v>46</v>
      </c>
      <c r="K102" s="512">
        <f t="shared" ref="K102:K114" si="7">ROUND((C102+E102)*G102*I102,2)</f>
        <v>0.78</v>
      </c>
    </row>
    <row r="103" spans="1:11" s="140" customFormat="1" ht="34.5" customHeight="1" x14ac:dyDescent="0.2">
      <c r="A103" s="674" t="s">
        <v>900</v>
      </c>
      <c r="B103" s="1725" t="s">
        <v>896</v>
      </c>
      <c r="C103" s="512">
        <f t="shared" si="6"/>
        <v>2.2999999999999998</v>
      </c>
      <c r="D103" s="512" t="s">
        <v>615</v>
      </c>
      <c r="E103" s="512">
        <f>2*1.05</f>
        <v>2.1</v>
      </c>
      <c r="F103" s="512" t="s">
        <v>45</v>
      </c>
      <c r="G103" s="512">
        <v>0.3</v>
      </c>
      <c r="H103" s="512" t="s">
        <v>45</v>
      </c>
      <c r="I103" s="512">
        <v>12</v>
      </c>
      <c r="J103" s="512" t="s">
        <v>46</v>
      </c>
      <c r="K103" s="512">
        <f t="shared" si="7"/>
        <v>15.84</v>
      </c>
    </row>
    <row r="104" spans="1:11" s="140" customFormat="1" ht="34.5" customHeight="1" x14ac:dyDescent="0.2">
      <c r="A104" s="674" t="s">
        <v>901</v>
      </c>
      <c r="B104" s="1727"/>
      <c r="C104" s="512">
        <f t="shared" si="6"/>
        <v>2.2999999999999998</v>
      </c>
      <c r="D104" s="512" t="s">
        <v>615</v>
      </c>
      <c r="E104" s="512">
        <f>2*0.15</f>
        <v>0.3</v>
      </c>
      <c r="F104" s="512" t="s">
        <v>45</v>
      </c>
      <c r="G104" s="512">
        <v>0.4</v>
      </c>
      <c r="H104" s="512" t="s">
        <v>45</v>
      </c>
      <c r="I104" s="512">
        <v>12</v>
      </c>
      <c r="J104" s="512" t="s">
        <v>46</v>
      </c>
      <c r="K104" s="512">
        <f t="shared" si="7"/>
        <v>12.48</v>
      </c>
    </row>
    <row r="105" spans="1:11" s="140" customFormat="1" ht="22.5" customHeight="1" x14ac:dyDescent="0.2">
      <c r="A105" s="674" t="s">
        <v>900</v>
      </c>
      <c r="B105" s="1725" t="s">
        <v>894</v>
      </c>
      <c r="C105" s="512">
        <f t="shared" si="6"/>
        <v>2.2999999999999998</v>
      </c>
      <c r="D105" s="512" t="s">
        <v>615</v>
      </c>
      <c r="E105" s="512">
        <f>2*1.15</f>
        <v>2.2999999999999998</v>
      </c>
      <c r="F105" s="512" t="s">
        <v>45</v>
      </c>
      <c r="G105" s="512">
        <v>0.3</v>
      </c>
      <c r="H105" s="512" t="s">
        <v>45</v>
      </c>
      <c r="I105" s="512">
        <v>7</v>
      </c>
      <c r="J105" s="512" t="s">
        <v>46</v>
      </c>
      <c r="K105" s="512">
        <f>ROUND((C105+E105)*G105*I105,2)</f>
        <v>9.66</v>
      </c>
    </row>
    <row r="106" spans="1:11" s="140" customFormat="1" ht="22.5" customHeight="1" x14ac:dyDescent="0.2">
      <c r="A106" s="674" t="s">
        <v>901</v>
      </c>
      <c r="B106" s="1727"/>
      <c r="C106" s="512">
        <f t="shared" si="6"/>
        <v>2.2999999999999998</v>
      </c>
      <c r="D106" s="512" t="s">
        <v>615</v>
      </c>
      <c r="E106" s="512">
        <f>2*0.15</f>
        <v>0.3</v>
      </c>
      <c r="F106" s="512" t="s">
        <v>45</v>
      </c>
      <c r="G106" s="512">
        <v>0.4</v>
      </c>
      <c r="H106" s="512" t="s">
        <v>45</v>
      </c>
      <c r="I106" s="512">
        <v>7</v>
      </c>
      <c r="J106" s="512" t="s">
        <v>46</v>
      </c>
      <c r="K106" s="512">
        <f t="shared" si="7"/>
        <v>7.28</v>
      </c>
    </row>
    <row r="107" spans="1:11" s="140" customFormat="1" ht="15.75" customHeight="1" x14ac:dyDescent="0.2">
      <c r="A107" s="674" t="s">
        <v>900</v>
      </c>
      <c r="B107" s="1725" t="s">
        <v>891</v>
      </c>
      <c r="C107" s="512">
        <f>2*1</f>
        <v>2</v>
      </c>
      <c r="D107" s="512" t="s">
        <v>615</v>
      </c>
      <c r="E107" s="512">
        <f>2*0.9</f>
        <v>1.8</v>
      </c>
      <c r="F107" s="512" t="s">
        <v>45</v>
      </c>
      <c r="G107" s="512">
        <v>0.3</v>
      </c>
      <c r="H107" s="512" t="s">
        <v>45</v>
      </c>
      <c r="I107" s="512">
        <v>4</v>
      </c>
      <c r="J107" s="512" t="s">
        <v>46</v>
      </c>
      <c r="K107" s="512">
        <f t="shared" si="7"/>
        <v>4.5599999999999996</v>
      </c>
    </row>
    <row r="108" spans="1:11" s="140" customFormat="1" ht="15.75" customHeight="1" x14ac:dyDescent="0.2">
      <c r="A108" s="674" t="s">
        <v>901</v>
      </c>
      <c r="B108" s="1727"/>
      <c r="C108" s="512">
        <f>2*1</f>
        <v>2</v>
      </c>
      <c r="D108" s="512" t="s">
        <v>615</v>
      </c>
      <c r="E108" s="512">
        <f>2*0.15</f>
        <v>0.3</v>
      </c>
      <c r="F108" s="512" t="s">
        <v>45</v>
      </c>
      <c r="G108" s="512">
        <v>0.3</v>
      </c>
      <c r="H108" s="512" t="s">
        <v>45</v>
      </c>
      <c r="I108" s="512">
        <v>4</v>
      </c>
      <c r="J108" s="512" t="s">
        <v>46</v>
      </c>
      <c r="K108" s="512">
        <f t="shared" si="7"/>
        <v>2.76</v>
      </c>
    </row>
    <row r="109" spans="1:11" s="140" customFormat="1" ht="15" customHeight="1" x14ac:dyDescent="0.2">
      <c r="A109" s="674" t="s">
        <v>900</v>
      </c>
      <c r="B109" s="1725" t="s">
        <v>892</v>
      </c>
      <c r="C109" s="512">
        <f>2*1.1</f>
        <v>2.2000000000000002</v>
      </c>
      <c r="D109" s="512" t="s">
        <v>615</v>
      </c>
      <c r="E109" s="512">
        <f>2*0.95</f>
        <v>1.9</v>
      </c>
      <c r="F109" s="512" t="s">
        <v>45</v>
      </c>
      <c r="G109" s="512">
        <v>0.3</v>
      </c>
      <c r="H109" s="512" t="s">
        <v>45</v>
      </c>
      <c r="I109" s="512">
        <v>2</v>
      </c>
      <c r="J109" s="512" t="s">
        <v>46</v>
      </c>
      <c r="K109" s="512">
        <f t="shared" si="7"/>
        <v>2.46</v>
      </c>
    </row>
    <row r="110" spans="1:11" s="140" customFormat="1" ht="15" customHeight="1" x14ac:dyDescent="0.2">
      <c r="A110" s="674" t="s">
        <v>901</v>
      </c>
      <c r="B110" s="1727"/>
      <c r="C110" s="512">
        <f>2*1.1</f>
        <v>2.2000000000000002</v>
      </c>
      <c r="D110" s="512" t="s">
        <v>615</v>
      </c>
      <c r="E110" s="512">
        <f>2*0.15</f>
        <v>0.3</v>
      </c>
      <c r="F110" s="512" t="s">
        <v>45</v>
      </c>
      <c r="G110" s="512">
        <v>0.3</v>
      </c>
      <c r="H110" s="512" t="s">
        <v>45</v>
      </c>
      <c r="I110" s="512">
        <v>2</v>
      </c>
      <c r="J110" s="512" t="s">
        <v>46</v>
      </c>
      <c r="K110" s="512">
        <f t="shared" si="7"/>
        <v>1.5</v>
      </c>
    </row>
    <row r="111" spans="1:11" s="140" customFormat="1" ht="18" customHeight="1" x14ac:dyDescent="0.2">
      <c r="A111" s="674" t="s">
        <v>900</v>
      </c>
      <c r="B111" s="1725" t="s">
        <v>893</v>
      </c>
      <c r="C111" s="512">
        <f>2*1.45</f>
        <v>2.9</v>
      </c>
      <c r="D111" s="512" t="s">
        <v>615</v>
      </c>
      <c r="E111" s="512">
        <f>2*1.3</f>
        <v>2.6</v>
      </c>
      <c r="F111" s="512" t="s">
        <v>45</v>
      </c>
      <c r="G111" s="512">
        <v>0.3</v>
      </c>
      <c r="H111" s="512" t="s">
        <v>45</v>
      </c>
      <c r="I111" s="512">
        <v>4</v>
      </c>
      <c r="J111" s="512" t="s">
        <v>46</v>
      </c>
      <c r="K111" s="512">
        <f t="shared" si="7"/>
        <v>6.6</v>
      </c>
    </row>
    <row r="112" spans="1:11" s="140" customFormat="1" ht="18" customHeight="1" x14ac:dyDescent="0.2">
      <c r="A112" s="674" t="s">
        <v>901</v>
      </c>
      <c r="B112" s="1727"/>
      <c r="C112" s="512">
        <f>2*1.45</f>
        <v>2.9</v>
      </c>
      <c r="D112" s="512" t="s">
        <v>615</v>
      </c>
      <c r="E112" s="512">
        <f>2*0.15</f>
        <v>0.3</v>
      </c>
      <c r="F112" s="512" t="s">
        <v>45</v>
      </c>
      <c r="G112" s="512">
        <v>0.5</v>
      </c>
      <c r="H112" s="512" t="s">
        <v>45</v>
      </c>
      <c r="I112" s="512">
        <v>4</v>
      </c>
      <c r="J112" s="512" t="s">
        <v>46</v>
      </c>
      <c r="K112" s="512">
        <f t="shared" si="7"/>
        <v>6.4</v>
      </c>
    </row>
    <row r="113" spans="1:11" s="140" customFormat="1" ht="16.5" customHeight="1" x14ac:dyDescent="0.2">
      <c r="A113" s="674" t="s">
        <v>900</v>
      </c>
      <c r="B113" s="1732" t="s">
        <v>895</v>
      </c>
      <c r="C113" s="512">
        <f>2*1.3</f>
        <v>2.6</v>
      </c>
      <c r="D113" s="512" t="s">
        <v>615</v>
      </c>
      <c r="E113" s="512">
        <f>2*1.2</f>
        <v>2.4</v>
      </c>
      <c r="F113" s="512" t="s">
        <v>45</v>
      </c>
      <c r="G113" s="512">
        <v>0.3</v>
      </c>
      <c r="H113" s="512" t="s">
        <v>45</v>
      </c>
      <c r="I113" s="512">
        <v>5</v>
      </c>
      <c r="J113" s="512" t="s">
        <v>46</v>
      </c>
      <c r="K113" s="512">
        <f t="shared" si="7"/>
        <v>7.5</v>
      </c>
    </row>
    <row r="114" spans="1:11" s="140" customFormat="1" ht="16.5" customHeight="1" x14ac:dyDescent="0.2">
      <c r="A114" s="674" t="s">
        <v>901</v>
      </c>
      <c r="B114" s="1733"/>
      <c r="C114" s="512">
        <f>2*1.3</f>
        <v>2.6</v>
      </c>
      <c r="D114" s="512" t="s">
        <v>615</v>
      </c>
      <c r="E114" s="512">
        <f>2*0.15</f>
        <v>0.3</v>
      </c>
      <c r="F114" s="512" t="s">
        <v>45</v>
      </c>
      <c r="G114" s="512">
        <v>0.4</v>
      </c>
      <c r="H114" s="512" t="s">
        <v>45</v>
      </c>
      <c r="I114" s="512">
        <v>5</v>
      </c>
      <c r="J114" s="512" t="s">
        <v>46</v>
      </c>
      <c r="K114" s="512">
        <f t="shared" si="7"/>
        <v>5.8</v>
      </c>
    </row>
    <row r="115" spans="1:11" s="21" customFormat="1" ht="12" customHeight="1" x14ac:dyDescent="0.2">
      <c r="A115" s="529"/>
      <c r="B115" s="670"/>
      <c r="C115" s="670"/>
      <c r="D115" s="670"/>
      <c r="E115" s="670"/>
      <c r="F115" s="670"/>
      <c r="G115" s="670"/>
      <c r="H115" s="670"/>
      <c r="I115" s="670"/>
    </row>
    <row r="116" spans="1:11" s="140" customFormat="1" ht="15.75" customHeight="1" x14ac:dyDescent="0.2">
      <c r="A116" s="671"/>
      <c r="B116" s="659" t="s">
        <v>47</v>
      </c>
      <c r="C116" s="661">
        <f>ROUND(SUM(K101:K115),2)</f>
        <v>84.91</v>
      </c>
      <c r="D116" s="660" t="s">
        <v>4</v>
      </c>
      <c r="E116" s="672"/>
      <c r="F116" s="672"/>
      <c r="G116" s="672"/>
      <c r="H116" s="672"/>
      <c r="I116" s="672"/>
    </row>
    <row r="117" spans="1:11" s="21" customFormat="1" x14ac:dyDescent="0.2">
      <c r="A117" s="205"/>
      <c r="B117" s="244"/>
      <c r="C117" s="196"/>
      <c r="D117" s="196"/>
      <c r="E117" s="196"/>
      <c r="F117" s="167"/>
      <c r="G117" s="167"/>
      <c r="H117" s="653"/>
      <c r="I117" s="205"/>
    </row>
    <row r="118" spans="1:11" s="139" customFormat="1" ht="16.5" customHeight="1" x14ac:dyDescent="0.2">
      <c r="A118" s="246" t="str">
        <f>ORÇ!A38</f>
        <v>4.2</v>
      </c>
      <c r="B118" s="1730" t="str">
        <f>ORÇ!D38</f>
        <v>Arranques</v>
      </c>
      <c r="C118" s="1730"/>
      <c r="D118" s="1730"/>
      <c r="E118" s="1730"/>
      <c r="F118" s="1730"/>
      <c r="G118" s="1730"/>
      <c r="H118" s="1730"/>
      <c r="I118" s="1730"/>
      <c r="J118" s="1730"/>
      <c r="K118" s="1730"/>
    </row>
    <row r="119" spans="1:11" s="139" customFormat="1" ht="31.5" customHeight="1" x14ac:dyDescent="0.2">
      <c r="A119" s="246" t="str">
        <f>ORÇ!A39</f>
        <v>4.2.1</v>
      </c>
      <c r="B119" s="1730" t="str">
        <f>ORÇ!D39</f>
        <v>FORMAS PARA CONCRETO EM CHAPA DE MADEIRA COMPENSADA RESINADA E=15MM (REAP 2X)</v>
      </c>
      <c r="C119" s="1730"/>
      <c r="D119" s="1730"/>
      <c r="E119" s="1730"/>
      <c r="F119" s="1730"/>
      <c r="G119" s="1730"/>
      <c r="H119" s="1730"/>
      <c r="I119" s="1730"/>
      <c r="J119" s="1730"/>
      <c r="K119" s="1730"/>
    </row>
    <row r="121" spans="1:11" s="602" customFormat="1" ht="22.5" customHeight="1" x14ac:dyDescent="0.2">
      <c r="A121" s="671"/>
      <c r="B121" s="512" t="s">
        <v>616</v>
      </c>
      <c r="C121" s="512" t="s">
        <v>897</v>
      </c>
      <c r="D121" s="512"/>
      <c r="E121" s="512" t="s">
        <v>898</v>
      </c>
      <c r="F121" s="512"/>
      <c r="G121" s="512" t="s">
        <v>311</v>
      </c>
      <c r="H121" s="512"/>
      <c r="I121" s="512" t="s">
        <v>469</v>
      </c>
      <c r="J121" s="512"/>
      <c r="K121" s="512" t="s">
        <v>213</v>
      </c>
    </row>
    <row r="122" spans="1:11" s="602" customFormat="1" ht="15" customHeight="1" x14ac:dyDescent="0.2">
      <c r="A122" s="671"/>
      <c r="B122" s="247" t="s">
        <v>619</v>
      </c>
      <c r="C122" s="512">
        <f>0.25*2</f>
        <v>0.5</v>
      </c>
      <c r="D122" s="512" t="s">
        <v>615</v>
      </c>
      <c r="E122" s="512">
        <f t="shared" ref="E122:E131" si="8">2*0.15</f>
        <v>0.3</v>
      </c>
      <c r="F122" s="512" t="s">
        <v>45</v>
      </c>
      <c r="G122" s="512">
        <v>1.2</v>
      </c>
      <c r="H122" s="512" t="s">
        <v>45</v>
      </c>
      <c r="I122" s="512">
        <v>1</v>
      </c>
      <c r="J122" s="512" t="s">
        <v>46</v>
      </c>
      <c r="K122" s="512">
        <f>ROUND((C122+E122)*G122*I122,2)</f>
        <v>0.96</v>
      </c>
    </row>
    <row r="123" spans="1:11" s="140" customFormat="1" ht="54" customHeight="1" x14ac:dyDescent="0.2">
      <c r="A123" s="671"/>
      <c r="B123" s="247" t="s">
        <v>902</v>
      </c>
      <c r="C123" s="678">
        <f>2*0.25</f>
        <v>0.5</v>
      </c>
      <c r="D123" s="512" t="s">
        <v>615</v>
      </c>
      <c r="E123" s="512">
        <f t="shared" si="8"/>
        <v>0.3</v>
      </c>
      <c r="F123" s="512" t="s">
        <v>45</v>
      </c>
      <c r="G123" s="512">
        <v>1.2</v>
      </c>
      <c r="H123" s="512" t="s">
        <v>45</v>
      </c>
      <c r="I123" s="512">
        <v>12</v>
      </c>
      <c r="J123" s="512" t="s">
        <v>46</v>
      </c>
      <c r="K123" s="512">
        <f>ROUND((C123+E123)*G123*I123,2)</f>
        <v>11.52</v>
      </c>
    </row>
    <row r="124" spans="1:11" s="140" customFormat="1" ht="31.5" customHeight="1" x14ac:dyDescent="0.2">
      <c r="A124" s="671"/>
      <c r="B124" s="247" t="s">
        <v>904</v>
      </c>
      <c r="C124" s="678">
        <f>2*0.25</f>
        <v>0.5</v>
      </c>
      <c r="D124" s="512" t="s">
        <v>615</v>
      </c>
      <c r="E124" s="512">
        <f t="shared" si="8"/>
        <v>0.3</v>
      </c>
      <c r="F124" s="512" t="s">
        <v>45</v>
      </c>
      <c r="G124" s="512">
        <v>1.2</v>
      </c>
      <c r="H124" s="512" t="s">
        <v>45</v>
      </c>
      <c r="I124" s="512">
        <v>4</v>
      </c>
      <c r="J124" s="512" t="s">
        <v>46</v>
      </c>
      <c r="K124" s="512">
        <f>ROUND((C124+E124)*G124*I124,2)</f>
        <v>3.84</v>
      </c>
    </row>
    <row r="125" spans="1:11" s="140" customFormat="1" ht="29.25" customHeight="1" x14ac:dyDescent="0.2">
      <c r="A125" s="671"/>
      <c r="B125" s="247" t="s">
        <v>905</v>
      </c>
      <c r="C125" s="678">
        <f>2*0.3</f>
        <v>0.6</v>
      </c>
      <c r="D125" s="512" t="s">
        <v>615</v>
      </c>
      <c r="E125" s="512">
        <f t="shared" si="8"/>
        <v>0.3</v>
      </c>
      <c r="F125" s="512" t="s">
        <v>45</v>
      </c>
      <c r="G125" s="512">
        <v>1.2</v>
      </c>
      <c r="H125" s="512" t="s">
        <v>45</v>
      </c>
      <c r="I125" s="512">
        <v>3</v>
      </c>
      <c r="J125" s="512" t="s">
        <v>46</v>
      </c>
      <c r="K125" s="512">
        <f>ROUND((C125+E125)*G125*I125,2)</f>
        <v>3.24</v>
      </c>
    </row>
    <row r="126" spans="1:11" s="140" customFormat="1" ht="30" customHeight="1" x14ac:dyDescent="0.2">
      <c r="A126" s="671"/>
      <c r="B126" s="247" t="s">
        <v>906</v>
      </c>
      <c r="C126" s="678">
        <f>2*0.25</f>
        <v>0.5</v>
      </c>
      <c r="D126" s="512" t="s">
        <v>615</v>
      </c>
      <c r="E126" s="512">
        <f t="shared" si="8"/>
        <v>0.3</v>
      </c>
      <c r="F126" s="512" t="s">
        <v>45</v>
      </c>
      <c r="G126" s="512">
        <v>1.2</v>
      </c>
      <c r="H126" s="512" t="s">
        <v>45</v>
      </c>
      <c r="I126" s="512">
        <v>4</v>
      </c>
      <c r="J126" s="512" t="s">
        <v>46</v>
      </c>
      <c r="K126" s="512">
        <f t="shared" ref="K126:K131" si="9">ROUND((C126+E126)*G126*I126,2)</f>
        <v>3.84</v>
      </c>
    </row>
    <row r="127" spans="1:11" s="140" customFormat="1" ht="15" customHeight="1" x14ac:dyDescent="0.2">
      <c r="A127" s="671"/>
      <c r="B127" s="247" t="s">
        <v>624</v>
      </c>
      <c r="C127" s="678">
        <f>2*0.3</f>
        <v>0.6</v>
      </c>
      <c r="D127" s="512" t="s">
        <v>615</v>
      </c>
      <c r="E127" s="512">
        <f t="shared" si="8"/>
        <v>0.3</v>
      </c>
      <c r="F127" s="512" t="s">
        <v>45</v>
      </c>
      <c r="G127" s="512">
        <v>1.2</v>
      </c>
      <c r="H127" s="512" t="s">
        <v>45</v>
      </c>
      <c r="I127" s="512">
        <v>1</v>
      </c>
      <c r="J127" s="512" t="s">
        <v>46</v>
      </c>
      <c r="K127" s="512">
        <f t="shared" si="9"/>
        <v>1.08</v>
      </c>
    </row>
    <row r="128" spans="1:11" s="140" customFormat="1" ht="15" customHeight="1" x14ac:dyDescent="0.2">
      <c r="A128" s="671"/>
      <c r="B128" s="247" t="s">
        <v>907</v>
      </c>
      <c r="C128" s="678">
        <f>2*0.25</f>
        <v>0.5</v>
      </c>
      <c r="D128" s="512" t="s">
        <v>615</v>
      </c>
      <c r="E128" s="512">
        <f t="shared" si="8"/>
        <v>0.3</v>
      </c>
      <c r="F128" s="512" t="s">
        <v>45</v>
      </c>
      <c r="G128" s="512">
        <v>1.2</v>
      </c>
      <c r="H128" s="512" t="s">
        <v>45</v>
      </c>
      <c r="I128" s="512">
        <v>1</v>
      </c>
      <c r="J128" s="512" t="s">
        <v>46</v>
      </c>
      <c r="K128" s="512">
        <f t="shared" ref="K128" si="10">ROUND((C128+E128)*G128*I128,2)</f>
        <v>0.96</v>
      </c>
    </row>
    <row r="129" spans="1:11" s="140" customFormat="1" ht="31.5" customHeight="1" x14ac:dyDescent="0.2">
      <c r="A129" s="671"/>
      <c r="B129" s="247" t="s">
        <v>903</v>
      </c>
      <c r="C129" s="678">
        <f>2*0.3</f>
        <v>0.6</v>
      </c>
      <c r="D129" s="512" t="s">
        <v>615</v>
      </c>
      <c r="E129" s="512">
        <f t="shared" si="8"/>
        <v>0.3</v>
      </c>
      <c r="F129" s="512" t="s">
        <v>45</v>
      </c>
      <c r="G129" s="512">
        <v>1.2</v>
      </c>
      <c r="H129" s="512" t="s">
        <v>45</v>
      </c>
      <c r="I129" s="512">
        <v>4</v>
      </c>
      <c r="J129" s="512" t="s">
        <v>46</v>
      </c>
      <c r="K129" s="512">
        <f t="shared" si="9"/>
        <v>4.32</v>
      </c>
    </row>
    <row r="130" spans="1:11" s="140" customFormat="1" ht="16.5" customHeight="1" x14ac:dyDescent="0.2">
      <c r="A130" s="671"/>
      <c r="B130" s="247" t="s">
        <v>909</v>
      </c>
      <c r="C130" s="678">
        <f>2*0.25</f>
        <v>0.5</v>
      </c>
      <c r="D130" s="512" t="s">
        <v>615</v>
      </c>
      <c r="E130" s="512">
        <f t="shared" si="8"/>
        <v>0.3</v>
      </c>
      <c r="F130" s="512" t="s">
        <v>45</v>
      </c>
      <c r="G130" s="512">
        <v>1.2</v>
      </c>
      <c r="H130" s="512" t="s">
        <v>45</v>
      </c>
      <c r="I130" s="512">
        <v>4</v>
      </c>
      <c r="J130" s="512" t="s">
        <v>46</v>
      </c>
      <c r="K130" s="512">
        <f t="shared" ref="K130" si="11">ROUND((C130+E130)*G130*I130,2)</f>
        <v>3.84</v>
      </c>
    </row>
    <row r="131" spans="1:11" s="140" customFormat="1" ht="16.5" customHeight="1" x14ac:dyDescent="0.2">
      <c r="A131" s="671"/>
      <c r="B131" s="247" t="s">
        <v>908</v>
      </c>
      <c r="C131" s="678">
        <f>2*0.3</f>
        <v>0.6</v>
      </c>
      <c r="D131" s="512" t="s">
        <v>615</v>
      </c>
      <c r="E131" s="512">
        <f t="shared" si="8"/>
        <v>0.3</v>
      </c>
      <c r="F131" s="512" t="s">
        <v>45</v>
      </c>
      <c r="G131" s="512">
        <v>1.2</v>
      </c>
      <c r="H131" s="512" t="s">
        <v>45</v>
      </c>
      <c r="I131" s="512">
        <v>1</v>
      </c>
      <c r="J131" s="512" t="s">
        <v>46</v>
      </c>
      <c r="K131" s="512">
        <f t="shared" si="9"/>
        <v>1.08</v>
      </c>
    </row>
    <row r="132" spans="1:11" s="21" customFormat="1" ht="12" customHeight="1" x14ac:dyDescent="0.2">
      <c r="A132" s="529"/>
      <c r="B132" s="670"/>
      <c r="C132" s="670"/>
      <c r="D132" s="670"/>
      <c r="E132" s="670"/>
      <c r="F132" s="670"/>
      <c r="G132" s="670"/>
      <c r="H132" s="670"/>
      <c r="I132" s="670"/>
    </row>
    <row r="133" spans="1:11" s="140" customFormat="1" ht="15.75" customHeight="1" x14ac:dyDescent="0.2">
      <c r="A133" s="671"/>
      <c r="B133" s="659" t="s">
        <v>47</v>
      </c>
      <c r="C133" s="661">
        <f>ROUND(SUM(K122:K131),2)</f>
        <v>34.68</v>
      </c>
      <c r="D133" s="660" t="s">
        <v>4</v>
      </c>
      <c r="E133" s="672"/>
      <c r="F133" s="672"/>
      <c r="G133" s="672"/>
      <c r="H133" s="672"/>
      <c r="I133" s="672"/>
    </row>
    <row r="135" spans="1:11" s="139" customFormat="1" ht="21" customHeight="1" x14ac:dyDescent="0.2">
      <c r="A135" s="246" t="str">
        <f>ORÇ!A40</f>
        <v>4.2.2</v>
      </c>
      <c r="B135" s="1730" t="str">
        <f>ORÇ!D40</f>
        <v>CONCRETO FCK = 25MPA, TRAÇO 1:2,3:2,7 (EM MASSA SECA DE CIMENTO/ AREIA MÉDIA/ BRITA 1) - PREPARO MECÂNICO COM BETONEIRA 400 L. AF_05/2021</v>
      </c>
      <c r="C135" s="1730"/>
      <c r="D135" s="1730"/>
      <c r="E135" s="1730"/>
      <c r="F135" s="1730"/>
      <c r="G135" s="1730"/>
      <c r="H135" s="1730"/>
      <c r="I135" s="1730"/>
      <c r="J135" s="1730"/>
      <c r="K135" s="1730"/>
    </row>
    <row r="137" spans="1:11" s="602" customFormat="1" ht="18.75" customHeight="1" x14ac:dyDescent="0.2">
      <c r="A137" s="671"/>
      <c r="B137" s="512" t="s">
        <v>616</v>
      </c>
      <c r="C137" s="512" t="s">
        <v>910</v>
      </c>
      <c r="D137" s="512"/>
      <c r="E137" s="512" t="s">
        <v>405</v>
      </c>
      <c r="F137" s="512"/>
      <c r="G137" s="512" t="s">
        <v>311</v>
      </c>
      <c r="H137" s="512"/>
      <c r="I137" s="512" t="s">
        <v>469</v>
      </c>
      <c r="J137" s="512"/>
      <c r="K137" s="512" t="s">
        <v>312</v>
      </c>
    </row>
    <row r="138" spans="1:11" s="602" customFormat="1" ht="15" customHeight="1" x14ac:dyDescent="0.2">
      <c r="A138" s="671"/>
      <c r="B138" s="247" t="s">
        <v>619</v>
      </c>
      <c r="C138" s="512">
        <v>0.25</v>
      </c>
      <c r="D138" s="512" t="s">
        <v>45</v>
      </c>
      <c r="E138" s="512">
        <v>0.15</v>
      </c>
      <c r="F138" s="512" t="s">
        <v>45</v>
      </c>
      <c r="G138" s="512">
        <f>G122</f>
        <v>1.2</v>
      </c>
      <c r="H138" s="512" t="s">
        <v>45</v>
      </c>
      <c r="I138" s="512">
        <f>I122</f>
        <v>1</v>
      </c>
      <c r="J138" s="512" t="s">
        <v>46</v>
      </c>
      <c r="K138" s="512">
        <f>ROUND(C138*E138*G138*I138,2)</f>
        <v>0.05</v>
      </c>
    </row>
    <row r="139" spans="1:11" s="140" customFormat="1" ht="57" customHeight="1" x14ac:dyDescent="0.2">
      <c r="A139" s="671"/>
      <c r="B139" s="247" t="s">
        <v>902</v>
      </c>
      <c r="C139" s="512">
        <v>0.25</v>
      </c>
      <c r="D139" s="512" t="s">
        <v>45</v>
      </c>
      <c r="E139" s="512">
        <v>0.15</v>
      </c>
      <c r="F139" s="512" t="s">
        <v>45</v>
      </c>
      <c r="G139" s="512">
        <f t="shared" ref="G139:G147" si="12">G123</f>
        <v>1.2</v>
      </c>
      <c r="H139" s="512" t="s">
        <v>45</v>
      </c>
      <c r="I139" s="512">
        <f t="shared" ref="I139:I147" si="13">I123</f>
        <v>12</v>
      </c>
      <c r="J139" s="512" t="s">
        <v>46</v>
      </c>
      <c r="K139" s="512">
        <f t="shared" ref="K139:K147" si="14">ROUND(C139*E139*G139*I139,2)</f>
        <v>0.54</v>
      </c>
    </row>
    <row r="140" spans="1:11" s="140" customFormat="1" ht="31.5" customHeight="1" x14ac:dyDescent="0.2">
      <c r="A140" s="671"/>
      <c r="B140" s="247" t="s">
        <v>904</v>
      </c>
      <c r="C140" s="512">
        <v>0.25</v>
      </c>
      <c r="D140" s="512" t="s">
        <v>45</v>
      </c>
      <c r="E140" s="512">
        <v>0.15</v>
      </c>
      <c r="F140" s="512" t="s">
        <v>45</v>
      </c>
      <c r="G140" s="512">
        <f t="shared" si="12"/>
        <v>1.2</v>
      </c>
      <c r="H140" s="512" t="s">
        <v>45</v>
      </c>
      <c r="I140" s="512">
        <f t="shared" si="13"/>
        <v>4</v>
      </c>
      <c r="J140" s="512" t="s">
        <v>46</v>
      </c>
      <c r="K140" s="512">
        <f t="shared" si="14"/>
        <v>0.18</v>
      </c>
    </row>
    <row r="141" spans="1:11" s="140" customFormat="1" ht="29.25" customHeight="1" x14ac:dyDescent="0.2">
      <c r="A141" s="671"/>
      <c r="B141" s="247" t="s">
        <v>905</v>
      </c>
      <c r="C141" s="678">
        <v>0.3</v>
      </c>
      <c r="D141" s="512" t="s">
        <v>45</v>
      </c>
      <c r="E141" s="512">
        <v>0.15</v>
      </c>
      <c r="F141" s="512" t="s">
        <v>45</v>
      </c>
      <c r="G141" s="512">
        <f t="shared" si="12"/>
        <v>1.2</v>
      </c>
      <c r="H141" s="512" t="s">
        <v>45</v>
      </c>
      <c r="I141" s="512">
        <f t="shared" si="13"/>
        <v>3</v>
      </c>
      <c r="J141" s="512" t="s">
        <v>46</v>
      </c>
      <c r="K141" s="512">
        <f t="shared" si="14"/>
        <v>0.16</v>
      </c>
    </row>
    <row r="142" spans="1:11" s="140" customFormat="1" ht="30" customHeight="1" x14ac:dyDescent="0.2">
      <c r="A142" s="671"/>
      <c r="B142" s="247" t="s">
        <v>906</v>
      </c>
      <c r="C142" s="512">
        <v>0.25</v>
      </c>
      <c r="D142" s="512" t="s">
        <v>45</v>
      </c>
      <c r="E142" s="512">
        <v>0.15</v>
      </c>
      <c r="F142" s="512" t="s">
        <v>45</v>
      </c>
      <c r="G142" s="512">
        <f t="shared" si="12"/>
        <v>1.2</v>
      </c>
      <c r="H142" s="512" t="s">
        <v>45</v>
      </c>
      <c r="I142" s="512">
        <f t="shared" si="13"/>
        <v>4</v>
      </c>
      <c r="J142" s="512" t="s">
        <v>46</v>
      </c>
      <c r="K142" s="512">
        <f t="shared" si="14"/>
        <v>0.18</v>
      </c>
    </row>
    <row r="143" spans="1:11" s="140" customFormat="1" ht="15" customHeight="1" x14ac:dyDescent="0.2">
      <c r="A143" s="671"/>
      <c r="B143" s="247" t="s">
        <v>624</v>
      </c>
      <c r="C143" s="678">
        <v>0.3</v>
      </c>
      <c r="D143" s="512" t="s">
        <v>45</v>
      </c>
      <c r="E143" s="512">
        <v>0.15</v>
      </c>
      <c r="F143" s="512" t="s">
        <v>45</v>
      </c>
      <c r="G143" s="512">
        <f t="shared" si="12"/>
        <v>1.2</v>
      </c>
      <c r="H143" s="512" t="s">
        <v>45</v>
      </c>
      <c r="I143" s="512">
        <f t="shared" si="13"/>
        <v>1</v>
      </c>
      <c r="J143" s="512" t="s">
        <v>46</v>
      </c>
      <c r="K143" s="512">
        <f t="shared" si="14"/>
        <v>0.05</v>
      </c>
    </row>
    <row r="144" spans="1:11" s="140" customFormat="1" ht="15" customHeight="1" x14ac:dyDescent="0.2">
      <c r="A144" s="671"/>
      <c r="B144" s="247" t="s">
        <v>907</v>
      </c>
      <c r="C144" s="512">
        <v>0.25</v>
      </c>
      <c r="D144" s="512" t="s">
        <v>45</v>
      </c>
      <c r="E144" s="512">
        <v>0.15</v>
      </c>
      <c r="F144" s="512" t="s">
        <v>45</v>
      </c>
      <c r="G144" s="512">
        <f t="shared" si="12"/>
        <v>1.2</v>
      </c>
      <c r="H144" s="512" t="s">
        <v>45</v>
      </c>
      <c r="I144" s="512">
        <f t="shared" si="13"/>
        <v>1</v>
      </c>
      <c r="J144" s="512" t="s">
        <v>46</v>
      </c>
      <c r="K144" s="512">
        <f t="shared" si="14"/>
        <v>0.05</v>
      </c>
    </row>
    <row r="145" spans="1:11" s="140" customFormat="1" ht="31.5" customHeight="1" x14ac:dyDescent="0.2">
      <c r="A145" s="671"/>
      <c r="B145" s="247" t="s">
        <v>903</v>
      </c>
      <c r="C145" s="678">
        <v>0.3</v>
      </c>
      <c r="D145" s="512" t="s">
        <v>45</v>
      </c>
      <c r="E145" s="512">
        <v>0.15</v>
      </c>
      <c r="F145" s="512" t="s">
        <v>45</v>
      </c>
      <c r="G145" s="512">
        <f t="shared" si="12"/>
        <v>1.2</v>
      </c>
      <c r="H145" s="512" t="s">
        <v>45</v>
      </c>
      <c r="I145" s="512">
        <f t="shared" si="13"/>
        <v>4</v>
      </c>
      <c r="J145" s="512" t="s">
        <v>46</v>
      </c>
      <c r="K145" s="512">
        <f t="shared" si="14"/>
        <v>0.22</v>
      </c>
    </row>
    <row r="146" spans="1:11" s="140" customFormat="1" ht="16.5" customHeight="1" x14ac:dyDescent="0.2">
      <c r="A146" s="671"/>
      <c r="B146" s="247" t="s">
        <v>909</v>
      </c>
      <c r="C146" s="512">
        <v>0.25</v>
      </c>
      <c r="D146" s="512" t="s">
        <v>45</v>
      </c>
      <c r="E146" s="512">
        <v>0.15</v>
      </c>
      <c r="F146" s="512" t="s">
        <v>45</v>
      </c>
      <c r="G146" s="512">
        <f t="shared" si="12"/>
        <v>1.2</v>
      </c>
      <c r="H146" s="512" t="s">
        <v>45</v>
      </c>
      <c r="I146" s="512">
        <f t="shared" si="13"/>
        <v>4</v>
      </c>
      <c r="J146" s="512" t="s">
        <v>46</v>
      </c>
      <c r="K146" s="512">
        <f t="shared" si="14"/>
        <v>0.18</v>
      </c>
    </row>
    <row r="147" spans="1:11" s="140" customFormat="1" ht="16.5" customHeight="1" x14ac:dyDescent="0.2">
      <c r="A147" s="671"/>
      <c r="B147" s="247" t="s">
        <v>908</v>
      </c>
      <c r="C147" s="678">
        <v>0.3</v>
      </c>
      <c r="D147" s="512" t="s">
        <v>45</v>
      </c>
      <c r="E147" s="512">
        <v>0.15</v>
      </c>
      <c r="F147" s="512" t="s">
        <v>45</v>
      </c>
      <c r="G147" s="512">
        <f t="shared" si="12"/>
        <v>1.2</v>
      </c>
      <c r="H147" s="512" t="s">
        <v>45</v>
      </c>
      <c r="I147" s="512">
        <f t="shared" si="13"/>
        <v>1</v>
      </c>
      <c r="J147" s="512" t="s">
        <v>46</v>
      </c>
      <c r="K147" s="512">
        <f t="shared" si="14"/>
        <v>0.05</v>
      </c>
    </row>
    <row r="148" spans="1:11" s="21" customFormat="1" ht="12" customHeight="1" x14ac:dyDescent="0.2">
      <c r="A148" s="529"/>
      <c r="B148" s="670"/>
      <c r="C148" s="670"/>
      <c r="D148" s="670"/>
      <c r="E148" s="670"/>
      <c r="F148" s="670"/>
      <c r="G148" s="670"/>
      <c r="H148" s="670"/>
      <c r="I148" s="670"/>
    </row>
    <row r="149" spans="1:11" s="140" customFormat="1" ht="15.75" customHeight="1" x14ac:dyDescent="0.2">
      <c r="A149" s="671"/>
      <c r="B149" s="659" t="s">
        <v>47</v>
      </c>
      <c r="C149" s="661">
        <f>ROUND(SUM(K138:K147),2)</f>
        <v>1.66</v>
      </c>
      <c r="D149" s="660" t="s">
        <v>497</v>
      </c>
      <c r="E149" s="672"/>
      <c r="F149" s="672"/>
      <c r="G149" s="672"/>
      <c r="H149" s="672"/>
      <c r="I149" s="672"/>
    </row>
    <row r="150" spans="1:11" s="21" customFormat="1" x14ac:dyDescent="0.2"/>
    <row r="151" spans="1:11" s="139" customFormat="1" ht="29.25" customHeight="1" x14ac:dyDescent="0.2">
      <c r="A151" s="246" t="str">
        <f>ORÇ!A41</f>
        <v>4.2.3</v>
      </c>
      <c r="B151" s="1730" t="str">
        <f>ORÇ!D41</f>
        <v>LANÇAMENTO COM USO DE BALDES, ADENSAMENTO E ACABAMENTO DE CONCRETO EM ESTRUTURAS. AF_02/2022</v>
      </c>
      <c r="C151" s="1730"/>
      <c r="D151" s="1730"/>
      <c r="E151" s="1730"/>
      <c r="F151" s="1730"/>
      <c r="G151" s="1730"/>
      <c r="H151" s="1730"/>
      <c r="I151" s="1730"/>
      <c r="J151" s="1730"/>
      <c r="K151" s="1730"/>
    </row>
    <row r="153" spans="1:11" s="21" customFormat="1" ht="12" customHeight="1" x14ac:dyDescent="0.2">
      <c r="A153" s="529"/>
      <c r="B153" s="1731" t="s">
        <v>1097</v>
      </c>
      <c r="C153" s="1731"/>
      <c r="D153" s="1731"/>
      <c r="E153" s="1731"/>
      <c r="F153" s="670"/>
      <c r="G153" s="670"/>
      <c r="H153" s="670"/>
      <c r="I153" s="670"/>
    </row>
    <row r="154" spans="1:11" s="140" customFormat="1" ht="15.75" customHeight="1" x14ac:dyDescent="0.2">
      <c r="A154" s="671"/>
      <c r="B154" s="659" t="s">
        <v>47</v>
      </c>
      <c r="C154" s="661">
        <f>C149</f>
        <v>1.66</v>
      </c>
      <c r="D154" s="660" t="s">
        <v>497</v>
      </c>
      <c r="E154" s="672"/>
      <c r="F154" s="672"/>
      <c r="G154" s="672"/>
      <c r="H154" s="672"/>
      <c r="I154" s="672"/>
    </row>
    <row r="156" spans="1:11" ht="30.75" customHeight="1" x14ac:dyDescent="0.2">
      <c r="A156" s="246" t="str">
        <f>ORÇ!A42</f>
        <v>4.2.4</v>
      </c>
      <c r="B156" s="1730" t="str">
        <f>ORÇ!D42</f>
        <v>ARMAÇÃO DE PILAR OU VIGA DE UMA ESTRUTURA CONVENCIONAL DE CONCRETO ARMADO EM UM EDIFÍCIO DE MÚLTIPLOS PAVIMENTOS UTILIZANDO AÇO CA-50 DE 10,0 MM - MONTAGEM. AF_12/2015</v>
      </c>
      <c r="C156" s="1730"/>
      <c r="D156" s="1730"/>
      <c r="E156" s="1730"/>
      <c r="F156" s="1730"/>
      <c r="G156" s="1730"/>
      <c r="H156" s="1730"/>
      <c r="I156" s="1730"/>
      <c r="J156" s="1730"/>
      <c r="K156" s="1730"/>
    </row>
    <row r="158" spans="1:11" s="602" customFormat="1" ht="21.75" customHeight="1" x14ac:dyDescent="0.2">
      <c r="A158" s="671"/>
      <c r="B158" s="512" t="s">
        <v>616</v>
      </c>
      <c r="C158" s="512" t="s">
        <v>917</v>
      </c>
      <c r="D158" s="512" t="s">
        <v>753</v>
      </c>
      <c r="E158" s="512"/>
      <c r="F158" s="512" t="s">
        <v>590</v>
      </c>
      <c r="G158" s="512"/>
      <c r="H158" s="512" t="s">
        <v>952</v>
      </c>
      <c r="I158" s="512"/>
      <c r="J158" s="512" t="s">
        <v>614</v>
      </c>
      <c r="K158" s="522"/>
    </row>
    <row r="159" spans="1:11" s="602" customFormat="1" ht="17.25" customHeight="1" x14ac:dyDescent="0.2">
      <c r="A159" s="671"/>
      <c r="B159" s="247" t="s">
        <v>619</v>
      </c>
      <c r="C159" s="512" t="s">
        <v>940</v>
      </c>
      <c r="D159" s="512">
        <v>2.02</v>
      </c>
      <c r="E159" s="512" t="s">
        <v>45</v>
      </c>
      <c r="F159" s="512">
        <v>8</v>
      </c>
      <c r="G159" s="512" t="s">
        <v>45</v>
      </c>
      <c r="H159" s="512">
        <f>I138</f>
        <v>1</v>
      </c>
      <c r="I159" s="512" t="s">
        <v>46</v>
      </c>
      <c r="J159" s="512">
        <f>ROUND(D159*F159*H159,2)</f>
        <v>16.16</v>
      </c>
    </row>
    <row r="160" spans="1:11" s="140" customFormat="1" ht="17.25" customHeight="1" x14ac:dyDescent="0.2">
      <c r="A160" s="671"/>
      <c r="B160" s="247" t="s">
        <v>622</v>
      </c>
      <c r="C160" s="512" t="s">
        <v>926</v>
      </c>
      <c r="D160" s="512">
        <v>2.02</v>
      </c>
      <c r="E160" s="512" t="s">
        <v>45</v>
      </c>
      <c r="F160" s="512">
        <v>4</v>
      </c>
      <c r="G160" s="512" t="s">
        <v>45</v>
      </c>
      <c r="H160" s="512">
        <v>1</v>
      </c>
      <c r="I160" s="512" t="s">
        <v>46</v>
      </c>
      <c r="J160" s="512">
        <f t="shared" ref="J160:J169" si="15">ROUND(D160*F160*H160,2)</f>
        <v>8.08</v>
      </c>
    </row>
    <row r="161" spans="1:11" s="140" customFormat="1" ht="15.75" customHeight="1" x14ac:dyDescent="0.2">
      <c r="A161" s="671"/>
      <c r="B161" s="247" t="s">
        <v>941</v>
      </c>
      <c r="C161" s="512" t="s">
        <v>926</v>
      </c>
      <c r="D161" s="512">
        <v>2.02</v>
      </c>
      <c r="E161" s="512" t="s">
        <v>45</v>
      </c>
      <c r="F161" s="512">
        <v>10</v>
      </c>
      <c r="G161" s="512" t="s">
        <v>45</v>
      </c>
      <c r="H161" s="512">
        <v>1</v>
      </c>
      <c r="I161" s="512" t="s">
        <v>46</v>
      </c>
      <c r="J161" s="512">
        <f t="shared" ref="J161:J162" si="16">ROUND(D161*F161*H161,2)</f>
        <v>20.2</v>
      </c>
    </row>
    <row r="162" spans="1:11" s="140" customFormat="1" ht="20.25" customHeight="1" x14ac:dyDescent="0.2">
      <c r="A162" s="671"/>
      <c r="B162" s="247" t="s">
        <v>942</v>
      </c>
      <c r="C162" s="512" t="s">
        <v>926</v>
      </c>
      <c r="D162" s="512">
        <v>2.02</v>
      </c>
      <c r="E162" s="512" t="s">
        <v>45</v>
      </c>
      <c r="F162" s="512">
        <v>14</v>
      </c>
      <c r="G162" s="512" t="s">
        <v>45</v>
      </c>
      <c r="H162" s="512">
        <v>1</v>
      </c>
      <c r="I162" s="512" t="s">
        <v>46</v>
      </c>
      <c r="J162" s="512">
        <f t="shared" si="16"/>
        <v>28.28</v>
      </c>
    </row>
    <row r="163" spans="1:11" s="140" customFormat="1" ht="30" customHeight="1" x14ac:dyDescent="0.2">
      <c r="A163" s="671"/>
      <c r="B163" s="247" t="s">
        <v>943</v>
      </c>
      <c r="C163" s="512" t="s">
        <v>926</v>
      </c>
      <c r="D163" s="512">
        <v>2.02</v>
      </c>
      <c r="E163" s="512" t="s">
        <v>45</v>
      </c>
      <c r="F163" s="512">
        <v>6</v>
      </c>
      <c r="G163" s="512" t="s">
        <v>45</v>
      </c>
      <c r="H163" s="512">
        <v>3</v>
      </c>
      <c r="I163" s="512" t="s">
        <v>46</v>
      </c>
      <c r="J163" s="512">
        <f t="shared" ref="J163" si="17">ROUND(D163*F163*H163,2)</f>
        <v>36.36</v>
      </c>
    </row>
    <row r="164" spans="1:11" s="140" customFormat="1" ht="18.75" customHeight="1" x14ac:dyDescent="0.2">
      <c r="A164" s="671"/>
      <c r="B164" s="247" t="s">
        <v>944</v>
      </c>
      <c r="C164" s="512" t="s">
        <v>946</v>
      </c>
      <c r="D164" s="512">
        <v>2.02</v>
      </c>
      <c r="E164" s="512" t="s">
        <v>45</v>
      </c>
      <c r="F164" s="512">
        <v>12</v>
      </c>
      <c r="G164" s="512" t="s">
        <v>45</v>
      </c>
      <c r="H164" s="512">
        <v>2</v>
      </c>
      <c r="I164" s="512" t="s">
        <v>46</v>
      </c>
      <c r="J164" s="512">
        <f t="shared" si="15"/>
        <v>48.48</v>
      </c>
    </row>
    <row r="165" spans="1:11" s="140" customFormat="1" ht="25.5" customHeight="1" x14ac:dyDescent="0.2">
      <c r="A165" s="671"/>
      <c r="B165" s="247" t="s">
        <v>948</v>
      </c>
      <c r="C165" s="512" t="s">
        <v>946</v>
      </c>
      <c r="D165" s="512">
        <v>2.02</v>
      </c>
      <c r="E165" s="512" t="s">
        <v>45</v>
      </c>
      <c r="F165" s="512">
        <v>4</v>
      </c>
      <c r="G165" s="512" t="s">
        <v>45</v>
      </c>
      <c r="H165" s="512">
        <v>3</v>
      </c>
      <c r="I165" s="512" t="s">
        <v>46</v>
      </c>
      <c r="J165" s="512">
        <f t="shared" si="15"/>
        <v>24.24</v>
      </c>
    </row>
    <row r="166" spans="1:11" s="140" customFormat="1" ht="19.5" customHeight="1" x14ac:dyDescent="0.2">
      <c r="A166" s="671"/>
      <c r="B166" s="247" t="s">
        <v>947</v>
      </c>
      <c r="C166" s="512" t="s">
        <v>946</v>
      </c>
      <c r="D166" s="512">
        <v>2.02</v>
      </c>
      <c r="E166" s="512" t="s">
        <v>45</v>
      </c>
      <c r="F166" s="512">
        <v>6</v>
      </c>
      <c r="G166" s="512" t="s">
        <v>45</v>
      </c>
      <c r="H166" s="512">
        <f>I143</f>
        <v>1</v>
      </c>
      <c r="I166" s="512" t="s">
        <v>46</v>
      </c>
      <c r="J166" s="512">
        <f t="shared" ref="J166" si="18">ROUND(D166*F166*H166,2)</f>
        <v>12.12</v>
      </c>
    </row>
    <row r="167" spans="1:11" s="140" customFormat="1" ht="15" customHeight="1" x14ac:dyDescent="0.2">
      <c r="A167" s="671"/>
      <c r="B167" s="247" t="s">
        <v>907</v>
      </c>
      <c r="C167" s="512" t="s">
        <v>946</v>
      </c>
      <c r="D167" s="512">
        <v>2.02</v>
      </c>
      <c r="E167" s="512" t="s">
        <v>45</v>
      </c>
      <c r="F167" s="512">
        <v>8</v>
      </c>
      <c r="G167" s="512" t="s">
        <v>45</v>
      </c>
      <c r="H167" s="512">
        <f>I144</f>
        <v>1</v>
      </c>
      <c r="I167" s="512" t="s">
        <v>46</v>
      </c>
      <c r="J167" s="512">
        <f t="shared" si="15"/>
        <v>16.16</v>
      </c>
    </row>
    <row r="168" spans="1:11" s="140" customFormat="1" ht="16.5" customHeight="1" x14ac:dyDescent="0.2">
      <c r="A168" s="671"/>
      <c r="B168" s="247" t="s">
        <v>949</v>
      </c>
      <c r="C168" s="512" t="s">
        <v>950</v>
      </c>
      <c r="D168" s="512">
        <v>1.64</v>
      </c>
      <c r="E168" s="512" t="s">
        <v>45</v>
      </c>
      <c r="F168" s="512">
        <v>14</v>
      </c>
      <c r="G168" s="512" t="s">
        <v>45</v>
      </c>
      <c r="H168" s="512">
        <v>1</v>
      </c>
      <c r="I168" s="512" t="s">
        <v>46</v>
      </c>
      <c r="J168" s="512">
        <f t="shared" si="15"/>
        <v>22.96</v>
      </c>
    </row>
    <row r="169" spans="1:11" s="140" customFormat="1" ht="16.5" customHeight="1" x14ac:dyDescent="0.2">
      <c r="A169" s="671"/>
      <c r="B169" s="247" t="s">
        <v>909</v>
      </c>
      <c r="C169" s="512" t="s">
        <v>919</v>
      </c>
      <c r="D169" s="512">
        <v>2.02</v>
      </c>
      <c r="E169" s="512" t="s">
        <v>45</v>
      </c>
      <c r="F169" s="512">
        <v>12</v>
      </c>
      <c r="G169" s="512" t="s">
        <v>45</v>
      </c>
      <c r="H169" s="512">
        <f>I146</f>
        <v>4</v>
      </c>
      <c r="I169" s="512" t="s">
        <v>46</v>
      </c>
      <c r="J169" s="512">
        <f t="shared" si="15"/>
        <v>96.96</v>
      </c>
    </row>
    <row r="170" spans="1:11" s="471" customFormat="1" ht="12" customHeight="1" x14ac:dyDescent="0.2">
      <c r="A170" s="679"/>
      <c r="B170" s="680"/>
      <c r="C170" s="680"/>
      <c r="D170" s="680"/>
      <c r="E170" s="680"/>
      <c r="F170" s="680"/>
      <c r="G170" s="680"/>
      <c r="H170" s="680"/>
      <c r="I170" s="680"/>
    </row>
    <row r="171" spans="1:11" s="140" customFormat="1" ht="17.25" customHeight="1" x14ac:dyDescent="0.2">
      <c r="A171" s="671"/>
      <c r="B171" s="672"/>
      <c r="C171" s="512" t="s">
        <v>614</v>
      </c>
      <c r="D171" s="521"/>
      <c r="E171" s="512" t="s">
        <v>928</v>
      </c>
      <c r="F171" s="521"/>
      <c r="G171" s="681" t="s">
        <v>967</v>
      </c>
      <c r="H171" s="672"/>
      <c r="I171" s="672"/>
    </row>
    <row r="172" spans="1:11" s="685" customFormat="1" ht="30" customHeight="1" x14ac:dyDescent="0.2">
      <c r="A172" s="682"/>
      <c r="B172" s="678" t="s">
        <v>939</v>
      </c>
      <c r="C172" s="678">
        <f>ROUND(SUM(J159:J170),2)</f>
        <v>330</v>
      </c>
      <c r="D172" s="678" t="s">
        <v>45</v>
      </c>
      <c r="E172" s="683">
        <v>0.61699999999999999</v>
      </c>
      <c r="F172" s="512" t="s">
        <v>46</v>
      </c>
      <c r="G172" s="681">
        <f>ROUND(C172*E172,2)</f>
        <v>203.61</v>
      </c>
      <c r="H172" s="684"/>
      <c r="I172" s="684"/>
    </row>
    <row r="173" spans="1:11" s="471" customFormat="1" x14ac:dyDescent="0.2"/>
    <row r="174" spans="1:11" s="21" customFormat="1" ht="30.75" customHeight="1" x14ac:dyDescent="0.2">
      <c r="A174" s="246" t="str">
        <f>ORÇ!A43</f>
        <v>4.2.5</v>
      </c>
      <c r="B174" s="1730" t="str">
        <f>ORÇ!D43</f>
        <v>ARMAÇÃO DE PILAR OU VIGA DE UMA ESTRUTURA CONVENCIONAL DE CONCRETO ARMADO EM UM EDIFÍCIO DE MÚLTIPLOS PAVIMENTOS UTILIZANDO AÇO CA-50 DE 12,5 MM - MONTAGEM. AF_12/2015</v>
      </c>
      <c r="C174" s="1730"/>
      <c r="D174" s="1730"/>
      <c r="E174" s="1730"/>
      <c r="F174" s="1730"/>
      <c r="G174" s="1730"/>
      <c r="H174" s="1730"/>
      <c r="I174" s="1730"/>
      <c r="J174" s="1730"/>
      <c r="K174" s="1730"/>
    </row>
    <row r="175" spans="1:11" s="687" customFormat="1" x14ac:dyDescent="0.2"/>
    <row r="176" spans="1:11" s="714" customFormat="1" ht="18.75" customHeight="1" x14ac:dyDescent="0.2">
      <c r="A176" s="711"/>
      <c r="B176" s="712" t="s">
        <v>616</v>
      </c>
      <c r="C176" s="712" t="s">
        <v>917</v>
      </c>
      <c r="D176" s="712" t="s">
        <v>753</v>
      </c>
      <c r="E176" s="712"/>
      <c r="F176" s="712" t="s">
        <v>590</v>
      </c>
      <c r="G176" s="712"/>
      <c r="H176" s="712" t="s">
        <v>962</v>
      </c>
      <c r="I176" s="712"/>
      <c r="J176" s="712" t="s">
        <v>614</v>
      </c>
      <c r="K176" s="713"/>
    </row>
    <row r="177" spans="1:10" s="716" customFormat="1" ht="15.75" customHeight="1" x14ac:dyDescent="0.2">
      <c r="A177" s="711"/>
      <c r="B177" s="715" t="s">
        <v>620</v>
      </c>
      <c r="C177" s="712" t="s">
        <v>919</v>
      </c>
      <c r="D177" s="712">
        <v>2.11</v>
      </c>
      <c r="E177" s="712" t="s">
        <v>45</v>
      </c>
      <c r="F177" s="712">
        <v>6</v>
      </c>
      <c r="G177" s="712" t="s">
        <v>45</v>
      </c>
      <c r="H177" s="712">
        <v>1</v>
      </c>
      <c r="I177" s="712" t="s">
        <v>46</v>
      </c>
      <c r="J177" s="712">
        <f t="shared" ref="J177:J187" si="19">ROUND(D177*F177*H177,2)</f>
        <v>12.66</v>
      </c>
    </row>
    <row r="178" spans="1:10" s="716" customFormat="1" ht="30" customHeight="1" x14ac:dyDescent="0.2">
      <c r="A178" s="711"/>
      <c r="B178" s="715" t="s">
        <v>953</v>
      </c>
      <c r="C178" s="712" t="s">
        <v>919</v>
      </c>
      <c r="D178" s="712">
        <v>2.11</v>
      </c>
      <c r="E178" s="712" t="s">
        <v>45</v>
      </c>
      <c r="F178" s="712">
        <v>4</v>
      </c>
      <c r="G178" s="712" t="s">
        <v>45</v>
      </c>
      <c r="H178" s="712">
        <v>4</v>
      </c>
      <c r="I178" s="712" t="s">
        <v>46</v>
      </c>
      <c r="J178" s="712">
        <f t="shared" ref="J178" si="20">ROUND(D178*F178*H178,2)</f>
        <v>33.76</v>
      </c>
    </row>
    <row r="179" spans="1:10" s="716" customFormat="1" ht="30" customHeight="1" x14ac:dyDescent="0.2">
      <c r="A179" s="711"/>
      <c r="B179" s="715" t="s">
        <v>953</v>
      </c>
      <c r="C179" s="712" t="s">
        <v>920</v>
      </c>
      <c r="D179" s="712">
        <v>1.64</v>
      </c>
      <c r="E179" s="712" t="s">
        <v>45</v>
      </c>
      <c r="F179" s="712">
        <v>2</v>
      </c>
      <c r="G179" s="712" t="s">
        <v>45</v>
      </c>
      <c r="H179" s="712">
        <v>4</v>
      </c>
      <c r="I179" s="712" t="s">
        <v>46</v>
      </c>
      <c r="J179" s="712">
        <f t="shared" ref="J179" si="21">ROUND(D179*F179*H179,2)</f>
        <v>13.12</v>
      </c>
    </row>
    <row r="180" spans="1:10" s="140" customFormat="1" ht="15.75" customHeight="1" x14ac:dyDescent="0.2">
      <c r="A180" s="671"/>
      <c r="B180" s="247" t="s">
        <v>954</v>
      </c>
      <c r="C180" s="512" t="s">
        <v>919</v>
      </c>
      <c r="D180" s="512">
        <v>2.11</v>
      </c>
      <c r="E180" s="512" t="s">
        <v>45</v>
      </c>
      <c r="F180" s="512">
        <v>6</v>
      </c>
      <c r="G180" s="512" t="s">
        <v>45</v>
      </c>
      <c r="H180" s="512">
        <v>1</v>
      </c>
      <c r="I180" s="512" t="s">
        <v>46</v>
      </c>
      <c r="J180" s="512">
        <f t="shared" ref="J180" si="22">ROUND(D180*F180*H180,2)</f>
        <v>12.66</v>
      </c>
    </row>
    <row r="181" spans="1:10" s="140" customFormat="1" ht="15.75" customHeight="1" x14ac:dyDescent="0.2">
      <c r="A181" s="671"/>
      <c r="B181" s="247" t="s">
        <v>954</v>
      </c>
      <c r="C181" s="512" t="s">
        <v>920</v>
      </c>
      <c r="D181" s="512">
        <v>1.64</v>
      </c>
      <c r="E181" s="512" t="s">
        <v>45</v>
      </c>
      <c r="F181" s="512">
        <v>2</v>
      </c>
      <c r="G181" s="512" t="s">
        <v>45</v>
      </c>
      <c r="H181" s="512">
        <v>1</v>
      </c>
      <c r="I181" s="512" t="s">
        <v>46</v>
      </c>
      <c r="J181" s="512">
        <f t="shared" ref="J181:J182" si="23">ROUND(D181*F181*H181,2)</f>
        <v>3.28</v>
      </c>
    </row>
    <row r="182" spans="1:10" s="140" customFormat="1" ht="18" customHeight="1" x14ac:dyDescent="0.2">
      <c r="A182" s="671"/>
      <c r="B182" s="247" t="s">
        <v>621</v>
      </c>
      <c r="C182" s="512" t="s">
        <v>955</v>
      </c>
      <c r="D182" s="512">
        <v>2.11</v>
      </c>
      <c r="E182" s="512" t="s">
        <v>45</v>
      </c>
      <c r="F182" s="512">
        <v>10</v>
      </c>
      <c r="G182" s="512" t="s">
        <v>45</v>
      </c>
      <c r="H182" s="512">
        <v>1</v>
      </c>
      <c r="I182" s="512" t="s">
        <v>46</v>
      </c>
      <c r="J182" s="512">
        <f t="shared" si="23"/>
        <v>21.1</v>
      </c>
    </row>
    <row r="183" spans="1:10" s="140" customFormat="1" ht="18.75" customHeight="1" x14ac:dyDescent="0.2">
      <c r="A183" s="671"/>
      <c r="B183" s="247" t="s">
        <v>956</v>
      </c>
      <c r="C183" s="512" t="s">
        <v>957</v>
      </c>
      <c r="D183" s="512">
        <v>1.64</v>
      </c>
      <c r="E183" s="512" t="s">
        <v>45</v>
      </c>
      <c r="F183" s="512">
        <v>6</v>
      </c>
      <c r="G183" s="512" t="s">
        <v>45</v>
      </c>
      <c r="H183" s="512">
        <v>2</v>
      </c>
      <c r="I183" s="512" t="s">
        <v>46</v>
      </c>
      <c r="J183" s="512">
        <f t="shared" ref="J183" si="24">ROUND(D183*F183*H183,2)</f>
        <v>19.68</v>
      </c>
    </row>
    <row r="184" spans="1:10" s="140" customFormat="1" ht="15.75" customHeight="1" x14ac:dyDescent="0.2">
      <c r="A184" s="671"/>
      <c r="B184" s="247" t="s">
        <v>624</v>
      </c>
      <c r="C184" s="512" t="s">
        <v>955</v>
      </c>
      <c r="D184" s="512">
        <v>2.11</v>
      </c>
      <c r="E184" s="512" t="s">
        <v>45</v>
      </c>
      <c r="F184" s="512">
        <v>12</v>
      </c>
      <c r="G184" s="512" t="s">
        <v>45</v>
      </c>
      <c r="H184" s="512">
        <f>I127</f>
        <v>1</v>
      </c>
      <c r="I184" s="512" t="s">
        <v>46</v>
      </c>
      <c r="J184" s="512">
        <f t="shared" si="19"/>
        <v>25.32</v>
      </c>
    </row>
    <row r="185" spans="1:10" s="140" customFormat="1" ht="15.75" customHeight="1" x14ac:dyDescent="0.2">
      <c r="A185" s="671"/>
      <c r="B185" s="247" t="s">
        <v>949</v>
      </c>
      <c r="C185" s="512" t="s">
        <v>958</v>
      </c>
      <c r="D185" s="512">
        <v>0.94</v>
      </c>
      <c r="E185" s="512" t="s">
        <v>45</v>
      </c>
      <c r="F185" s="512">
        <v>6</v>
      </c>
      <c r="G185" s="512" t="s">
        <v>45</v>
      </c>
      <c r="H185" s="512">
        <f>I128</f>
        <v>1</v>
      </c>
      <c r="I185" s="512" t="s">
        <v>46</v>
      </c>
      <c r="J185" s="512">
        <f t="shared" si="19"/>
        <v>5.64</v>
      </c>
    </row>
    <row r="186" spans="1:10" s="140" customFormat="1" ht="15.75" customHeight="1" x14ac:dyDescent="0.2">
      <c r="A186" s="671"/>
      <c r="B186" s="247" t="s">
        <v>951</v>
      </c>
      <c r="C186" s="512" t="s">
        <v>955</v>
      </c>
      <c r="D186" s="512">
        <v>2.11</v>
      </c>
      <c r="E186" s="512" t="s">
        <v>45</v>
      </c>
      <c r="F186" s="512">
        <v>8</v>
      </c>
      <c r="G186" s="512" t="s">
        <v>45</v>
      </c>
      <c r="H186" s="512">
        <f>I127</f>
        <v>1</v>
      </c>
      <c r="I186" s="512" t="s">
        <v>46</v>
      </c>
      <c r="J186" s="512">
        <f t="shared" ref="J186" si="25">ROUND(D186*F186*H186,2)</f>
        <v>16.88</v>
      </c>
    </row>
    <row r="187" spans="1:10" s="140" customFormat="1" ht="15.75" customHeight="1" x14ac:dyDescent="0.2">
      <c r="A187" s="671"/>
      <c r="B187" s="247" t="s">
        <v>959</v>
      </c>
      <c r="C187" s="512" t="s">
        <v>955</v>
      </c>
      <c r="D187" s="512">
        <v>2.11</v>
      </c>
      <c r="E187" s="512" t="s">
        <v>45</v>
      </c>
      <c r="F187" s="512">
        <v>10</v>
      </c>
      <c r="G187" s="512" t="s">
        <v>45</v>
      </c>
      <c r="H187" s="512">
        <f>I128</f>
        <v>1</v>
      </c>
      <c r="I187" s="512" t="s">
        <v>46</v>
      </c>
      <c r="J187" s="512">
        <f t="shared" si="19"/>
        <v>21.1</v>
      </c>
    </row>
    <row r="188" spans="1:10" s="140" customFormat="1" ht="15.75" customHeight="1" x14ac:dyDescent="0.2">
      <c r="A188" s="671"/>
      <c r="B188" s="247" t="s">
        <v>960</v>
      </c>
      <c r="C188" s="512" t="s">
        <v>955</v>
      </c>
      <c r="D188" s="512">
        <v>2.11</v>
      </c>
      <c r="E188" s="512" t="s">
        <v>45</v>
      </c>
      <c r="F188" s="512">
        <v>12</v>
      </c>
      <c r="G188" s="512" t="s">
        <v>45</v>
      </c>
      <c r="H188" s="512">
        <f>I129</f>
        <v>4</v>
      </c>
      <c r="I188" s="512" t="s">
        <v>46</v>
      </c>
      <c r="J188" s="512">
        <f t="shared" ref="J188:J189" si="26">ROUND(D188*F188*H188,2)</f>
        <v>101.28</v>
      </c>
    </row>
    <row r="189" spans="1:10" s="140" customFormat="1" ht="18.75" customHeight="1" x14ac:dyDescent="0.2">
      <c r="A189" s="671"/>
      <c r="B189" s="247" t="s">
        <v>908</v>
      </c>
      <c r="C189" s="512" t="s">
        <v>923</v>
      </c>
      <c r="D189" s="512">
        <v>2.11</v>
      </c>
      <c r="E189" s="512" t="s">
        <v>45</v>
      </c>
      <c r="F189" s="512">
        <v>6</v>
      </c>
      <c r="G189" s="512" t="s">
        <v>45</v>
      </c>
      <c r="H189" s="512">
        <f>I131</f>
        <v>1</v>
      </c>
      <c r="I189" s="512" t="s">
        <v>46</v>
      </c>
      <c r="J189" s="512">
        <f t="shared" si="26"/>
        <v>12.66</v>
      </c>
    </row>
    <row r="190" spans="1:10" s="21" customFormat="1" ht="12" customHeight="1" x14ac:dyDescent="0.2">
      <c r="A190" s="529"/>
      <c r="B190" s="670"/>
      <c r="C190" s="670"/>
      <c r="D190" s="670"/>
      <c r="E190" s="670"/>
      <c r="F190" s="670"/>
      <c r="G190" s="670"/>
      <c r="H190" s="670"/>
      <c r="I190" s="670"/>
    </row>
    <row r="191" spans="1:10" s="140" customFormat="1" ht="17.25" customHeight="1" x14ac:dyDescent="0.2">
      <c r="A191" s="671"/>
      <c r="B191" s="672"/>
      <c r="C191" s="512" t="s">
        <v>614</v>
      </c>
      <c r="D191" s="521"/>
      <c r="E191" s="512" t="s">
        <v>928</v>
      </c>
      <c r="F191" s="521"/>
      <c r="G191" s="681" t="s">
        <v>967</v>
      </c>
      <c r="H191" s="672"/>
      <c r="I191" s="672"/>
    </row>
    <row r="192" spans="1:10" s="685" customFormat="1" ht="30" customHeight="1" x14ac:dyDescent="0.2">
      <c r="A192" s="682"/>
      <c r="B192" s="678" t="s">
        <v>961</v>
      </c>
      <c r="C192" s="678">
        <f>ROUND(SUM(J177:J190),2)</f>
        <v>299.14</v>
      </c>
      <c r="D192" s="678" t="s">
        <v>45</v>
      </c>
      <c r="E192" s="683">
        <v>0.96299999999999997</v>
      </c>
      <c r="F192" s="512" t="s">
        <v>46</v>
      </c>
      <c r="G192" s="681">
        <f>ROUND(C192*E192,2)</f>
        <v>288.07</v>
      </c>
      <c r="H192" s="684"/>
      <c r="I192" s="684"/>
    </row>
    <row r="193" spans="1:11" s="687" customFormat="1" x14ac:dyDescent="0.2"/>
    <row r="194" spans="1:11" s="21" customFormat="1" ht="30.75" customHeight="1" x14ac:dyDescent="0.2">
      <c r="A194" s="246" t="str">
        <f>ORÇ!A44</f>
        <v>4.2.6</v>
      </c>
      <c r="B194" s="1730" t="str">
        <f>ORÇ!D44</f>
        <v>ARMAÇÃO DE PILAR OU VIGA DE UMA ESTRUTURA CONVENCIONAL DE CONCRETO ARMADO EM UM EDIFÍCIO DE MÚLTIPLOS PAVIMENTOS UTILIZANDO AÇO CA-50 DE 16,0 MM - MONTAGEM. AF_12/2015</v>
      </c>
      <c r="C194" s="1730"/>
      <c r="D194" s="1730"/>
      <c r="E194" s="1730"/>
      <c r="F194" s="1730"/>
      <c r="G194" s="1730"/>
      <c r="H194" s="1730"/>
      <c r="I194" s="1730"/>
      <c r="J194" s="1730"/>
      <c r="K194" s="1730"/>
    </row>
    <row r="195" spans="1:11" s="687" customFormat="1" x14ac:dyDescent="0.2"/>
    <row r="196" spans="1:11" s="602" customFormat="1" ht="17.25" customHeight="1" x14ac:dyDescent="0.2">
      <c r="A196" s="671"/>
      <c r="B196" s="512" t="s">
        <v>616</v>
      </c>
      <c r="C196" s="512" t="s">
        <v>917</v>
      </c>
      <c r="D196" s="512" t="s">
        <v>753</v>
      </c>
      <c r="E196" s="512"/>
      <c r="F196" s="512" t="s">
        <v>590</v>
      </c>
      <c r="G196" s="512"/>
      <c r="H196" s="512" t="s">
        <v>963</v>
      </c>
      <c r="I196" s="512"/>
      <c r="J196" s="512" t="s">
        <v>614</v>
      </c>
      <c r="K196" s="522"/>
    </row>
    <row r="197" spans="1:11" s="140" customFormat="1" ht="21" customHeight="1" x14ac:dyDescent="0.2">
      <c r="A197" s="671"/>
      <c r="B197" s="247" t="s">
        <v>625</v>
      </c>
      <c r="C197" s="512" t="s">
        <v>964</v>
      </c>
      <c r="D197" s="512">
        <v>2.2400000000000002</v>
      </c>
      <c r="E197" s="512" t="s">
        <v>45</v>
      </c>
      <c r="F197" s="512">
        <v>6</v>
      </c>
      <c r="G197" s="512" t="s">
        <v>45</v>
      </c>
      <c r="H197" s="512">
        <v>1</v>
      </c>
      <c r="I197" s="512" t="s">
        <v>46</v>
      </c>
      <c r="J197" s="512">
        <f t="shared" ref="J197:J198" si="27">ROUND(D197*F197*H197,2)</f>
        <v>13.44</v>
      </c>
    </row>
    <row r="198" spans="1:11" s="140" customFormat="1" ht="21.75" customHeight="1" x14ac:dyDescent="0.2">
      <c r="A198" s="671"/>
      <c r="B198" s="247" t="s">
        <v>956</v>
      </c>
      <c r="C198" s="512" t="s">
        <v>966</v>
      </c>
      <c r="D198" s="512">
        <v>1.21</v>
      </c>
      <c r="E198" s="512" t="s">
        <v>45</v>
      </c>
      <c r="F198" s="512">
        <v>4</v>
      </c>
      <c r="G198" s="512" t="s">
        <v>45</v>
      </c>
      <c r="H198" s="512">
        <v>2</v>
      </c>
      <c r="I198" s="512" t="s">
        <v>46</v>
      </c>
      <c r="J198" s="512">
        <f t="shared" si="27"/>
        <v>9.68</v>
      </c>
    </row>
    <row r="199" spans="1:11" s="21" customFormat="1" ht="12" customHeight="1" x14ac:dyDescent="0.2">
      <c r="A199" s="529"/>
      <c r="B199" s="670"/>
      <c r="C199" s="670"/>
      <c r="D199" s="670"/>
      <c r="E199" s="670"/>
      <c r="F199" s="670"/>
      <c r="G199" s="670"/>
      <c r="H199" s="670"/>
      <c r="I199" s="670"/>
    </row>
    <row r="200" spans="1:11" s="140" customFormat="1" ht="17.25" customHeight="1" x14ac:dyDescent="0.2">
      <c r="A200" s="671"/>
      <c r="B200" s="672"/>
      <c r="C200" s="512" t="s">
        <v>614</v>
      </c>
      <c r="D200" s="521"/>
      <c r="E200" s="512" t="s">
        <v>928</v>
      </c>
      <c r="F200" s="521"/>
      <c r="G200" s="681" t="s">
        <v>967</v>
      </c>
      <c r="H200" s="672"/>
      <c r="I200" s="672"/>
    </row>
    <row r="201" spans="1:11" s="685" customFormat="1" ht="30" customHeight="1" x14ac:dyDescent="0.2">
      <c r="A201" s="682"/>
      <c r="B201" s="678" t="s">
        <v>965</v>
      </c>
      <c r="C201" s="678">
        <f>ROUND(SUM(J197:J199),2)</f>
        <v>23.12</v>
      </c>
      <c r="D201" s="678" t="s">
        <v>45</v>
      </c>
      <c r="E201" s="683">
        <v>1.5780000000000001</v>
      </c>
      <c r="F201" s="512" t="s">
        <v>46</v>
      </c>
      <c r="G201" s="681">
        <f>ROUND(C201*E201,2)</f>
        <v>36.479999999999997</v>
      </c>
      <c r="H201" s="684"/>
      <c r="I201" s="684"/>
    </row>
    <row r="202" spans="1:11" s="687" customFormat="1" x14ac:dyDescent="0.2"/>
    <row r="203" spans="1:11" ht="33" customHeight="1" x14ac:dyDescent="0.2">
      <c r="A203" s="246" t="str">
        <f>ORÇ!A45</f>
        <v>4.2.7</v>
      </c>
      <c r="B203" s="1730" t="str">
        <f>ORÇ!D45</f>
        <v>ARMAÇÃO DE PILAR OU VIGA DE UMA ESTRUTURA CONVENCIONAL DE CONCRETO ARMADO EM UM EDIFÍCIO DE MÚLTIPLOS PAVIMENTOS UTILIZANDO AÇO CA-60 DE 5,0 MM - MONTAGEM. AF_12/2015</v>
      </c>
      <c r="C203" s="1730"/>
      <c r="D203" s="1730"/>
      <c r="E203" s="1730"/>
      <c r="F203" s="1730"/>
      <c r="G203" s="1730"/>
      <c r="H203" s="1730"/>
      <c r="I203" s="1730"/>
      <c r="J203" s="1730"/>
      <c r="K203" s="1730"/>
    </row>
    <row r="205" spans="1:11" s="602" customFormat="1" ht="19.5" customHeight="1" x14ac:dyDescent="0.2">
      <c r="A205" s="671"/>
      <c r="B205" s="512" t="s">
        <v>616</v>
      </c>
      <c r="C205" s="512" t="s">
        <v>917</v>
      </c>
      <c r="D205" s="512" t="s">
        <v>753</v>
      </c>
      <c r="E205" s="512"/>
      <c r="F205" s="512" t="s">
        <v>590</v>
      </c>
      <c r="G205" s="512"/>
      <c r="H205" s="512" t="s">
        <v>952</v>
      </c>
      <c r="I205" s="512"/>
      <c r="J205" s="512" t="s">
        <v>614</v>
      </c>
      <c r="K205" s="522"/>
    </row>
    <row r="206" spans="1:11" s="602" customFormat="1" ht="17.25" customHeight="1" x14ac:dyDescent="0.2">
      <c r="A206" s="671"/>
      <c r="B206" s="247" t="s">
        <v>619</v>
      </c>
      <c r="C206" s="512" t="s">
        <v>945</v>
      </c>
      <c r="D206" s="512">
        <v>0.68</v>
      </c>
      <c r="E206" s="512" t="s">
        <v>45</v>
      </c>
      <c r="F206" s="512">
        <v>24</v>
      </c>
      <c r="G206" s="512" t="s">
        <v>45</v>
      </c>
      <c r="H206" s="512">
        <v>1</v>
      </c>
      <c r="I206" s="512" t="s">
        <v>46</v>
      </c>
      <c r="J206" s="512">
        <f>ROUND(D206*F206*H206,2)</f>
        <v>16.32</v>
      </c>
    </row>
    <row r="207" spans="1:11" s="140" customFormat="1" ht="33.75" customHeight="1" x14ac:dyDescent="0.2">
      <c r="A207" s="671"/>
      <c r="B207" s="247" t="s">
        <v>968</v>
      </c>
      <c r="C207" s="512" t="s">
        <v>945</v>
      </c>
      <c r="D207" s="512">
        <v>0.68</v>
      </c>
      <c r="E207" s="512" t="s">
        <v>45</v>
      </c>
      <c r="F207" s="512">
        <v>10</v>
      </c>
      <c r="G207" s="512" t="s">
        <v>45</v>
      </c>
      <c r="H207" s="512">
        <v>6</v>
      </c>
      <c r="I207" s="512" t="s">
        <v>46</v>
      </c>
      <c r="J207" s="512">
        <f t="shared" ref="J207:J222" si="28">ROUND(D207*F207*H207,2)</f>
        <v>40.799999999999997</v>
      </c>
    </row>
    <row r="208" spans="1:11" s="140" customFormat="1" ht="34.5" customHeight="1" x14ac:dyDescent="0.2">
      <c r="A208" s="671"/>
      <c r="B208" s="247" t="s">
        <v>969</v>
      </c>
      <c r="C208" s="512" t="s">
        <v>945</v>
      </c>
      <c r="D208" s="512">
        <v>0.68</v>
      </c>
      <c r="E208" s="512" t="s">
        <v>45</v>
      </c>
      <c r="F208" s="512">
        <v>13</v>
      </c>
      <c r="G208" s="512" t="s">
        <v>45</v>
      </c>
      <c r="H208" s="512">
        <v>6</v>
      </c>
      <c r="I208" s="512" t="s">
        <v>46</v>
      </c>
      <c r="J208" s="512">
        <f t="shared" ref="J208" si="29">ROUND(D208*F208*H208,2)</f>
        <v>53.04</v>
      </c>
    </row>
    <row r="209" spans="1:10" s="140" customFormat="1" ht="29.25" customHeight="1" x14ac:dyDescent="0.2">
      <c r="A209" s="671"/>
      <c r="B209" s="247" t="s">
        <v>905</v>
      </c>
      <c r="C209" s="512" t="s">
        <v>921</v>
      </c>
      <c r="D209" s="512">
        <v>0.78</v>
      </c>
      <c r="E209" s="512" t="s">
        <v>45</v>
      </c>
      <c r="F209" s="512">
        <v>10</v>
      </c>
      <c r="G209" s="512" t="s">
        <v>45</v>
      </c>
      <c r="H209" s="512">
        <v>3</v>
      </c>
      <c r="I209" s="512" t="s">
        <v>46</v>
      </c>
      <c r="J209" s="512">
        <f>ROUND(D209*F209*H209,2)</f>
        <v>23.4</v>
      </c>
    </row>
    <row r="210" spans="1:10" s="140" customFormat="1" ht="29.25" customHeight="1" x14ac:dyDescent="0.2">
      <c r="A210" s="671"/>
      <c r="B210" s="247" t="s">
        <v>905</v>
      </c>
      <c r="C210" s="512" t="s">
        <v>922</v>
      </c>
      <c r="D210" s="512">
        <v>0.24</v>
      </c>
      <c r="E210" s="512" t="s">
        <v>45</v>
      </c>
      <c r="F210" s="512">
        <v>10</v>
      </c>
      <c r="G210" s="512" t="s">
        <v>45</v>
      </c>
      <c r="H210" s="512">
        <v>3</v>
      </c>
      <c r="I210" s="512" t="s">
        <v>46</v>
      </c>
      <c r="J210" s="512">
        <f>ROUND(D210*F210*H210,2)</f>
        <v>7.2</v>
      </c>
    </row>
    <row r="211" spans="1:10" s="140" customFormat="1" ht="18" customHeight="1" x14ac:dyDescent="0.2">
      <c r="A211" s="671"/>
      <c r="B211" s="247" t="s">
        <v>625</v>
      </c>
      <c r="C211" s="512" t="s">
        <v>945</v>
      </c>
      <c r="D211" s="512">
        <v>0.68</v>
      </c>
      <c r="E211" s="512" t="s">
        <v>45</v>
      </c>
      <c r="F211" s="512">
        <v>10</v>
      </c>
      <c r="G211" s="512" t="s">
        <v>45</v>
      </c>
      <c r="H211" s="512">
        <v>1</v>
      </c>
      <c r="I211" s="512" t="s">
        <v>46</v>
      </c>
      <c r="J211" s="512">
        <f t="shared" ref="J211" si="30">ROUND(D211*F211*H211,2)</f>
        <v>6.8</v>
      </c>
    </row>
    <row r="212" spans="1:10" s="140" customFormat="1" ht="29.25" customHeight="1" x14ac:dyDescent="0.2">
      <c r="A212" s="671"/>
      <c r="B212" s="247" t="s">
        <v>971</v>
      </c>
      <c r="C212" s="512" t="s">
        <v>945</v>
      </c>
      <c r="D212" s="512">
        <v>0.68</v>
      </c>
      <c r="E212" s="512" t="s">
        <v>45</v>
      </c>
      <c r="F212" s="512">
        <v>13</v>
      </c>
      <c r="G212" s="512" t="s">
        <v>45</v>
      </c>
      <c r="H212" s="512">
        <v>3</v>
      </c>
      <c r="I212" s="512" t="s">
        <v>46</v>
      </c>
      <c r="J212" s="512">
        <f t="shared" si="28"/>
        <v>26.52</v>
      </c>
    </row>
    <row r="213" spans="1:10" s="140" customFormat="1" ht="30" customHeight="1" x14ac:dyDescent="0.2">
      <c r="A213" s="671"/>
      <c r="B213" s="247" t="s">
        <v>906</v>
      </c>
      <c r="C213" s="512" t="s">
        <v>945</v>
      </c>
      <c r="D213" s="512">
        <v>0.68</v>
      </c>
      <c r="E213" s="512" t="s">
        <v>45</v>
      </c>
      <c r="F213" s="512">
        <v>13</v>
      </c>
      <c r="G213" s="512" t="s">
        <v>45</v>
      </c>
      <c r="H213" s="512">
        <v>4</v>
      </c>
      <c r="I213" s="512" t="s">
        <v>46</v>
      </c>
      <c r="J213" s="512">
        <f t="shared" si="28"/>
        <v>35.36</v>
      </c>
    </row>
    <row r="214" spans="1:10" s="140" customFormat="1" ht="16.5" customHeight="1" x14ac:dyDescent="0.2">
      <c r="A214" s="671"/>
      <c r="B214" s="247" t="s">
        <v>624</v>
      </c>
      <c r="C214" s="512" t="s">
        <v>921</v>
      </c>
      <c r="D214" s="512">
        <v>0.78</v>
      </c>
      <c r="E214" s="512" t="s">
        <v>45</v>
      </c>
      <c r="F214" s="512">
        <v>10</v>
      </c>
      <c r="G214" s="512" t="s">
        <v>45</v>
      </c>
      <c r="H214" s="512">
        <v>1</v>
      </c>
      <c r="I214" s="512" t="s">
        <v>46</v>
      </c>
      <c r="J214" s="512">
        <f t="shared" si="28"/>
        <v>7.8</v>
      </c>
    </row>
    <row r="215" spans="1:10" s="140" customFormat="1" ht="16.5" customHeight="1" x14ac:dyDescent="0.2">
      <c r="A215" s="671"/>
      <c r="B215" s="247" t="s">
        <v>907</v>
      </c>
      <c r="C215" s="512" t="s">
        <v>945</v>
      </c>
      <c r="D215" s="512">
        <v>0.68</v>
      </c>
      <c r="E215" s="512" t="s">
        <v>45</v>
      </c>
      <c r="F215" s="512">
        <v>13</v>
      </c>
      <c r="G215" s="512" t="s">
        <v>45</v>
      </c>
      <c r="H215" s="512">
        <v>1</v>
      </c>
      <c r="I215" s="512" t="s">
        <v>46</v>
      </c>
      <c r="J215" s="512">
        <f t="shared" si="28"/>
        <v>8.84</v>
      </c>
    </row>
    <row r="216" spans="1:10" s="140" customFormat="1" ht="19.5" customHeight="1" x14ac:dyDescent="0.2">
      <c r="A216" s="671"/>
      <c r="B216" s="247" t="s">
        <v>949</v>
      </c>
      <c r="C216" s="512" t="s">
        <v>921</v>
      </c>
      <c r="D216" s="512">
        <v>0.78</v>
      </c>
      <c r="E216" s="512" t="s">
        <v>45</v>
      </c>
      <c r="F216" s="512">
        <v>13</v>
      </c>
      <c r="G216" s="512" t="s">
        <v>45</v>
      </c>
      <c r="H216" s="512">
        <v>1</v>
      </c>
      <c r="I216" s="512" t="s">
        <v>46</v>
      </c>
      <c r="J216" s="512">
        <f t="shared" si="28"/>
        <v>10.14</v>
      </c>
    </row>
    <row r="217" spans="1:10" s="140" customFormat="1" ht="19.5" customHeight="1" x14ac:dyDescent="0.2">
      <c r="A217" s="671"/>
      <c r="B217" s="247" t="s">
        <v>949</v>
      </c>
      <c r="C217" s="512" t="s">
        <v>926</v>
      </c>
      <c r="D217" s="512">
        <v>0.24</v>
      </c>
      <c r="E217" s="512" t="s">
        <v>45</v>
      </c>
      <c r="F217" s="512">
        <v>13</v>
      </c>
      <c r="G217" s="512" t="s">
        <v>45</v>
      </c>
      <c r="H217" s="512">
        <v>1</v>
      </c>
      <c r="I217" s="512" t="s">
        <v>46</v>
      </c>
      <c r="J217" s="512">
        <f t="shared" ref="J217" si="31">ROUND(D217*F217*H217,2)</f>
        <v>3.12</v>
      </c>
    </row>
    <row r="218" spans="1:10" s="140" customFormat="1" ht="31.5" customHeight="1" x14ac:dyDescent="0.2">
      <c r="A218" s="671"/>
      <c r="B218" s="247" t="s">
        <v>972</v>
      </c>
      <c r="C218" s="512" t="s">
        <v>921</v>
      </c>
      <c r="D218" s="512">
        <v>0.78</v>
      </c>
      <c r="E218" s="512" t="s">
        <v>45</v>
      </c>
      <c r="F218" s="512">
        <v>10</v>
      </c>
      <c r="G218" s="512" t="s">
        <v>45</v>
      </c>
      <c r="H218" s="512">
        <v>3</v>
      </c>
      <c r="I218" s="512" t="s">
        <v>46</v>
      </c>
      <c r="J218" s="512">
        <f t="shared" ref="J218" si="32">ROUND(D218*F218*H218,2)</f>
        <v>23.4</v>
      </c>
    </row>
    <row r="219" spans="1:10" s="140" customFormat="1" ht="18" customHeight="1" x14ac:dyDescent="0.2">
      <c r="A219" s="671"/>
      <c r="B219" s="247" t="s">
        <v>959</v>
      </c>
      <c r="C219" s="512" t="s">
        <v>922</v>
      </c>
      <c r="D219" s="512">
        <v>0.24</v>
      </c>
      <c r="E219" s="512" t="s">
        <v>45</v>
      </c>
      <c r="F219" s="512">
        <v>10</v>
      </c>
      <c r="G219" s="512" t="s">
        <v>45</v>
      </c>
      <c r="H219" s="512">
        <v>1</v>
      </c>
      <c r="I219" s="512" t="s">
        <v>46</v>
      </c>
      <c r="J219" s="512">
        <f t="shared" ref="J219" si="33">ROUND(D219*F219*H219,2)</f>
        <v>2.4</v>
      </c>
    </row>
    <row r="220" spans="1:10" s="140" customFormat="1" ht="15" customHeight="1" x14ac:dyDescent="0.2">
      <c r="A220" s="671"/>
      <c r="B220" s="247" t="s">
        <v>909</v>
      </c>
      <c r="C220" s="512" t="s">
        <v>945</v>
      </c>
      <c r="D220" s="512">
        <v>0.68</v>
      </c>
      <c r="E220" s="512" t="s">
        <v>45</v>
      </c>
      <c r="F220" s="512">
        <v>13</v>
      </c>
      <c r="G220" s="512" t="s">
        <v>45</v>
      </c>
      <c r="H220" s="512">
        <v>4</v>
      </c>
      <c r="I220" s="512" t="s">
        <v>46</v>
      </c>
      <c r="J220" s="512">
        <f t="shared" si="28"/>
        <v>35.36</v>
      </c>
    </row>
    <row r="221" spans="1:10" s="140" customFormat="1" ht="16.5" customHeight="1" x14ac:dyDescent="0.2">
      <c r="A221" s="671"/>
      <c r="B221" s="1725" t="s">
        <v>908</v>
      </c>
      <c r="C221" s="512" t="s">
        <v>921</v>
      </c>
      <c r="D221" s="512">
        <v>0.78</v>
      </c>
      <c r="E221" s="512" t="s">
        <v>45</v>
      </c>
      <c r="F221" s="512">
        <v>10</v>
      </c>
      <c r="G221" s="512" t="s">
        <v>45</v>
      </c>
      <c r="H221" s="512">
        <v>1</v>
      </c>
      <c r="I221" s="512" t="s">
        <v>46</v>
      </c>
      <c r="J221" s="512">
        <f t="shared" ref="J221" si="34">ROUND(D221*F221*H221,2)</f>
        <v>7.8</v>
      </c>
    </row>
    <row r="222" spans="1:10" s="140" customFormat="1" ht="16.5" customHeight="1" x14ac:dyDescent="0.2">
      <c r="A222" s="671"/>
      <c r="B222" s="1727"/>
      <c r="C222" s="512" t="s">
        <v>922</v>
      </c>
      <c r="D222" s="512">
        <v>0.24</v>
      </c>
      <c r="E222" s="512" t="s">
        <v>45</v>
      </c>
      <c r="F222" s="512">
        <v>10</v>
      </c>
      <c r="G222" s="512" t="s">
        <v>45</v>
      </c>
      <c r="H222" s="512">
        <v>1</v>
      </c>
      <c r="I222" s="512" t="s">
        <v>46</v>
      </c>
      <c r="J222" s="512">
        <f t="shared" si="28"/>
        <v>2.4</v>
      </c>
    </row>
    <row r="223" spans="1:10" s="21" customFormat="1" ht="12" customHeight="1" x14ac:dyDescent="0.2">
      <c r="A223" s="529"/>
      <c r="B223" s="670"/>
      <c r="C223" s="670"/>
      <c r="D223" s="670"/>
      <c r="E223" s="670"/>
      <c r="F223" s="670"/>
      <c r="G223" s="670"/>
      <c r="H223" s="670"/>
      <c r="I223" s="670"/>
    </row>
    <row r="224" spans="1:10" s="140" customFormat="1" ht="17.25" customHeight="1" x14ac:dyDescent="0.2">
      <c r="A224" s="671"/>
      <c r="B224" s="672"/>
      <c r="C224" s="512" t="s">
        <v>614</v>
      </c>
      <c r="D224" s="521"/>
      <c r="E224" s="512" t="s">
        <v>928</v>
      </c>
      <c r="F224" s="521"/>
      <c r="G224" s="681" t="s">
        <v>967</v>
      </c>
      <c r="H224" s="672"/>
      <c r="I224" s="672"/>
    </row>
    <row r="225" spans="1:11" s="685" customFormat="1" ht="30" customHeight="1" x14ac:dyDescent="0.2">
      <c r="A225" s="682"/>
      <c r="B225" s="678" t="s">
        <v>970</v>
      </c>
      <c r="C225" s="678">
        <f>ROUND(SUM(J206:J223),2)</f>
        <v>310.7</v>
      </c>
      <c r="D225" s="678" t="s">
        <v>45</v>
      </c>
      <c r="E225" s="683">
        <v>0.154</v>
      </c>
      <c r="F225" s="512" t="s">
        <v>46</v>
      </c>
      <c r="G225" s="681">
        <f>ROUND(C225*E225,2)</f>
        <v>47.85</v>
      </c>
      <c r="H225" s="684"/>
      <c r="I225" s="684"/>
    </row>
    <row r="226" spans="1:11" s="21" customFormat="1" ht="13.5" customHeight="1" x14ac:dyDescent="0.2"/>
    <row r="227" spans="1:11" ht="19.5" customHeight="1" x14ac:dyDescent="0.2">
      <c r="A227" s="246" t="str">
        <f>ORÇ!A46</f>
        <v>4.2.8</v>
      </c>
      <c r="B227" s="1730" t="str">
        <f>ORÇ!D46</f>
        <v>IMPERMEABILIZAÇÃO COM MASSA ASFÁLTICA PARA CONCRETO (2 DEMÃOS)</v>
      </c>
      <c r="C227" s="1730"/>
      <c r="D227" s="1730"/>
      <c r="E227" s="1730"/>
      <c r="F227" s="1730"/>
      <c r="G227" s="1730"/>
      <c r="H227" s="1730"/>
      <c r="I227" s="1730"/>
      <c r="J227" s="1730"/>
      <c r="K227" s="1730"/>
    </row>
    <row r="229" spans="1:11" x14ac:dyDescent="0.2">
      <c r="B229" s="21" t="s">
        <v>973</v>
      </c>
    </row>
    <row r="230" spans="1:11" s="140" customFormat="1" ht="15.75" customHeight="1" x14ac:dyDescent="0.2">
      <c r="A230" s="671"/>
      <c r="B230" s="659" t="s">
        <v>47</v>
      </c>
      <c r="C230" s="661">
        <f>C133</f>
        <v>34.68</v>
      </c>
      <c r="D230" s="660" t="s">
        <v>4</v>
      </c>
      <c r="E230" s="672"/>
      <c r="F230" s="672"/>
      <c r="G230" s="672"/>
      <c r="H230" s="672"/>
      <c r="I230" s="672"/>
    </row>
    <row r="231" spans="1:11" ht="10.5" customHeight="1" x14ac:dyDescent="0.2"/>
    <row r="232" spans="1:11" ht="10.5" customHeight="1" x14ac:dyDescent="0.2"/>
    <row r="233" spans="1:11" s="140" customFormat="1" ht="16.5" customHeight="1" x14ac:dyDescent="0.2">
      <c r="A233" s="246" t="str">
        <f>ORÇ!A47</f>
        <v>4.3</v>
      </c>
      <c r="B233" s="1730" t="str">
        <f>ORÇ!D47</f>
        <v>Vigas Baldrame</v>
      </c>
      <c r="C233" s="1730"/>
      <c r="D233" s="1730"/>
      <c r="E233" s="1730"/>
      <c r="F233" s="1730"/>
      <c r="G233" s="1730"/>
      <c r="H233" s="1730"/>
      <c r="I233" s="1730"/>
      <c r="J233" s="1730"/>
      <c r="K233" s="1730"/>
    </row>
    <row r="234" spans="1:11" s="140" customFormat="1" ht="19.5" customHeight="1" x14ac:dyDescent="0.2">
      <c r="A234" s="246" t="str">
        <f>ORÇ!A48</f>
        <v>4.3.1</v>
      </c>
      <c r="B234" s="1730" t="str">
        <f>ORÇ!D48</f>
        <v>ESCAVAÇÃO MANUAL ATE 1.50M DE PROFUNDIDADE</v>
      </c>
      <c r="C234" s="1730"/>
      <c r="D234" s="1730"/>
      <c r="E234" s="1730"/>
      <c r="F234" s="1730"/>
      <c r="G234" s="1730"/>
      <c r="H234" s="1730"/>
      <c r="I234" s="1730"/>
      <c r="J234" s="1730"/>
      <c r="K234" s="1730"/>
    </row>
    <row r="235" spans="1:11" s="21" customFormat="1" x14ac:dyDescent="0.2"/>
    <row r="236" spans="1:11" s="21" customFormat="1" x14ac:dyDescent="0.2">
      <c r="B236" s="21" t="s">
        <v>1014</v>
      </c>
    </row>
    <row r="237" spans="1:11" s="602" customFormat="1" ht="33" customHeight="1" x14ac:dyDescent="0.2">
      <c r="A237" s="671"/>
      <c r="B237" s="512" t="s">
        <v>616</v>
      </c>
      <c r="C237" s="512" t="s">
        <v>753</v>
      </c>
      <c r="D237" s="512"/>
      <c r="E237" s="512" t="s">
        <v>987</v>
      </c>
      <c r="F237" s="512"/>
      <c r="G237" s="512" t="s">
        <v>630</v>
      </c>
      <c r="H237" s="512"/>
      <c r="I237" s="512" t="s">
        <v>469</v>
      </c>
      <c r="J237" s="512"/>
      <c r="K237" s="512" t="s">
        <v>312</v>
      </c>
    </row>
    <row r="238" spans="1:11" s="602" customFormat="1" ht="15" customHeight="1" x14ac:dyDescent="0.2">
      <c r="A238" s="671"/>
      <c r="B238" s="247" t="s">
        <v>986</v>
      </c>
      <c r="C238" s="512">
        <v>15.55</v>
      </c>
      <c r="D238" s="512" t="s">
        <v>45</v>
      </c>
      <c r="E238" s="512">
        <v>0.25</v>
      </c>
      <c r="F238" s="512" t="s">
        <v>45</v>
      </c>
      <c r="G238" s="678">
        <v>0.18</v>
      </c>
      <c r="H238" s="512" t="s">
        <v>45</v>
      </c>
      <c r="I238" s="512">
        <v>2</v>
      </c>
      <c r="J238" s="512" t="s">
        <v>46</v>
      </c>
      <c r="K238" s="512">
        <f>ROUND(C238*E238*G238*I238,2)</f>
        <v>1.4</v>
      </c>
    </row>
    <row r="239" spans="1:11" s="140" customFormat="1" ht="15" customHeight="1" x14ac:dyDescent="0.2">
      <c r="A239" s="671"/>
      <c r="B239" s="247" t="s">
        <v>988</v>
      </c>
      <c r="C239" s="678">
        <v>2.7</v>
      </c>
      <c r="D239" s="512" t="s">
        <v>45</v>
      </c>
      <c r="E239" s="512">
        <v>0.25</v>
      </c>
      <c r="F239" s="512" t="s">
        <v>45</v>
      </c>
      <c r="G239" s="678">
        <v>0.18</v>
      </c>
      <c r="H239" s="512" t="s">
        <v>45</v>
      </c>
      <c r="I239" s="512">
        <v>1</v>
      </c>
      <c r="J239" s="512" t="s">
        <v>46</v>
      </c>
      <c r="K239" s="512">
        <f t="shared" ref="K239:K264" si="35">ROUND(C239*E239*G239*I239,2)</f>
        <v>0.12</v>
      </c>
    </row>
    <row r="240" spans="1:11" s="140" customFormat="1" ht="15" customHeight="1" x14ac:dyDescent="0.2">
      <c r="A240" s="671"/>
      <c r="B240" s="247" t="s">
        <v>989</v>
      </c>
      <c r="C240" s="678">
        <v>5.2</v>
      </c>
      <c r="D240" s="512" t="s">
        <v>45</v>
      </c>
      <c r="E240" s="512">
        <v>0.25</v>
      </c>
      <c r="F240" s="512" t="s">
        <v>45</v>
      </c>
      <c r="G240" s="678">
        <v>0.18</v>
      </c>
      <c r="H240" s="512" t="s">
        <v>45</v>
      </c>
      <c r="I240" s="512">
        <v>1</v>
      </c>
      <c r="J240" s="512" t="s">
        <v>46</v>
      </c>
      <c r="K240" s="512">
        <f t="shared" si="35"/>
        <v>0.23</v>
      </c>
    </row>
    <row r="241" spans="1:11" s="140" customFormat="1" ht="15" customHeight="1" x14ac:dyDescent="0.2">
      <c r="A241" s="671"/>
      <c r="B241" s="247" t="s">
        <v>990</v>
      </c>
      <c r="C241" s="678">
        <v>4.3499999999999996</v>
      </c>
      <c r="D241" s="512" t="s">
        <v>45</v>
      </c>
      <c r="E241" s="512">
        <v>0.25</v>
      </c>
      <c r="F241" s="512" t="s">
        <v>45</v>
      </c>
      <c r="G241" s="678">
        <v>0.18</v>
      </c>
      <c r="H241" s="512" t="s">
        <v>45</v>
      </c>
      <c r="I241" s="512">
        <v>2</v>
      </c>
      <c r="J241" s="512" t="s">
        <v>46</v>
      </c>
      <c r="K241" s="512">
        <f t="shared" si="35"/>
        <v>0.39</v>
      </c>
    </row>
    <row r="242" spans="1:11" s="140" customFormat="1" ht="15" customHeight="1" x14ac:dyDescent="0.2">
      <c r="A242" s="671"/>
      <c r="B242" s="247" t="s">
        <v>991</v>
      </c>
      <c r="C242" s="678">
        <v>5</v>
      </c>
      <c r="D242" s="512" t="s">
        <v>45</v>
      </c>
      <c r="E242" s="512">
        <v>0.25</v>
      </c>
      <c r="F242" s="512" t="s">
        <v>45</v>
      </c>
      <c r="G242" s="678">
        <v>0.18</v>
      </c>
      <c r="H242" s="512" t="s">
        <v>45</v>
      </c>
      <c r="I242" s="512">
        <v>1</v>
      </c>
      <c r="J242" s="512" t="s">
        <v>46</v>
      </c>
      <c r="K242" s="512">
        <f t="shared" si="35"/>
        <v>0.23</v>
      </c>
    </row>
    <row r="243" spans="1:11" s="140" customFormat="1" ht="15" customHeight="1" x14ac:dyDescent="0.2">
      <c r="A243" s="671"/>
      <c r="B243" s="247" t="s">
        <v>992</v>
      </c>
      <c r="C243" s="678">
        <v>5.3</v>
      </c>
      <c r="D243" s="512" t="s">
        <v>45</v>
      </c>
      <c r="E243" s="512">
        <v>0.25</v>
      </c>
      <c r="F243" s="512" t="s">
        <v>45</v>
      </c>
      <c r="G243" s="678">
        <v>0.18</v>
      </c>
      <c r="H243" s="512" t="s">
        <v>45</v>
      </c>
      <c r="I243" s="512">
        <v>1</v>
      </c>
      <c r="J243" s="512" t="s">
        <v>46</v>
      </c>
      <c r="K243" s="512">
        <f t="shared" si="35"/>
        <v>0.24</v>
      </c>
    </row>
    <row r="244" spans="1:11" s="140" customFormat="1" ht="15" customHeight="1" x14ac:dyDescent="0.2">
      <c r="A244" s="671"/>
      <c r="B244" s="247" t="s">
        <v>993</v>
      </c>
      <c r="C244" s="678">
        <v>5.3</v>
      </c>
      <c r="D244" s="512" t="s">
        <v>45</v>
      </c>
      <c r="E244" s="512">
        <v>0.25</v>
      </c>
      <c r="F244" s="512" t="s">
        <v>45</v>
      </c>
      <c r="G244" s="678">
        <v>0.18</v>
      </c>
      <c r="H244" s="512" t="s">
        <v>45</v>
      </c>
      <c r="I244" s="512">
        <v>1</v>
      </c>
      <c r="J244" s="512" t="s">
        <v>46</v>
      </c>
      <c r="K244" s="512">
        <f t="shared" si="35"/>
        <v>0.24</v>
      </c>
    </row>
    <row r="245" spans="1:11" s="140" customFormat="1" ht="25.5" customHeight="1" x14ac:dyDescent="0.2">
      <c r="A245" s="671"/>
      <c r="B245" s="247" t="s">
        <v>994</v>
      </c>
      <c r="C245" s="678">
        <v>5.3</v>
      </c>
      <c r="D245" s="512" t="s">
        <v>45</v>
      </c>
      <c r="E245" s="512">
        <v>0.25</v>
      </c>
      <c r="F245" s="512" t="s">
        <v>45</v>
      </c>
      <c r="G245" s="678">
        <v>0.18</v>
      </c>
      <c r="H245" s="512" t="s">
        <v>45</v>
      </c>
      <c r="I245" s="512">
        <v>2</v>
      </c>
      <c r="J245" s="512" t="s">
        <v>46</v>
      </c>
      <c r="K245" s="512">
        <f t="shared" si="35"/>
        <v>0.48</v>
      </c>
    </row>
    <row r="246" spans="1:11" s="140" customFormat="1" ht="15" customHeight="1" x14ac:dyDescent="0.2">
      <c r="A246" s="671"/>
      <c r="B246" s="247" t="s">
        <v>995</v>
      </c>
      <c r="C246" s="678">
        <f>4.3+3.95</f>
        <v>8.25</v>
      </c>
      <c r="D246" s="512" t="s">
        <v>45</v>
      </c>
      <c r="E246" s="512">
        <v>0.25</v>
      </c>
      <c r="F246" s="512" t="s">
        <v>45</v>
      </c>
      <c r="G246" s="678">
        <v>0.18</v>
      </c>
      <c r="H246" s="512" t="s">
        <v>45</v>
      </c>
      <c r="I246" s="512">
        <v>1</v>
      </c>
      <c r="J246" s="512" t="s">
        <v>46</v>
      </c>
      <c r="K246" s="512">
        <f t="shared" si="35"/>
        <v>0.37</v>
      </c>
    </row>
    <row r="247" spans="1:11" s="140" customFormat="1" ht="15" customHeight="1" x14ac:dyDescent="0.2">
      <c r="A247" s="671"/>
      <c r="B247" s="247" t="s">
        <v>996</v>
      </c>
      <c r="C247" s="678">
        <v>5.3</v>
      </c>
      <c r="D247" s="512" t="s">
        <v>45</v>
      </c>
      <c r="E247" s="512">
        <v>0.25</v>
      </c>
      <c r="F247" s="512" t="s">
        <v>45</v>
      </c>
      <c r="G247" s="678">
        <v>0.18</v>
      </c>
      <c r="H247" s="512" t="s">
        <v>45</v>
      </c>
      <c r="I247" s="512">
        <v>1</v>
      </c>
      <c r="J247" s="512" t="s">
        <v>46</v>
      </c>
      <c r="K247" s="512">
        <f t="shared" si="35"/>
        <v>0.24</v>
      </c>
    </row>
    <row r="248" spans="1:11" s="140" customFormat="1" ht="15" customHeight="1" x14ac:dyDescent="0.2">
      <c r="A248" s="671"/>
      <c r="B248" s="247" t="s">
        <v>997</v>
      </c>
      <c r="C248" s="678">
        <v>5</v>
      </c>
      <c r="D248" s="512" t="s">
        <v>45</v>
      </c>
      <c r="E248" s="512">
        <v>0.25</v>
      </c>
      <c r="F248" s="512" t="s">
        <v>45</v>
      </c>
      <c r="G248" s="678">
        <v>0.18</v>
      </c>
      <c r="H248" s="512" t="s">
        <v>45</v>
      </c>
      <c r="I248" s="512">
        <v>1</v>
      </c>
      <c r="J248" s="512" t="s">
        <v>46</v>
      </c>
      <c r="K248" s="512">
        <f t="shared" si="35"/>
        <v>0.23</v>
      </c>
    </row>
    <row r="249" spans="1:11" s="140" customFormat="1" ht="15" customHeight="1" x14ac:dyDescent="0.2">
      <c r="A249" s="671"/>
      <c r="B249" s="247" t="s">
        <v>998</v>
      </c>
      <c r="C249" s="678">
        <v>5.3</v>
      </c>
      <c r="D249" s="512" t="s">
        <v>45</v>
      </c>
      <c r="E249" s="512">
        <v>0.25</v>
      </c>
      <c r="F249" s="512" t="s">
        <v>45</v>
      </c>
      <c r="G249" s="678">
        <v>0.18</v>
      </c>
      <c r="H249" s="512" t="s">
        <v>45</v>
      </c>
      <c r="I249" s="512">
        <v>1</v>
      </c>
      <c r="J249" s="512" t="s">
        <v>46</v>
      </c>
      <c r="K249" s="512">
        <f t="shared" si="35"/>
        <v>0.24</v>
      </c>
    </row>
    <row r="250" spans="1:11" s="140" customFormat="1" ht="15" customHeight="1" x14ac:dyDescent="0.2">
      <c r="A250" s="671"/>
      <c r="B250" s="247" t="s">
        <v>999</v>
      </c>
      <c r="C250" s="678">
        <f>4.9+2.45+4.2+4</f>
        <v>15.55</v>
      </c>
      <c r="D250" s="512" t="s">
        <v>45</v>
      </c>
      <c r="E250" s="512">
        <v>0.25</v>
      </c>
      <c r="F250" s="512" t="s">
        <v>45</v>
      </c>
      <c r="G250" s="678">
        <v>0.18</v>
      </c>
      <c r="H250" s="512" t="s">
        <v>45</v>
      </c>
      <c r="I250" s="512">
        <v>1</v>
      </c>
      <c r="J250" s="512" t="s">
        <v>46</v>
      </c>
      <c r="K250" s="512">
        <f t="shared" si="35"/>
        <v>0.7</v>
      </c>
    </row>
    <row r="251" spans="1:11" s="140" customFormat="1" ht="15" customHeight="1" x14ac:dyDescent="0.2">
      <c r="A251" s="671"/>
      <c r="B251" s="247" t="s">
        <v>1000</v>
      </c>
      <c r="C251" s="678">
        <f>3.55+4.15</f>
        <v>7.7</v>
      </c>
      <c r="D251" s="512" t="s">
        <v>45</v>
      </c>
      <c r="E251" s="512">
        <v>0.25</v>
      </c>
      <c r="F251" s="512" t="s">
        <v>45</v>
      </c>
      <c r="G251" s="678">
        <v>0.18</v>
      </c>
      <c r="H251" s="512" t="s">
        <v>45</v>
      </c>
      <c r="I251" s="512">
        <v>1</v>
      </c>
      <c r="J251" s="512" t="s">
        <v>46</v>
      </c>
      <c r="K251" s="512">
        <f t="shared" si="35"/>
        <v>0.35</v>
      </c>
    </row>
    <row r="252" spans="1:11" s="140" customFormat="1" ht="15" customHeight="1" x14ac:dyDescent="0.2">
      <c r="A252" s="671"/>
      <c r="B252" s="247" t="s">
        <v>1001</v>
      </c>
      <c r="C252" s="678">
        <v>4</v>
      </c>
      <c r="D252" s="512" t="s">
        <v>45</v>
      </c>
      <c r="E252" s="512">
        <v>0.25</v>
      </c>
      <c r="F252" s="512" t="s">
        <v>45</v>
      </c>
      <c r="G252" s="678">
        <v>0.18</v>
      </c>
      <c r="H252" s="512" t="s">
        <v>45</v>
      </c>
      <c r="I252" s="512">
        <v>1</v>
      </c>
      <c r="J252" s="512" t="s">
        <v>46</v>
      </c>
      <c r="K252" s="512">
        <f t="shared" si="35"/>
        <v>0.18</v>
      </c>
    </row>
    <row r="253" spans="1:11" s="140" customFormat="1" ht="15" customHeight="1" x14ac:dyDescent="0.2">
      <c r="A253" s="671"/>
      <c r="B253" s="247" t="s">
        <v>1002</v>
      </c>
      <c r="C253" s="678">
        <v>2.1</v>
      </c>
      <c r="D253" s="512" t="s">
        <v>45</v>
      </c>
      <c r="E253" s="512">
        <v>0.25</v>
      </c>
      <c r="F253" s="512" t="s">
        <v>45</v>
      </c>
      <c r="G253" s="678">
        <v>0.18</v>
      </c>
      <c r="H253" s="512" t="s">
        <v>45</v>
      </c>
      <c r="I253" s="512">
        <v>1</v>
      </c>
      <c r="J253" s="512" t="s">
        <v>46</v>
      </c>
      <c r="K253" s="512">
        <f t="shared" si="35"/>
        <v>0.09</v>
      </c>
    </row>
    <row r="254" spans="1:11" s="140" customFormat="1" ht="15" customHeight="1" x14ac:dyDescent="0.2">
      <c r="A254" s="671"/>
      <c r="B254" s="247" t="s">
        <v>1003</v>
      </c>
      <c r="C254" s="678">
        <v>2.09</v>
      </c>
      <c r="D254" s="512" t="s">
        <v>45</v>
      </c>
      <c r="E254" s="512">
        <v>0.25</v>
      </c>
      <c r="F254" s="512" t="s">
        <v>45</v>
      </c>
      <c r="G254" s="678">
        <v>0.18</v>
      </c>
      <c r="H254" s="512" t="s">
        <v>45</v>
      </c>
      <c r="I254" s="512">
        <v>1</v>
      </c>
      <c r="J254" s="512" t="s">
        <v>46</v>
      </c>
      <c r="K254" s="512">
        <f t="shared" si="35"/>
        <v>0.09</v>
      </c>
    </row>
    <row r="255" spans="1:11" s="140" customFormat="1" ht="15" customHeight="1" x14ac:dyDescent="0.2">
      <c r="A255" s="671"/>
      <c r="B255" s="247" t="s">
        <v>1004</v>
      </c>
      <c r="C255" s="678">
        <v>1.95</v>
      </c>
      <c r="D255" s="512" t="s">
        <v>45</v>
      </c>
      <c r="E255" s="512">
        <v>0.25</v>
      </c>
      <c r="F255" s="512" t="s">
        <v>45</v>
      </c>
      <c r="G255" s="678">
        <v>0.18</v>
      </c>
      <c r="H255" s="512" t="s">
        <v>45</v>
      </c>
      <c r="I255" s="512">
        <v>1</v>
      </c>
      <c r="J255" s="512" t="s">
        <v>46</v>
      </c>
      <c r="K255" s="512">
        <f t="shared" si="35"/>
        <v>0.09</v>
      </c>
    </row>
    <row r="256" spans="1:11" s="140" customFormat="1" ht="15" customHeight="1" x14ac:dyDescent="0.2">
      <c r="A256" s="671"/>
      <c r="B256" s="247" t="s">
        <v>1005</v>
      </c>
      <c r="C256" s="678">
        <f>4.3+5.05+2.8+2.95</f>
        <v>15.099999999999998</v>
      </c>
      <c r="D256" s="512" t="s">
        <v>45</v>
      </c>
      <c r="E256" s="512">
        <v>0.25</v>
      </c>
      <c r="F256" s="512" t="s">
        <v>45</v>
      </c>
      <c r="G256" s="678">
        <v>0.18</v>
      </c>
      <c r="H256" s="512" t="s">
        <v>45</v>
      </c>
      <c r="I256" s="512">
        <v>1</v>
      </c>
      <c r="J256" s="512" t="s">
        <v>46</v>
      </c>
      <c r="K256" s="512">
        <f t="shared" si="35"/>
        <v>0.68</v>
      </c>
    </row>
    <row r="257" spans="1:11" s="140" customFormat="1" ht="15" customHeight="1" x14ac:dyDescent="0.2">
      <c r="A257" s="671"/>
      <c r="B257" s="247" t="s">
        <v>1006</v>
      </c>
      <c r="C257" s="678">
        <v>3.15</v>
      </c>
      <c r="D257" s="512" t="s">
        <v>45</v>
      </c>
      <c r="E257" s="512">
        <v>0.25</v>
      </c>
      <c r="F257" s="512" t="s">
        <v>45</v>
      </c>
      <c r="G257" s="678">
        <v>0.18</v>
      </c>
      <c r="H257" s="512" t="s">
        <v>45</v>
      </c>
      <c r="I257" s="512">
        <v>1</v>
      </c>
      <c r="J257" s="512" t="s">
        <v>46</v>
      </c>
      <c r="K257" s="512">
        <f t="shared" si="35"/>
        <v>0.14000000000000001</v>
      </c>
    </row>
    <row r="258" spans="1:11" s="140" customFormat="1" ht="15" customHeight="1" x14ac:dyDescent="0.2">
      <c r="A258" s="671"/>
      <c r="B258" s="247" t="s">
        <v>1007</v>
      </c>
      <c r="C258" s="678">
        <v>3.05</v>
      </c>
      <c r="D258" s="512" t="s">
        <v>45</v>
      </c>
      <c r="E258" s="512">
        <v>0.25</v>
      </c>
      <c r="F258" s="512" t="s">
        <v>45</v>
      </c>
      <c r="G258" s="678">
        <v>0.18</v>
      </c>
      <c r="H258" s="512" t="s">
        <v>45</v>
      </c>
      <c r="I258" s="512">
        <v>1</v>
      </c>
      <c r="J258" s="512" t="s">
        <v>46</v>
      </c>
      <c r="K258" s="512">
        <f t="shared" si="35"/>
        <v>0.14000000000000001</v>
      </c>
    </row>
    <row r="259" spans="1:11" s="140" customFormat="1" ht="15" customHeight="1" x14ac:dyDescent="0.2">
      <c r="A259" s="671"/>
      <c r="B259" s="247" t="s">
        <v>1008</v>
      </c>
      <c r="C259" s="678">
        <v>5.45</v>
      </c>
      <c r="D259" s="512" t="s">
        <v>45</v>
      </c>
      <c r="E259" s="512">
        <v>0.25</v>
      </c>
      <c r="F259" s="512" t="s">
        <v>45</v>
      </c>
      <c r="G259" s="678">
        <v>0.18</v>
      </c>
      <c r="H259" s="512" t="s">
        <v>45</v>
      </c>
      <c r="I259" s="512">
        <v>1</v>
      </c>
      <c r="J259" s="512" t="s">
        <v>46</v>
      </c>
      <c r="K259" s="512">
        <f t="shared" si="35"/>
        <v>0.25</v>
      </c>
    </row>
    <row r="260" spans="1:11" s="140" customFormat="1" ht="15" customHeight="1" x14ac:dyDescent="0.2">
      <c r="A260" s="671"/>
      <c r="B260" s="247" t="s">
        <v>1009</v>
      </c>
      <c r="C260" s="678">
        <v>8.1999999999999993</v>
      </c>
      <c r="D260" s="512" t="s">
        <v>45</v>
      </c>
      <c r="E260" s="512">
        <v>0.25</v>
      </c>
      <c r="F260" s="512" t="s">
        <v>45</v>
      </c>
      <c r="G260" s="678">
        <v>0.18</v>
      </c>
      <c r="H260" s="512" t="s">
        <v>45</v>
      </c>
      <c r="I260" s="512">
        <v>1</v>
      </c>
      <c r="J260" s="512" t="s">
        <v>46</v>
      </c>
      <c r="K260" s="512">
        <f t="shared" si="35"/>
        <v>0.37</v>
      </c>
    </row>
    <row r="261" spans="1:11" s="140" customFormat="1" ht="25.5" customHeight="1" x14ac:dyDescent="0.2">
      <c r="A261" s="671"/>
      <c r="B261" s="247" t="s">
        <v>1011</v>
      </c>
      <c r="C261" s="678">
        <f>4.25+5.05+2.85+2.9+5.2+2.85</f>
        <v>23.1</v>
      </c>
      <c r="D261" s="512" t="s">
        <v>45</v>
      </c>
      <c r="E261" s="512">
        <v>0.25</v>
      </c>
      <c r="F261" s="512" t="s">
        <v>45</v>
      </c>
      <c r="G261" s="678">
        <v>0.18</v>
      </c>
      <c r="H261" s="512" t="s">
        <v>45</v>
      </c>
      <c r="I261" s="512">
        <v>3</v>
      </c>
      <c r="J261" s="512" t="s">
        <v>46</v>
      </c>
      <c r="K261" s="512">
        <f t="shared" si="35"/>
        <v>3.12</v>
      </c>
    </row>
    <row r="262" spans="1:11" s="140" customFormat="1" ht="15" customHeight="1" x14ac:dyDescent="0.2">
      <c r="A262" s="671"/>
      <c r="B262" s="247" t="s">
        <v>1010</v>
      </c>
      <c r="C262" s="678">
        <v>3.45</v>
      </c>
      <c r="D262" s="512" t="s">
        <v>45</v>
      </c>
      <c r="E262" s="512">
        <v>0.25</v>
      </c>
      <c r="F262" s="512" t="s">
        <v>45</v>
      </c>
      <c r="G262" s="678">
        <v>0.18</v>
      </c>
      <c r="H262" s="512" t="s">
        <v>45</v>
      </c>
      <c r="I262" s="512">
        <v>1</v>
      </c>
      <c r="J262" s="512" t="s">
        <v>46</v>
      </c>
      <c r="K262" s="512">
        <f t="shared" si="35"/>
        <v>0.16</v>
      </c>
    </row>
    <row r="263" spans="1:11" s="140" customFormat="1" ht="15" customHeight="1" x14ac:dyDescent="0.2">
      <c r="A263" s="671"/>
      <c r="B263" s="247" t="s">
        <v>1012</v>
      </c>
      <c r="C263" s="678">
        <v>4.2</v>
      </c>
      <c r="D263" s="512" t="s">
        <v>45</v>
      </c>
      <c r="E263" s="512">
        <v>0.25</v>
      </c>
      <c r="F263" s="512" t="s">
        <v>45</v>
      </c>
      <c r="G263" s="678">
        <v>0.18</v>
      </c>
      <c r="H263" s="512" t="s">
        <v>45</v>
      </c>
      <c r="I263" s="512">
        <v>1</v>
      </c>
      <c r="J263" s="512" t="s">
        <v>46</v>
      </c>
      <c r="K263" s="512">
        <f t="shared" si="35"/>
        <v>0.19</v>
      </c>
    </row>
    <row r="264" spans="1:11" s="140" customFormat="1" ht="15" customHeight="1" x14ac:dyDescent="0.2">
      <c r="A264" s="671"/>
      <c r="B264" s="247" t="s">
        <v>1013</v>
      </c>
      <c r="C264" s="678">
        <v>2.8</v>
      </c>
      <c r="D264" s="512" t="s">
        <v>45</v>
      </c>
      <c r="E264" s="512">
        <v>0.25</v>
      </c>
      <c r="F264" s="512" t="s">
        <v>45</v>
      </c>
      <c r="G264" s="678">
        <v>0.18</v>
      </c>
      <c r="H264" s="512" t="s">
        <v>45</v>
      </c>
      <c r="I264" s="512">
        <v>1</v>
      </c>
      <c r="J264" s="512" t="s">
        <v>46</v>
      </c>
      <c r="K264" s="512">
        <f t="shared" si="35"/>
        <v>0.13</v>
      </c>
    </row>
    <row r="265" spans="1:11" s="21" customFormat="1" ht="12" customHeight="1" x14ac:dyDescent="0.2">
      <c r="A265" s="529"/>
      <c r="B265" s="670"/>
      <c r="C265" s="670"/>
      <c r="D265" s="670"/>
      <c r="E265" s="670"/>
      <c r="F265" s="670"/>
      <c r="G265" s="670"/>
      <c r="H265" s="670"/>
      <c r="I265" s="670"/>
    </row>
    <row r="266" spans="1:11" s="140" customFormat="1" ht="15.75" customHeight="1" x14ac:dyDescent="0.2">
      <c r="A266" s="671"/>
      <c r="B266" s="659" t="s">
        <v>47</v>
      </c>
      <c r="C266" s="661">
        <f>ROUND(SUM(K238:K264),2)</f>
        <v>11.09</v>
      </c>
      <c r="D266" s="660" t="s">
        <v>497</v>
      </c>
      <c r="E266" s="672"/>
      <c r="F266" s="672"/>
      <c r="G266" s="672"/>
      <c r="H266" s="672"/>
      <c r="I266" s="672"/>
    </row>
    <row r="267" spans="1:11" s="21" customFormat="1" x14ac:dyDescent="0.2"/>
    <row r="268" spans="1:11" s="140" customFormat="1" ht="28.5" customHeight="1" x14ac:dyDescent="0.2">
      <c r="A268" s="246" t="str">
        <f>ORÇ!A49</f>
        <v>4.3.2</v>
      </c>
      <c r="B268" s="1730" t="str">
        <f>ORÇ!D49</f>
        <v xml:space="preserve">LASTRO DE CONCRETO MAGRO, APLICADO EM BLOCOS DE COROAMENTO OU SAPATAS, ESPESSURA DE 3 CM. AF_08/2017 </v>
      </c>
      <c r="C268" s="1730"/>
      <c r="D268" s="1730"/>
      <c r="E268" s="1730"/>
      <c r="F268" s="1730"/>
      <c r="G268" s="1730"/>
      <c r="H268" s="1730"/>
      <c r="I268" s="1730"/>
      <c r="J268" s="1730"/>
      <c r="K268" s="1730"/>
    </row>
    <row r="269" spans="1:11" s="21" customFormat="1" x14ac:dyDescent="0.2"/>
    <row r="270" spans="1:11" s="602" customFormat="1" ht="28.5" customHeight="1" x14ac:dyDescent="0.2">
      <c r="A270" s="671"/>
      <c r="B270" s="512" t="s">
        <v>616</v>
      </c>
      <c r="C270" s="512" t="s">
        <v>753</v>
      </c>
      <c r="D270" s="512"/>
      <c r="E270" s="512" t="s">
        <v>987</v>
      </c>
      <c r="F270" s="512"/>
      <c r="G270" s="512" t="s">
        <v>469</v>
      </c>
      <c r="H270" s="512"/>
      <c r="I270" s="512" t="s">
        <v>213</v>
      </c>
    </row>
    <row r="271" spans="1:11" s="602" customFormat="1" ht="17.25" customHeight="1" x14ac:dyDescent="0.2">
      <c r="A271" s="671"/>
      <c r="B271" s="247" t="str">
        <f>B238</f>
        <v>VB1=VB8</v>
      </c>
      <c r="C271" s="688">
        <f>C238</f>
        <v>15.55</v>
      </c>
      <c r="D271" s="512" t="s">
        <v>45</v>
      </c>
      <c r="E271" s="512">
        <v>0.25</v>
      </c>
      <c r="F271" s="512" t="s">
        <v>45</v>
      </c>
      <c r="G271" s="512">
        <v>2</v>
      </c>
      <c r="H271" s="512" t="s">
        <v>46</v>
      </c>
      <c r="I271" s="512">
        <f>ROUND(C271*E271*G271,2)</f>
        <v>7.78</v>
      </c>
    </row>
    <row r="272" spans="1:11" s="140" customFormat="1" ht="17.25" customHeight="1" x14ac:dyDescent="0.2">
      <c r="A272" s="671"/>
      <c r="B272" s="247" t="str">
        <f t="shared" ref="B272:C272" si="36">B239</f>
        <v>VB2</v>
      </c>
      <c r="C272" s="688">
        <f t="shared" si="36"/>
        <v>2.7</v>
      </c>
      <c r="D272" s="512" t="s">
        <v>45</v>
      </c>
      <c r="E272" s="512">
        <v>0.25</v>
      </c>
      <c r="F272" s="512" t="s">
        <v>45</v>
      </c>
      <c r="G272" s="512">
        <v>1</v>
      </c>
      <c r="H272" s="512" t="s">
        <v>46</v>
      </c>
      <c r="I272" s="512">
        <f t="shared" ref="I272:I297" si="37">ROUND(C272*E272*G272,2)</f>
        <v>0.68</v>
      </c>
    </row>
    <row r="273" spans="1:9" s="140" customFormat="1" ht="17.25" customHeight="1" x14ac:dyDescent="0.2">
      <c r="A273" s="671"/>
      <c r="B273" s="247" t="str">
        <f t="shared" ref="B273:C273" si="38">B240</f>
        <v>VB3</v>
      </c>
      <c r="C273" s="688">
        <f t="shared" si="38"/>
        <v>5.2</v>
      </c>
      <c r="D273" s="512" t="s">
        <v>45</v>
      </c>
      <c r="E273" s="512">
        <v>0.25</v>
      </c>
      <c r="F273" s="512" t="s">
        <v>45</v>
      </c>
      <c r="G273" s="512">
        <v>1</v>
      </c>
      <c r="H273" s="512" t="s">
        <v>46</v>
      </c>
      <c r="I273" s="512">
        <f t="shared" si="37"/>
        <v>1.3</v>
      </c>
    </row>
    <row r="274" spans="1:9" s="140" customFormat="1" ht="17.25" customHeight="1" x14ac:dyDescent="0.2">
      <c r="A274" s="671"/>
      <c r="B274" s="247" t="str">
        <f t="shared" ref="B274:C274" si="39">B241</f>
        <v>VB4=VB6</v>
      </c>
      <c r="C274" s="688">
        <f t="shared" si="39"/>
        <v>4.3499999999999996</v>
      </c>
      <c r="D274" s="512" t="s">
        <v>45</v>
      </c>
      <c r="E274" s="512">
        <v>0.25</v>
      </c>
      <c r="F274" s="512" t="s">
        <v>45</v>
      </c>
      <c r="G274" s="512">
        <v>2</v>
      </c>
      <c r="H274" s="512" t="s">
        <v>46</v>
      </c>
      <c r="I274" s="512">
        <f t="shared" si="37"/>
        <v>2.1800000000000002</v>
      </c>
    </row>
    <row r="275" spans="1:9" s="140" customFormat="1" ht="17.25" customHeight="1" x14ac:dyDescent="0.2">
      <c r="A275" s="671"/>
      <c r="B275" s="247" t="str">
        <f t="shared" ref="B275:C275" si="40">B242</f>
        <v>VB5</v>
      </c>
      <c r="C275" s="688">
        <f t="shared" si="40"/>
        <v>5</v>
      </c>
      <c r="D275" s="512" t="s">
        <v>45</v>
      </c>
      <c r="E275" s="512">
        <v>0.25</v>
      </c>
      <c r="F275" s="512" t="s">
        <v>45</v>
      </c>
      <c r="G275" s="512">
        <v>1</v>
      </c>
      <c r="H275" s="512" t="s">
        <v>46</v>
      </c>
      <c r="I275" s="512">
        <f t="shared" si="37"/>
        <v>1.25</v>
      </c>
    </row>
    <row r="276" spans="1:9" s="140" customFormat="1" ht="17.25" customHeight="1" x14ac:dyDescent="0.2">
      <c r="A276" s="671"/>
      <c r="B276" s="247" t="str">
        <f t="shared" ref="B276:C276" si="41">B243</f>
        <v>VB7</v>
      </c>
      <c r="C276" s="688">
        <f t="shared" si="41"/>
        <v>5.3</v>
      </c>
      <c r="D276" s="512" t="s">
        <v>45</v>
      </c>
      <c r="E276" s="512">
        <v>0.25</v>
      </c>
      <c r="F276" s="512" t="s">
        <v>45</v>
      </c>
      <c r="G276" s="512">
        <v>1</v>
      </c>
      <c r="H276" s="512" t="s">
        <v>46</v>
      </c>
      <c r="I276" s="512">
        <f t="shared" si="37"/>
        <v>1.33</v>
      </c>
    </row>
    <row r="277" spans="1:9" s="140" customFormat="1" ht="17.25" customHeight="1" x14ac:dyDescent="0.2">
      <c r="A277" s="671"/>
      <c r="B277" s="247" t="str">
        <f t="shared" ref="B277:C277" si="42">B244</f>
        <v>VB9</v>
      </c>
      <c r="C277" s="688">
        <f t="shared" si="42"/>
        <v>5.3</v>
      </c>
      <c r="D277" s="512" t="s">
        <v>45</v>
      </c>
      <c r="E277" s="512">
        <v>0.25</v>
      </c>
      <c r="F277" s="512" t="s">
        <v>45</v>
      </c>
      <c r="G277" s="512">
        <v>1</v>
      </c>
      <c r="H277" s="512" t="s">
        <v>46</v>
      </c>
      <c r="I277" s="512">
        <f t="shared" si="37"/>
        <v>1.33</v>
      </c>
    </row>
    <row r="278" spans="1:9" s="140" customFormat="1" ht="30" customHeight="1" x14ac:dyDescent="0.2">
      <c r="A278" s="671"/>
      <c r="B278" s="247" t="str">
        <f t="shared" ref="B278:C278" si="43">B245</f>
        <v>VB10 =VB11</v>
      </c>
      <c r="C278" s="688">
        <f t="shared" si="43"/>
        <v>5.3</v>
      </c>
      <c r="D278" s="512" t="s">
        <v>45</v>
      </c>
      <c r="E278" s="512">
        <v>0.25</v>
      </c>
      <c r="F278" s="512" t="s">
        <v>45</v>
      </c>
      <c r="G278" s="512">
        <v>2</v>
      </c>
      <c r="H278" s="512" t="s">
        <v>46</v>
      </c>
      <c r="I278" s="512">
        <f t="shared" si="37"/>
        <v>2.65</v>
      </c>
    </row>
    <row r="279" spans="1:9" s="140" customFormat="1" ht="17.25" customHeight="1" x14ac:dyDescent="0.2">
      <c r="A279" s="671"/>
      <c r="B279" s="247" t="str">
        <f t="shared" ref="B279:C279" si="44">B246</f>
        <v>VB12</v>
      </c>
      <c r="C279" s="688">
        <f t="shared" si="44"/>
        <v>8.25</v>
      </c>
      <c r="D279" s="512" t="s">
        <v>45</v>
      </c>
      <c r="E279" s="512">
        <v>0.25</v>
      </c>
      <c r="F279" s="512" t="s">
        <v>45</v>
      </c>
      <c r="G279" s="512">
        <v>1</v>
      </c>
      <c r="H279" s="512" t="s">
        <v>46</v>
      </c>
      <c r="I279" s="512">
        <f t="shared" si="37"/>
        <v>2.06</v>
      </c>
    </row>
    <row r="280" spans="1:9" s="140" customFormat="1" ht="17.25" customHeight="1" x14ac:dyDescent="0.2">
      <c r="A280" s="671"/>
      <c r="B280" s="247" t="str">
        <f t="shared" ref="B280:C280" si="45">B247</f>
        <v>VB13</v>
      </c>
      <c r="C280" s="688">
        <f t="shared" si="45"/>
        <v>5.3</v>
      </c>
      <c r="D280" s="512" t="s">
        <v>45</v>
      </c>
      <c r="E280" s="512">
        <v>0.25</v>
      </c>
      <c r="F280" s="512" t="s">
        <v>45</v>
      </c>
      <c r="G280" s="512">
        <v>1</v>
      </c>
      <c r="H280" s="512" t="s">
        <v>46</v>
      </c>
      <c r="I280" s="512">
        <f t="shared" si="37"/>
        <v>1.33</v>
      </c>
    </row>
    <row r="281" spans="1:9" s="140" customFormat="1" ht="17.25" customHeight="1" x14ac:dyDescent="0.2">
      <c r="A281" s="671"/>
      <c r="B281" s="247" t="str">
        <f t="shared" ref="B281:C281" si="46">B248</f>
        <v>VB14</v>
      </c>
      <c r="C281" s="688">
        <f t="shared" si="46"/>
        <v>5</v>
      </c>
      <c r="D281" s="512" t="s">
        <v>45</v>
      </c>
      <c r="E281" s="512">
        <v>0.25</v>
      </c>
      <c r="F281" s="512" t="s">
        <v>45</v>
      </c>
      <c r="G281" s="512">
        <v>1</v>
      </c>
      <c r="H281" s="512" t="s">
        <v>46</v>
      </c>
      <c r="I281" s="512">
        <f t="shared" si="37"/>
        <v>1.25</v>
      </c>
    </row>
    <row r="282" spans="1:9" s="140" customFormat="1" ht="17.25" customHeight="1" x14ac:dyDescent="0.2">
      <c r="A282" s="671"/>
      <c r="B282" s="247" t="str">
        <f t="shared" ref="B282:C282" si="47">B249</f>
        <v>VB15</v>
      </c>
      <c r="C282" s="688">
        <f t="shared" si="47"/>
        <v>5.3</v>
      </c>
      <c r="D282" s="512" t="s">
        <v>45</v>
      </c>
      <c r="E282" s="512">
        <v>0.25</v>
      </c>
      <c r="F282" s="512" t="s">
        <v>45</v>
      </c>
      <c r="G282" s="512">
        <v>1</v>
      </c>
      <c r="H282" s="512" t="s">
        <v>46</v>
      </c>
      <c r="I282" s="512">
        <f t="shared" si="37"/>
        <v>1.33</v>
      </c>
    </row>
    <row r="283" spans="1:9" s="140" customFormat="1" ht="17.25" customHeight="1" x14ac:dyDescent="0.2">
      <c r="A283" s="671"/>
      <c r="B283" s="247" t="str">
        <f t="shared" ref="B283:C283" si="48">B250</f>
        <v>VB16</v>
      </c>
      <c r="C283" s="688">
        <f t="shared" si="48"/>
        <v>15.55</v>
      </c>
      <c r="D283" s="512" t="s">
        <v>45</v>
      </c>
      <c r="E283" s="512">
        <v>0.25</v>
      </c>
      <c r="F283" s="512" t="s">
        <v>45</v>
      </c>
      <c r="G283" s="512">
        <v>1</v>
      </c>
      <c r="H283" s="512" t="s">
        <v>46</v>
      </c>
      <c r="I283" s="512">
        <f t="shared" si="37"/>
        <v>3.89</v>
      </c>
    </row>
    <row r="284" spans="1:9" s="140" customFormat="1" ht="17.25" customHeight="1" x14ac:dyDescent="0.2">
      <c r="A284" s="671"/>
      <c r="B284" s="247" t="str">
        <f t="shared" ref="B284:C284" si="49">B251</f>
        <v>VB17</v>
      </c>
      <c r="C284" s="688">
        <f t="shared" si="49"/>
        <v>7.7</v>
      </c>
      <c r="D284" s="512" t="s">
        <v>45</v>
      </c>
      <c r="E284" s="512">
        <v>0.25</v>
      </c>
      <c r="F284" s="512" t="s">
        <v>45</v>
      </c>
      <c r="G284" s="512">
        <v>1</v>
      </c>
      <c r="H284" s="512" t="s">
        <v>46</v>
      </c>
      <c r="I284" s="512">
        <f t="shared" si="37"/>
        <v>1.93</v>
      </c>
    </row>
    <row r="285" spans="1:9" s="140" customFormat="1" ht="17.25" customHeight="1" x14ac:dyDescent="0.2">
      <c r="A285" s="671"/>
      <c r="B285" s="247" t="str">
        <f t="shared" ref="B285:C285" si="50">B252</f>
        <v>VB19</v>
      </c>
      <c r="C285" s="688">
        <f t="shared" si="50"/>
        <v>4</v>
      </c>
      <c r="D285" s="512" t="s">
        <v>45</v>
      </c>
      <c r="E285" s="512">
        <v>0.25</v>
      </c>
      <c r="F285" s="512" t="s">
        <v>45</v>
      </c>
      <c r="G285" s="512">
        <v>1</v>
      </c>
      <c r="H285" s="512" t="s">
        <v>46</v>
      </c>
      <c r="I285" s="512">
        <f t="shared" si="37"/>
        <v>1</v>
      </c>
    </row>
    <row r="286" spans="1:9" s="140" customFormat="1" ht="17.25" customHeight="1" x14ac:dyDescent="0.2">
      <c r="A286" s="671"/>
      <c r="B286" s="247" t="str">
        <f t="shared" ref="B286:C286" si="51">B253</f>
        <v>VB20</v>
      </c>
      <c r="C286" s="688">
        <f t="shared" si="51"/>
        <v>2.1</v>
      </c>
      <c r="D286" s="512" t="s">
        <v>45</v>
      </c>
      <c r="E286" s="512">
        <v>0.25</v>
      </c>
      <c r="F286" s="512" t="s">
        <v>45</v>
      </c>
      <c r="G286" s="512">
        <v>1</v>
      </c>
      <c r="H286" s="512" t="s">
        <v>46</v>
      </c>
      <c r="I286" s="512">
        <f t="shared" si="37"/>
        <v>0.53</v>
      </c>
    </row>
    <row r="287" spans="1:9" s="140" customFormat="1" ht="17.25" customHeight="1" x14ac:dyDescent="0.2">
      <c r="A287" s="671"/>
      <c r="B287" s="247" t="str">
        <f t="shared" ref="B287:C287" si="52">B254</f>
        <v>VB21</v>
      </c>
      <c r="C287" s="688">
        <f t="shared" si="52"/>
        <v>2.09</v>
      </c>
      <c r="D287" s="512" t="s">
        <v>45</v>
      </c>
      <c r="E287" s="512">
        <v>0.25</v>
      </c>
      <c r="F287" s="512" t="s">
        <v>45</v>
      </c>
      <c r="G287" s="512">
        <v>1</v>
      </c>
      <c r="H287" s="512" t="s">
        <v>46</v>
      </c>
      <c r="I287" s="512">
        <f t="shared" si="37"/>
        <v>0.52</v>
      </c>
    </row>
    <row r="288" spans="1:9" s="140" customFormat="1" ht="17.25" customHeight="1" x14ac:dyDescent="0.2">
      <c r="A288" s="671"/>
      <c r="B288" s="247" t="str">
        <f t="shared" ref="B288:C288" si="53">B255</f>
        <v>VB22</v>
      </c>
      <c r="C288" s="688">
        <f t="shared" si="53"/>
        <v>1.95</v>
      </c>
      <c r="D288" s="512" t="s">
        <v>45</v>
      </c>
      <c r="E288" s="512">
        <v>0.25</v>
      </c>
      <c r="F288" s="512" t="s">
        <v>45</v>
      </c>
      <c r="G288" s="512">
        <v>1</v>
      </c>
      <c r="H288" s="512" t="s">
        <v>46</v>
      </c>
      <c r="I288" s="512">
        <f t="shared" si="37"/>
        <v>0.49</v>
      </c>
    </row>
    <row r="289" spans="1:11" s="140" customFormat="1" ht="17.25" customHeight="1" x14ac:dyDescent="0.2">
      <c r="A289" s="671"/>
      <c r="B289" s="247" t="str">
        <f t="shared" ref="B289:C289" si="54">B256</f>
        <v>VB24</v>
      </c>
      <c r="C289" s="688">
        <f t="shared" si="54"/>
        <v>15.099999999999998</v>
      </c>
      <c r="D289" s="512" t="s">
        <v>45</v>
      </c>
      <c r="E289" s="512">
        <v>0.25</v>
      </c>
      <c r="F289" s="512" t="s">
        <v>45</v>
      </c>
      <c r="G289" s="512">
        <v>1</v>
      </c>
      <c r="H289" s="512" t="s">
        <v>46</v>
      </c>
      <c r="I289" s="512">
        <f t="shared" si="37"/>
        <v>3.78</v>
      </c>
    </row>
    <row r="290" spans="1:11" s="140" customFormat="1" ht="17.25" customHeight="1" x14ac:dyDescent="0.2">
      <c r="A290" s="671"/>
      <c r="B290" s="247" t="str">
        <f t="shared" ref="B290:C290" si="55">B257</f>
        <v>VB25</v>
      </c>
      <c r="C290" s="688">
        <f t="shared" si="55"/>
        <v>3.15</v>
      </c>
      <c r="D290" s="512" t="s">
        <v>45</v>
      </c>
      <c r="E290" s="512">
        <v>0.25</v>
      </c>
      <c r="F290" s="512" t="s">
        <v>45</v>
      </c>
      <c r="G290" s="512">
        <v>1</v>
      </c>
      <c r="H290" s="512" t="s">
        <v>46</v>
      </c>
      <c r="I290" s="512">
        <f t="shared" si="37"/>
        <v>0.79</v>
      </c>
    </row>
    <row r="291" spans="1:11" s="140" customFormat="1" ht="17.25" customHeight="1" x14ac:dyDescent="0.2">
      <c r="A291" s="671"/>
      <c r="B291" s="247" t="str">
        <f t="shared" ref="B291:C291" si="56">B258</f>
        <v>VB26</v>
      </c>
      <c r="C291" s="688">
        <f t="shared" si="56"/>
        <v>3.05</v>
      </c>
      <c r="D291" s="512" t="s">
        <v>45</v>
      </c>
      <c r="E291" s="512">
        <v>0.25</v>
      </c>
      <c r="F291" s="512" t="s">
        <v>45</v>
      </c>
      <c r="G291" s="512">
        <v>1</v>
      </c>
      <c r="H291" s="512" t="s">
        <v>46</v>
      </c>
      <c r="I291" s="512">
        <f t="shared" si="37"/>
        <v>0.76</v>
      </c>
    </row>
    <row r="292" spans="1:11" s="140" customFormat="1" ht="17.25" customHeight="1" x14ac:dyDescent="0.2">
      <c r="A292" s="671"/>
      <c r="B292" s="247" t="str">
        <f t="shared" ref="B292:C292" si="57">B259</f>
        <v>VB27</v>
      </c>
      <c r="C292" s="688">
        <f t="shared" si="57"/>
        <v>5.45</v>
      </c>
      <c r="D292" s="512" t="s">
        <v>45</v>
      </c>
      <c r="E292" s="512">
        <v>0.25</v>
      </c>
      <c r="F292" s="512" t="s">
        <v>45</v>
      </c>
      <c r="G292" s="512">
        <v>1</v>
      </c>
      <c r="H292" s="512" t="s">
        <v>46</v>
      </c>
      <c r="I292" s="512">
        <f t="shared" si="37"/>
        <v>1.36</v>
      </c>
    </row>
    <row r="293" spans="1:11" s="140" customFormat="1" ht="17.25" customHeight="1" x14ac:dyDescent="0.2">
      <c r="A293" s="671"/>
      <c r="B293" s="247" t="str">
        <f t="shared" ref="B293:C293" si="58">B260</f>
        <v>VB28</v>
      </c>
      <c r="C293" s="688">
        <f t="shared" si="58"/>
        <v>8.1999999999999993</v>
      </c>
      <c r="D293" s="512" t="s">
        <v>45</v>
      </c>
      <c r="E293" s="512">
        <v>0.25</v>
      </c>
      <c r="F293" s="512" t="s">
        <v>45</v>
      </c>
      <c r="G293" s="512">
        <v>1</v>
      </c>
      <c r="H293" s="512" t="s">
        <v>46</v>
      </c>
      <c r="I293" s="512">
        <f t="shared" si="37"/>
        <v>2.0499999999999998</v>
      </c>
    </row>
    <row r="294" spans="1:11" s="140" customFormat="1" ht="30" customHeight="1" x14ac:dyDescent="0.2">
      <c r="A294" s="671"/>
      <c r="B294" s="247" t="str">
        <f t="shared" ref="B294:C294" si="59">B261</f>
        <v>VB29=VB18=VB23</v>
      </c>
      <c r="C294" s="688">
        <f t="shared" si="59"/>
        <v>23.1</v>
      </c>
      <c r="D294" s="512" t="s">
        <v>45</v>
      </c>
      <c r="E294" s="512">
        <v>0.25</v>
      </c>
      <c r="F294" s="512" t="s">
        <v>45</v>
      </c>
      <c r="G294" s="512">
        <v>3</v>
      </c>
      <c r="H294" s="512" t="s">
        <v>46</v>
      </c>
      <c r="I294" s="512">
        <f t="shared" si="37"/>
        <v>17.329999999999998</v>
      </c>
    </row>
    <row r="295" spans="1:11" s="140" customFormat="1" ht="17.25" customHeight="1" x14ac:dyDescent="0.2">
      <c r="A295" s="671"/>
      <c r="B295" s="247" t="str">
        <f t="shared" ref="B295:C295" si="60">B262</f>
        <v>VB30</v>
      </c>
      <c r="C295" s="688">
        <f t="shared" si="60"/>
        <v>3.45</v>
      </c>
      <c r="D295" s="512" t="s">
        <v>45</v>
      </c>
      <c r="E295" s="512">
        <v>0.25</v>
      </c>
      <c r="F295" s="512" t="s">
        <v>45</v>
      </c>
      <c r="G295" s="512">
        <v>1</v>
      </c>
      <c r="H295" s="512" t="s">
        <v>46</v>
      </c>
      <c r="I295" s="512">
        <f t="shared" si="37"/>
        <v>0.86</v>
      </c>
    </row>
    <row r="296" spans="1:11" s="140" customFormat="1" ht="17.25" customHeight="1" x14ac:dyDescent="0.2">
      <c r="A296" s="671"/>
      <c r="B296" s="247" t="str">
        <f t="shared" ref="B296:C296" si="61">B263</f>
        <v>VB31</v>
      </c>
      <c r="C296" s="688">
        <f t="shared" si="61"/>
        <v>4.2</v>
      </c>
      <c r="D296" s="512" t="s">
        <v>45</v>
      </c>
      <c r="E296" s="512">
        <v>0.25</v>
      </c>
      <c r="F296" s="512" t="s">
        <v>45</v>
      </c>
      <c r="G296" s="512">
        <v>1</v>
      </c>
      <c r="H296" s="512" t="s">
        <v>46</v>
      </c>
      <c r="I296" s="512">
        <f t="shared" si="37"/>
        <v>1.05</v>
      </c>
    </row>
    <row r="297" spans="1:11" s="140" customFormat="1" ht="17.25" customHeight="1" x14ac:dyDescent="0.2">
      <c r="A297" s="671"/>
      <c r="B297" s="247" t="str">
        <f t="shared" ref="B297:C297" si="62">B264</f>
        <v>VB32</v>
      </c>
      <c r="C297" s="688">
        <f t="shared" si="62"/>
        <v>2.8</v>
      </c>
      <c r="D297" s="512" t="s">
        <v>45</v>
      </c>
      <c r="E297" s="512">
        <v>0.25</v>
      </c>
      <c r="F297" s="512" t="s">
        <v>45</v>
      </c>
      <c r="G297" s="512">
        <v>1</v>
      </c>
      <c r="H297" s="512" t="s">
        <v>46</v>
      </c>
      <c r="I297" s="512">
        <f t="shared" si="37"/>
        <v>0.7</v>
      </c>
    </row>
    <row r="298" spans="1:11" s="21" customFormat="1" ht="12" customHeight="1" x14ac:dyDescent="0.2">
      <c r="A298" s="529"/>
      <c r="B298" s="670"/>
      <c r="C298" s="670"/>
      <c r="D298" s="670"/>
      <c r="E298" s="670"/>
      <c r="F298" s="670"/>
      <c r="G298" s="670"/>
      <c r="H298" s="670"/>
      <c r="I298" s="670"/>
    </row>
    <row r="299" spans="1:11" s="140" customFormat="1" ht="15.75" customHeight="1" x14ac:dyDescent="0.2">
      <c r="A299" s="671"/>
      <c r="B299" s="659" t="s">
        <v>47</v>
      </c>
      <c r="C299" s="661">
        <f>ROUND(SUM(I271:I297),2)</f>
        <v>61.51</v>
      </c>
      <c r="D299" s="660" t="s">
        <v>4</v>
      </c>
      <c r="E299" s="672"/>
      <c r="F299" s="672"/>
      <c r="G299" s="672"/>
      <c r="H299" s="672"/>
      <c r="I299" s="672"/>
    </row>
    <row r="300" spans="1:11" s="21" customFormat="1" ht="16.5" customHeight="1" x14ac:dyDescent="0.2"/>
    <row r="301" spans="1:11" s="21" customFormat="1" ht="30.75" customHeight="1" x14ac:dyDescent="0.2">
      <c r="A301" s="246" t="str">
        <f>ORÇ!A50</f>
        <v>4.3.3</v>
      </c>
      <c r="B301" s="1730" t="str">
        <f>ORÇ!D50</f>
        <v>FABRICAÇÃO, MONTAGEM E DESMONTAGEM DE FÔRMA PARA VIGA BALDRAME, EM MADEIRA SERRADA, E=25 MM, 4 UTILIZAÇÕES. AF_06/2017</v>
      </c>
      <c r="C301" s="1730"/>
      <c r="D301" s="1730"/>
      <c r="E301" s="1730"/>
      <c r="F301" s="1730"/>
      <c r="G301" s="1730"/>
      <c r="H301" s="1730"/>
      <c r="I301" s="1730"/>
      <c r="J301" s="1730"/>
      <c r="K301" s="1730"/>
    </row>
    <row r="302" spans="1:11" s="21" customFormat="1" x14ac:dyDescent="0.2"/>
    <row r="303" spans="1:11" s="602" customFormat="1" ht="18" customHeight="1" x14ac:dyDescent="0.2">
      <c r="A303" s="671"/>
      <c r="B303" s="512" t="s">
        <v>616</v>
      </c>
      <c r="C303" s="512" t="s">
        <v>753</v>
      </c>
      <c r="D303" s="512"/>
      <c r="E303" s="512" t="s">
        <v>311</v>
      </c>
      <c r="F303" s="512"/>
      <c r="G303" s="512" t="s">
        <v>1015</v>
      </c>
      <c r="H303" s="512"/>
      <c r="I303" s="512" t="s">
        <v>469</v>
      </c>
      <c r="J303" s="512"/>
      <c r="K303" s="512" t="s">
        <v>213</v>
      </c>
    </row>
    <row r="304" spans="1:11" s="602" customFormat="1" ht="15" customHeight="1" x14ac:dyDescent="0.2">
      <c r="A304" s="671"/>
      <c r="B304" s="247" t="s">
        <v>986</v>
      </c>
      <c r="C304" s="512">
        <v>15.55</v>
      </c>
      <c r="D304" s="512" t="s">
        <v>45</v>
      </c>
      <c r="E304" s="512">
        <v>0.3</v>
      </c>
      <c r="F304" s="512" t="s">
        <v>45</v>
      </c>
      <c r="G304" s="678">
        <v>2</v>
      </c>
      <c r="H304" s="512" t="s">
        <v>45</v>
      </c>
      <c r="I304" s="512">
        <v>2</v>
      </c>
      <c r="J304" s="512" t="s">
        <v>46</v>
      </c>
      <c r="K304" s="512">
        <f>ROUND(C304*E304*G304*I304,2)</f>
        <v>18.66</v>
      </c>
    </row>
    <row r="305" spans="1:11" s="140" customFormat="1" ht="15" customHeight="1" x14ac:dyDescent="0.2">
      <c r="A305" s="671"/>
      <c r="B305" s="247" t="s">
        <v>988</v>
      </c>
      <c r="C305" s="678">
        <v>2.7</v>
      </c>
      <c r="D305" s="512" t="s">
        <v>45</v>
      </c>
      <c r="E305" s="512">
        <v>0.3</v>
      </c>
      <c r="F305" s="512" t="s">
        <v>45</v>
      </c>
      <c r="G305" s="678">
        <v>2</v>
      </c>
      <c r="H305" s="512" t="s">
        <v>45</v>
      </c>
      <c r="I305" s="512">
        <v>1</v>
      </c>
      <c r="J305" s="512" t="s">
        <v>46</v>
      </c>
      <c r="K305" s="512">
        <f t="shared" ref="K305:K330" si="63">ROUND(C305*E305*G305*I305,2)</f>
        <v>1.62</v>
      </c>
    </row>
    <row r="306" spans="1:11" s="140" customFormat="1" ht="15" customHeight="1" x14ac:dyDescent="0.2">
      <c r="A306" s="671"/>
      <c r="B306" s="247" t="s">
        <v>989</v>
      </c>
      <c r="C306" s="678">
        <v>5.2</v>
      </c>
      <c r="D306" s="512" t="s">
        <v>45</v>
      </c>
      <c r="E306" s="512">
        <v>0.3</v>
      </c>
      <c r="F306" s="512" t="s">
        <v>45</v>
      </c>
      <c r="G306" s="678">
        <v>2</v>
      </c>
      <c r="H306" s="512" t="s">
        <v>45</v>
      </c>
      <c r="I306" s="512">
        <v>1</v>
      </c>
      <c r="J306" s="512" t="s">
        <v>46</v>
      </c>
      <c r="K306" s="512">
        <f t="shared" si="63"/>
        <v>3.12</v>
      </c>
    </row>
    <row r="307" spans="1:11" s="140" customFormat="1" ht="15" customHeight="1" x14ac:dyDescent="0.2">
      <c r="A307" s="671"/>
      <c r="B307" s="247" t="s">
        <v>990</v>
      </c>
      <c r="C307" s="678">
        <v>4.3499999999999996</v>
      </c>
      <c r="D307" s="512" t="s">
        <v>45</v>
      </c>
      <c r="E307" s="512">
        <v>0.3</v>
      </c>
      <c r="F307" s="512" t="s">
        <v>45</v>
      </c>
      <c r="G307" s="678">
        <v>2</v>
      </c>
      <c r="H307" s="512" t="s">
        <v>45</v>
      </c>
      <c r="I307" s="512">
        <v>2</v>
      </c>
      <c r="J307" s="512" t="s">
        <v>46</v>
      </c>
      <c r="K307" s="512">
        <f t="shared" si="63"/>
        <v>5.22</v>
      </c>
    </row>
    <row r="308" spans="1:11" s="140" customFormat="1" ht="15" customHeight="1" x14ac:dyDescent="0.2">
      <c r="A308" s="671"/>
      <c r="B308" s="247" t="s">
        <v>991</v>
      </c>
      <c r="C308" s="678">
        <v>5</v>
      </c>
      <c r="D308" s="512" t="s">
        <v>45</v>
      </c>
      <c r="E308" s="512">
        <v>0.3</v>
      </c>
      <c r="F308" s="512" t="s">
        <v>45</v>
      </c>
      <c r="G308" s="678">
        <v>2</v>
      </c>
      <c r="H308" s="512" t="s">
        <v>45</v>
      </c>
      <c r="I308" s="512">
        <v>1</v>
      </c>
      <c r="J308" s="512" t="s">
        <v>46</v>
      </c>
      <c r="K308" s="512">
        <f t="shared" si="63"/>
        <v>3</v>
      </c>
    </row>
    <row r="309" spans="1:11" s="140" customFormat="1" ht="15" customHeight="1" x14ac:dyDescent="0.2">
      <c r="A309" s="671"/>
      <c r="B309" s="247" t="s">
        <v>992</v>
      </c>
      <c r="C309" s="678">
        <v>5.3</v>
      </c>
      <c r="D309" s="512" t="s">
        <v>45</v>
      </c>
      <c r="E309" s="512">
        <v>0.3</v>
      </c>
      <c r="F309" s="512" t="s">
        <v>45</v>
      </c>
      <c r="G309" s="678">
        <v>2</v>
      </c>
      <c r="H309" s="512" t="s">
        <v>45</v>
      </c>
      <c r="I309" s="512">
        <v>1</v>
      </c>
      <c r="J309" s="512" t="s">
        <v>46</v>
      </c>
      <c r="K309" s="512">
        <f t="shared" si="63"/>
        <v>3.18</v>
      </c>
    </row>
    <row r="310" spans="1:11" s="140" customFormat="1" ht="15" customHeight="1" x14ac:dyDescent="0.2">
      <c r="A310" s="671"/>
      <c r="B310" s="247" t="s">
        <v>993</v>
      </c>
      <c r="C310" s="678">
        <v>5.3</v>
      </c>
      <c r="D310" s="512" t="s">
        <v>45</v>
      </c>
      <c r="E310" s="512">
        <v>0.3</v>
      </c>
      <c r="F310" s="512" t="s">
        <v>45</v>
      </c>
      <c r="G310" s="678">
        <v>2</v>
      </c>
      <c r="H310" s="512" t="s">
        <v>45</v>
      </c>
      <c r="I310" s="512">
        <v>1</v>
      </c>
      <c r="J310" s="512" t="s">
        <v>46</v>
      </c>
      <c r="K310" s="512">
        <f t="shared" si="63"/>
        <v>3.18</v>
      </c>
    </row>
    <row r="311" spans="1:11" s="140" customFormat="1" ht="27.75" customHeight="1" x14ac:dyDescent="0.2">
      <c r="A311" s="671"/>
      <c r="B311" s="247" t="s">
        <v>994</v>
      </c>
      <c r="C311" s="678">
        <v>5.3</v>
      </c>
      <c r="D311" s="512" t="s">
        <v>45</v>
      </c>
      <c r="E311" s="512">
        <v>0.3</v>
      </c>
      <c r="F311" s="512" t="s">
        <v>45</v>
      </c>
      <c r="G311" s="678">
        <v>2</v>
      </c>
      <c r="H311" s="512" t="s">
        <v>45</v>
      </c>
      <c r="I311" s="512">
        <v>2</v>
      </c>
      <c r="J311" s="512" t="s">
        <v>46</v>
      </c>
      <c r="K311" s="512">
        <f t="shared" si="63"/>
        <v>6.36</v>
      </c>
    </row>
    <row r="312" spans="1:11" s="140" customFormat="1" ht="15" customHeight="1" x14ac:dyDescent="0.2">
      <c r="A312" s="671"/>
      <c r="B312" s="247" t="s">
        <v>995</v>
      </c>
      <c r="C312" s="678">
        <f>4.3+3.95</f>
        <v>8.25</v>
      </c>
      <c r="D312" s="512" t="s">
        <v>45</v>
      </c>
      <c r="E312" s="512">
        <v>0.3</v>
      </c>
      <c r="F312" s="512" t="s">
        <v>45</v>
      </c>
      <c r="G312" s="678">
        <v>2</v>
      </c>
      <c r="H312" s="512" t="s">
        <v>45</v>
      </c>
      <c r="I312" s="512">
        <v>1</v>
      </c>
      <c r="J312" s="512" t="s">
        <v>46</v>
      </c>
      <c r="K312" s="512">
        <f t="shared" si="63"/>
        <v>4.95</v>
      </c>
    </row>
    <row r="313" spans="1:11" s="140" customFormat="1" ht="15" customHeight="1" x14ac:dyDescent="0.2">
      <c r="A313" s="671"/>
      <c r="B313" s="247" t="s">
        <v>996</v>
      </c>
      <c r="C313" s="678">
        <v>5.3</v>
      </c>
      <c r="D313" s="512" t="s">
        <v>45</v>
      </c>
      <c r="E313" s="512">
        <v>0.3</v>
      </c>
      <c r="F313" s="512" t="s">
        <v>45</v>
      </c>
      <c r="G313" s="678">
        <v>2</v>
      </c>
      <c r="H313" s="512" t="s">
        <v>45</v>
      </c>
      <c r="I313" s="512">
        <v>1</v>
      </c>
      <c r="J313" s="512" t="s">
        <v>46</v>
      </c>
      <c r="K313" s="512">
        <f t="shared" si="63"/>
        <v>3.18</v>
      </c>
    </row>
    <row r="314" spans="1:11" s="140" customFormat="1" ht="15" customHeight="1" x14ac:dyDescent="0.2">
      <c r="A314" s="671"/>
      <c r="B314" s="247" t="s">
        <v>997</v>
      </c>
      <c r="C314" s="678">
        <v>5</v>
      </c>
      <c r="D314" s="512" t="s">
        <v>45</v>
      </c>
      <c r="E314" s="512">
        <v>0.3</v>
      </c>
      <c r="F314" s="512" t="s">
        <v>45</v>
      </c>
      <c r="G314" s="678">
        <v>2</v>
      </c>
      <c r="H314" s="512" t="s">
        <v>45</v>
      </c>
      <c r="I314" s="512">
        <v>1</v>
      </c>
      <c r="J314" s="512" t="s">
        <v>46</v>
      </c>
      <c r="K314" s="512">
        <f t="shared" si="63"/>
        <v>3</v>
      </c>
    </row>
    <row r="315" spans="1:11" s="140" customFormat="1" ht="15" customHeight="1" x14ac:dyDescent="0.2">
      <c r="A315" s="671"/>
      <c r="B315" s="247" t="s">
        <v>998</v>
      </c>
      <c r="C315" s="678">
        <v>5.3</v>
      </c>
      <c r="D315" s="512" t="s">
        <v>45</v>
      </c>
      <c r="E315" s="512">
        <v>0.3</v>
      </c>
      <c r="F315" s="512" t="s">
        <v>45</v>
      </c>
      <c r="G315" s="678">
        <v>2</v>
      </c>
      <c r="H315" s="512" t="s">
        <v>45</v>
      </c>
      <c r="I315" s="512">
        <v>1</v>
      </c>
      <c r="J315" s="512" t="s">
        <v>46</v>
      </c>
      <c r="K315" s="512">
        <f t="shared" si="63"/>
        <v>3.18</v>
      </c>
    </row>
    <row r="316" spans="1:11" s="140" customFormat="1" ht="15" customHeight="1" x14ac:dyDescent="0.2">
      <c r="A316" s="671"/>
      <c r="B316" s="247" t="s">
        <v>999</v>
      </c>
      <c r="C316" s="678">
        <f>4.9+2.45+4.2+4</f>
        <v>15.55</v>
      </c>
      <c r="D316" s="512" t="s">
        <v>45</v>
      </c>
      <c r="E316" s="512">
        <v>0.3</v>
      </c>
      <c r="F316" s="512" t="s">
        <v>45</v>
      </c>
      <c r="G316" s="678">
        <v>2</v>
      </c>
      <c r="H316" s="512" t="s">
        <v>45</v>
      </c>
      <c r="I316" s="512">
        <v>1</v>
      </c>
      <c r="J316" s="512" t="s">
        <v>46</v>
      </c>
      <c r="K316" s="512">
        <f t="shared" si="63"/>
        <v>9.33</v>
      </c>
    </row>
    <row r="317" spans="1:11" s="140" customFormat="1" ht="15" customHeight="1" x14ac:dyDescent="0.2">
      <c r="A317" s="671"/>
      <c r="B317" s="247" t="s">
        <v>1000</v>
      </c>
      <c r="C317" s="678">
        <f>3.55+4.15</f>
        <v>7.7</v>
      </c>
      <c r="D317" s="512" t="s">
        <v>45</v>
      </c>
      <c r="E317" s="512">
        <v>0.3</v>
      </c>
      <c r="F317" s="512" t="s">
        <v>45</v>
      </c>
      <c r="G317" s="678">
        <v>2</v>
      </c>
      <c r="H317" s="512" t="s">
        <v>45</v>
      </c>
      <c r="I317" s="512">
        <v>1</v>
      </c>
      <c r="J317" s="512" t="s">
        <v>46</v>
      </c>
      <c r="K317" s="512">
        <f t="shared" si="63"/>
        <v>4.62</v>
      </c>
    </row>
    <row r="318" spans="1:11" s="140" customFormat="1" ht="15" customHeight="1" x14ac:dyDescent="0.2">
      <c r="A318" s="671"/>
      <c r="B318" s="247" t="s">
        <v>1001</v>
      </c>
      <c r="C318" s="678">
        <v>4</v>
      </c>
      <c r="D318" s="512" t="s">
        <v>45</v>
      </c>
      <c r="E318" s="512">
        <v>0.3</v>
      </c>
      <c r="F318" s="512" t="s">
        <v>45</v>
      </c>
      <c r="G318" s="678">
        <v>2</v>
      </c>
      <c r="H318" s="512" t="s">
        <v>45</v>
      </c>
      <c r="I318" s="512">
        <v>1</v>
      </c>
      <c r="J318" s="512" t="s">
        <v>46</v>
      </c>
      <c r="K318" s="512">
        <f>ROUND(C318*E318*G318*I318,2)</f>
        <v>2.4</v>
      </c>
    </row>
    <row r="319" spans="1:11" s="140" customFormat="1" ht="15" customHeight="1" x14ac:dyDescent="0.2">
      <c r="A319" s="671"/>
      <c r="B319" s="247" t="s">
        <v>1002</v>
      </c>
      <c r="C319" s="678">
        <v>2.1</v>
      </c>
      <c r="D319" s="512" t="s">
        <v>45</v>
      </c>
      <c r="E319" s="512">
        <v>0.3</v>
      </c>
      <c r="F319" s="512" t="s">
        <v>45</v>
      </c>
      <c r="G319" s="678">
        <v>2</v>
      </c>
      <c r="H319" s="512" t="s">
        <v>45</v>
      </c>
      <c r="I319" s="512">
        <v>1</v>
      </c>
      <c r="J319" s="512" t="s">
        <v>46</v>
      </c>
      <c r="K319" s="512">
        <f t="shared" si="63"/>
        <v>1.26</v>
      </c>
    </row>
    <row r="320" spans="1:11" s="140" customFormat="1" ht="15" customHeight="1" x14ac:dyDescent="0.2">
      <c r="A320" s="671"/>
      <c r="B320" s="247" t="s">
        <v>1003</v>
      </c>
      <c r="C320" s="678">
        <v>2.09</v>
      </c>
      <c r="D320" s="512" t="s">
        <v>45</v>
      </c>
      <c r="E320" s="512">
        <v>0.3</v>
      </c>
      <c r="F320" s="512" t="s">
        <v>45</v>
      </c>
      <c r="G320" s="678">
        <v>2</v>
      </c>
      <c r="H320" s="512" t="s">
        <v>45</v>
      </c>
      <c r="I320" s="512">
        <v>1</v>
      </c>
      <c r="J320" s="512" t="s">
        <v>46</v>
      </c>
      <c r="K320" s="512">
        <f t="shared" si="63"/>
        <v>1.25</v>
      </c>
    </row>
    <row r="321" spans="1:11" s="140" customFormat="1" ht="15" customHeight="1" x14ac:dyDescent="0.2">
      <c r="A321" s="671"/>
      <c r="B321" s="247" t="s">
        <v>1004</v>
      </c>
      <c r="C321" s="678">
        <v>1.95</v>
      </c>
      <c r="D321" s="512" t="s">
        <v>45</v>
      </c>
      <c r="E321" s="512">
        <v>0.3</v>
      </c>
      <c r="F321" s="512" t="s">
        <v>45</v>
      </c>
      <c r="G321" s="678">
        <v>2</v>
      </c>
      <c r="H321" s="512" t="s">
        <v>45</v>
      </c>
      <c r="I321" s="512">
        <v>1</v>
      </c>
      <c r="J321" s="512" t="s">
        <v>46</v>
      </c>
      <c r="K321" s="512">
        <f t="shared" si="63"/>
        <v>1.17</v>
      </c>
    </row>
    <row r="322" spans="1:11" s="140" customFormat="1" ht="15" customHeight="1" x14ac:dyDescent="0.2">
      <c r="A322" s="671"/>
      <c r="B322" s="247" t="s">
        <v>1005</v>
      </c>
      <c r="C322" s="678">
        <f>4.3+5.05+2.8+2.95</f>
        <v>15.099999999999998</v>
      </c>
      <c r="D322" s="512" t="s">
        <v>45</v>
      </c>
      <c r="E322" s="512">
        <v>0.3</v>
      </c>
      <c r="F322" s="512" t="s">
        <v>45</v>
      </c>
      <c r="G322" s="678">
        <v>2</v>
      </c>
      <c r="H322" s="512" t="s">
        <v>45</v>
      </c>
      <c r="I322" s="512">
        <v>1</v>
      </c>
      <c r="J322" s="512" t="s">
        <v>46</v>
      </c>
      <c r="K322" s="512">
        <f t="shared" si="63"/>
        <v>9.06</v>
      </c>
    </row>
    <row r="323" spans="1:11" s="140" customFormat="1" ht="15" customHeight="1" x14ac:dyDescent="0.2">
      <c r="A323" s="671"/>
      <c r="B323" s="247" t="s">
        <v>1006</v>
      </c>
      <c r="C323" s="678">
        <v>3.15</v>
      </c>
      <c r="D323" s="512" t="s">
        <v>45</v>
      </c>
      <c r="E323" s="512">
        <v>0.3</v>
      </c>
      <c r="F323" s="512" t="s">
        <v>45</v>
      </c>
      <c r="G323" s="678">
        <v>2</v>
      </c>
      <c r="H323" s="512" t="s">
        <v>45</v>
      </c>
      <c r="I323" s="512">
        <v>1</v>
      </c>
      <c r="J323" s="512" t="s">
        <v>46</v>
      </c>
      <c r="K323" s="512">
        <f t="shared" si="63"/>
        <v>1.89</v>
      </c>
    </row>
    <row r="324" spans="1:11" s="140" customFormat="1" ht="15" customHeight="1" x14ac:dyDescent="0.2">
      <c r="A324" s="671"/>
      <c r="B324" s="247" t="s">
        <v>1007</v>
      </c>
      <c r="C324" s="678">
        <v>3.05</v>
      </c>
      <c r="D324" s="512" t="s">
        <v>45</v>
      </c>
      <c r="E324" s="512">
        <v>0.3</v>
      </c>
      <c r="F324" s="512" t="s">
        <v>45</v>
      </c>
      <c r="G324" s="678">
        <v>2</v>
      </c>
      <c r="H324" s="512" t="s">
        <v>45</v>
      </c>
      <c r="I324" s="512">
        <v>1</v>
      </c>
      <c r="J324" s="512" t="s">
        <v>46</v>
      </c>
      <c r="K324" s="512">
        <f t="shared" si="63"/>
        <v>1.83</v>
      </c>
    </row>
    <row r="325" spans="1:11" s="140" customFormat="1" ht="15" customHeight="1" x14ac:dyDescent="0.2">
      <c r="A325" s="671"/>
      <c r="B325" s="247" t="s">
        <v>1008</v>
      </c>
      <c r="C325" s="678">
        <v>5.45</v>
      </c>
      <c r="D325" s="512" t="s">
        <v>45</v>
      </c>
      <c r="E325" s="512">
        <v>0.3</v>
      </c>
      <c r="F325" s="512" t="s">
        <v>45</v>
      </c>
      <c r="G325" s="678">
        <v>2</v>
      </c>
      <c r="H325" s="512" t="s">
        <v>45</v>
      </c>
      <c r="I325" s="512">
        <v>1</v>
      </c>
      <c r="J325" s="512" t="s">
        <v>46</v>
      </c>
      <c r="K325" s="512">
        <f t="shared" si="63"/>
        <v>3.27</v>
      </c>
    </row>
    <row r="326" spans="1:11" s="140" customFormat="1" ht="15" customHeight="1" x14ac:dyDescent="0.2">
      <c r="A326" s="671"/>
      <c r="B326" s="247" t="s">
        <v>1009</v>
      </c>
      <c r="C326" s="678">
        <v>8.1999999999999993</v>
      </c>
      <c r="D326" s="512" t="s">
        <v>45</v>
      </c>
      <c r="E326" s="512">
        <v>0.3</v>
      </c>
      <c r="F326" s="512" t="s">
        <v>45</v>
      </c>
      <c r="G326" s="678">
        <v>2</v>
      </c>
      <c r="H326" s="512" t="s">
        <v>45</v>
      </c>
      <c r="I326" s="512">
        <v>1</v>
      </c>
      <c r="J326" s="512" t="s">
        <v>46</v>
      </c>
      <c r="K326" s="512">
        <f t="shared" si="63"/>
        <v>4.92</v>
      </c>
    </row>
    <row r="327" spans="1:11" s="140" customFormat="1" ht="27.75" customHeight="1" x14ac:dyDescent="0.2">
      <c r="A327" s="671"/>
      <c r="B327" s="247" t="s">
        <v>1011</v>
      </c>
      <c r="C327" s="678">
        <f>4.25+5.05+2.85+2.9+5.2+2.85</f>
        <v>23.1</v>
      </c>
      <c r="D327" s="512" t="s">
        <v>45</v>
      </c>
      <c r="E327" s="512">
        <v>0.3</v>
      </c>
      <c r="F327" s="512" t="s">
        <v>45</v>
      </c>
      <c r="G327" s="678">
        <v>2</v>
      </c>
      <c r="H327" s="512" t="s">
        <v>45</v>
      </c>
      <c r="I327" s="512">
        <v>3</v>
      </c>
      <c r="J327" s="512" t="s">
        <v>46</v>
      </c>
      <c r="K327" s="512">
        <f t="shared" si="63"/>
        <v>41.58</v>
      </c>
    </row>
    <row r="328" spans="1:11" s="140" customFormat="1" ht="15" customHeight="1" x14ac:dyDescent="0.2">
      <c r="A328" s="671"/>
      <c r="B328" s="247" t="s">
        <v>1010</v>
      </c>
      <c r="C328" s="678">
        <v>3.45</v>
      </c>
      <c r="D328" s="512" t="s">
        <v>45</v>
      </c>
      <c r="E328" s="512">
        <v>0.3</v>
      </c>
      <c r="F328" s="512" t="s">
        <v>45</v>
      </c>
      <c r="G328" s="678">
        <v>2</v>
      </c>
      <c r="H328" s="512" t="s">
        <v>45</v>
      </c>
      <c r="I328" s="512">
        <v>1</v>
      </c>
      <c r="J328" s="512" t="s">
        <v>46</v>
      </c>
      <c r="K328" s="512">
        <f t="shared" si="63"/>
        <v>2.0699999999999998</v>
      </c>
    </row>
    <row r="329" spans="1:11" s="140" customFormat="1" ht="15" customHeight="1" x14ac:dyDescent="0.2">
      <c r="A329" s="671"/>
      <c r="B329" s="247" t="s">
        <v>1012</v>
      </c>
      <c r="C329" s="678">
        <v>4.2</v>
      </c>
      <c r="D329" s="512" t="s">
        <v>45</v>
      </c>
      <c r="E329" s="512">
        <v>0.3</v>
      </c>
      <c r="F329" s="512" t="s">
        <v>45</v>
      </c>
      <c r="G329" s="678">
        <v>2</v>
      </c>
      <c r="H329" s="512" t="s">
        <v>45</v>
      </c>
      <c r="I329" s="512">
        <v>1</v>
      </c>
      <c r="J329" s="512" t="s">
        <v>46</v>
      </c>
      <c r="K329" s="512">
        <f t="shared" si="63"/>
        <v>2.52</v>
      </c>
    </row>
    <row r="330" spans="1:11" s="140" customFormat="1" ht="15" customHeight="1" x14ac:dyDescent="0.2">
      <c r="A330" s="671"/>
      <c r="B330" s="247" t="s">
        <v>1013</v>
      </c>
      <c r="C330" s="678">
        <v>2.8</v>
      </c>
      <c r="D330" s="512" t="s">
        <v>45</v>
      </c>
      <c r="E330" s="512">
        <v>0.3</v>
      </c>
      <c r="F330" s="512" t="s">
        <v>45</v>
      </c>
      <c r="G330" s="678">
        <v>2</v>
      </c>
      <c r="H330" s="512" t="s">
        <v>45</v>
      </c>
      <c r="I330" s="512">
        <v>1</v>
      </c>
      <c r="J330" s="512" t="s">
        <v>46</v>
      </c>
      <c r="K330" s="512">
        <f t="shared" si="63"/>
        <v>1.68</v>
      </c>
    </row>
    <row r="331" spans="1:11" s="21" customFormat="1" ht="12" customHeight="1" x14ac:dyDescent="0.2">
      <c r="A331" s="529"/>
      <c r="B331" s="670"/>
      <c r="C331" s="670"/>
      <c r="D331" s="670"/>
      <c r="E331" s="670"/>
      <c r="F331" s="670"/>
      <c r="G331" s="670"/>
      <c r="H331" s="670"/>
      <c r="I331" s="670"/>
    </row>
    <row r="332" spans="1:11" s="140" customFormat="1" ht="15.75" customHeight="1" x14ac:dyDescent="0.2">
      <c r="A332" s="671"/>
      <c r="B332" s="659" t="s">
        <v>47</v>
      </c>
      <c r="C332" s="661">
        <f>ROUND(SUM(K304:K330),2)</f>
        <v>147.5</v>
      </c>
      <c r="D332" s="660" t="s">
        <v>4</v>
      </c>
      <c r="E332" s="672"/>
      <c r="F332" s="672"/>
      <c r="G332" s="672"/>
      <c r="H332" s="672"/>
      <c r="I332" s="672"/>
    </row>
    <row r="333" spans="1:11" s="21" customFormat="1" x14ac:dyDescent="0.2"/>
    <row r="334" spans="1:11" s="21" customFormat="1" ht="17.25" customHeight="1" x14ac:dyDescent="0.2">
      <c r="A334" s="246" t="str">
        <f>ORÇ!A51</f>
        <v>4.3.4</v>
      </c>
      <c r="B334" s="1730" t="str">
        <f>ORÇ!D51</f>
        <v>ARMAÇÃO DE BLOCO, VIGA BALDRAME OU SAPATA UTILIZANDO AÇO CA-50 DE 8 MM - MONTAGEM. AF_06/2017</v>
      </c>
      <c r="C334" s="1730"/>
      <c r="D334" s="1730"/>
      <c r="E334" s="1730"/>
      <c r="F334" s="1730"/>
      <c r="G334" s="1730"/>
      <c r="H334" s="1730"/>
      <c r="I334" s="1730"/>
      <c r="J334" s="1730"/>
      <c r="K334" s="1730"/>
    </row>
    <row r="335" spans="1:11" s="21" customFormat="1" ht="8.25" customHeight="1" x14ac:dyDescent="0.2"/>
    <row r="336" spans="1:11" s="602" customFormat="1" ht="18" customHeight="1" x14ac:dyDescent="0.2">
      <c r="A336" s="671"/>
      <c r="B336" s="512" t="s">
        <v>616</v>
      </c>
      <c r="C336" s="512" t="s">
        <v>917</v>
      </c>
      <c r="D336" s="512" t="s">
        <v>753</v>
      </c>
      <c r="E336" s="512"/>
      <c r="F336" s="512" t="s">
        <v>590</v>
      </c>
      <c r="G336" s="512"/>
      <c r="H336" s="512" t="s">
        <v>1022</v>
      </c>
      <c r="I336" s="512"/>
      <c r="J336" s="512" t="s">
        <v>614</v>
      </c>
      <c r="K336" s="522"/>
    </row>
    <row r="337" spans="1:10" s="140" customFormat="1" ht="14.25" customHeight="1" x14ac:dyDescent="0.2">
      <c r="A337" s="671"/>
      <c r="B337" s="1725" t="str">
        <f>B304</f>
        <v>VB1=VB8</v>
      </c>
      <c r="C337" s="512" t="s">
        <v>926</v>
      </c>
      <c r="D337" s="512">
        <v>2.7</v>
      </c>
      <c r="E337" s="512" t="s">
        <v>45</v>
      </c>
      <c r="F337" s="512">
        <v>1</v>
      </c>
      <c r="G337" s="512" t="s">
        <v>45</v>
      </c>
      <c r="H337" s="512">
        <f>I304</f>
        <v>2</v>
      </c>
      <c r="I337" s="512" t="s">
        <v>46</v>
      </c>
      <c r="J337" s="512">
        <f t="shared" ref="J337:J395" si="64">ROUND(D337*F337*H337,2)</f>
        <v>5.4</v>
      </c>
    </row>
    <row r="338" spans="1:10" s="140" customFormat="1" ht="14.25" customHeight="1" x14ac:dyDescent="0.2">
      <c r="A338" s="671"/>
      <c r="B338" s="1726"/>
      <c r="C338" s="512" t="s">
        <v>919</v>
      </c>
      <c r="D338" s="512">
        <v>5.25</v>
      </c>
      <c r="E338" s="512" t="s">
        <v>45</v>
      </c>
      <c r="F338" s="512">
        <v>2</v>
      </c>
      <c r="G338" s="512" t="s">
        <v>45</v>
      </c>
      <c r="H338" s="512">
        <f>H337</f>
        <v>2</v>
      </c>
      <c r="I338" s="512" t="s">
        <v>46</v>
      </c>
      <c r="J338" s="512">
        <f t="shared" ref="J338:J339" si="65">ROUND(D338*F338*H338,2)</f>
        <v>21</v>
      </c>
    </row>
    <row r="339" spans="1:10" s="140" customFormat="1" ht="14.25" customHeight="1" x14ac:dyDescent="0.2">
      <c r="A339" s="671"/>
      <c r="B339" s="1726"/>
      <c r="C339" s="512" t="s">
        <v>920</v>
      </c>
      <c r="D339" s="512">
        <v>3.03</v>
      </c>
      <c r="E339" s="512" t="s">
        <v>45</v>
      </c>
      <c r="F339" s="512">
        <v>2</v>
      </c>
      <c r="G339" s="512" t="s">
        <v>45</v>
      </c>
      <c r="H339" s="512">
        <f t="shared" ref="H339:H340" si="66">H338</f>
        <v>2</v>
      </c>
      <c r="I339" s="512" t="s">
        <v>46</v>
      </c>
      <c r="J339" s="512">
        <f t="shared" si="65"/>
        <v>12.12</v>
      </c>
    </row>
    <row r="340" spans="1:10" s="140" customFormat="1" ht="14.25" customHeight="1" x14ac:dyDescent="0.2">
      <c r="A340" s="671"/>
      <c r="B340" s="1727"/>
      <c r="C340" s="512" t="s">
        <v>923</v>
      </c>
      <c r="D340" s="512">
        <v>4.22</v>
      </c>
      <c r="E340" s="512" t="s">
        <v>45</v>
      </c>
      <c r="F340" s="512">
        <v>2</v>
      </c>
      <c r="G340" s="512" t="s">
        <v>45</v>
      </c>
      <c r="H340" s="512">
        <f t="shared" si="66"/>
        <v>2</v>
      </c>
      <c r="I340" s="512" t="s">
        <v>46</v>
      </c>
      <c r="J340" s="512">
        <f t="shared" si="64"/>
        <v>16.88</v>
      </c>
    </row>
    <row r="341" spans="1:10" s="140" customFormat="1" ht="14.25" customHeight="1" x14ac:dyDescent="0.2">
      <c r="A341" s="671"/>
      <c r="B341" s="1725" t="str">
        <f>B305</f>
        <v>VB2</v>
      </c>
      <c r="C341" s="512" t="s">
        <v>924</v>
      </c>
      <c r="D341" s="512">
        <v>2.64</v>
      </c>
      <c r="E341" s="512" t="s">
        <v>45</v>
      </c>
      <c r="F341" s="512">
        <v>2</v>
      </c>
      <c r="G341" s="512" t="s">
        <v>45</v>
      </c>
      <c r="H341" s="512">
        <f t="shared" ref="H341" si="67">I305</f>
        <v>1</v>
      </c>
      <c r="I341" s="512" t="s">
        <v>46</v>
      </c>
      <c r="J341" s="512">
        <f t="shared" ref="J341:J365" si="68">ROUND(D341*F341*H341,2)</f>
        <v>5.28</v>
      </c>
    </row>
    <row r="342" spans="1:10" s="140" customFormat="1" ht="14.25" customHeight="1" x14ac:dyDescent="0.2">
      <c r="A342" s="671"/>
      <c r="B342" s="1727"/>
      <c r="C342" s="512" t="s">
        <v>925</v>
      </c>
      <c r="D342" s="512">
        <v>3</v>
      </c>
      <c r="E342" s="512" t="s">
        <v>45</v>
      </c>
      <c r="F342" s="512">
        <v>2</v>
      </c>
      <c r="G342" s="512" t="s">
        <v>45</v>
      </c>
      <c r="H342" s="512">
        <f>H341</f>
        <v>1</v>
      </c>
      <c r="I342" s="512" t="s">
        <v>46</v>
      </c>
      <c r="J342" s="512">
        <f t="shared" ref="J342" si="69">ROUND(D342*F342*H342,2)</f>
        <v>6</v>
      </c>
    </row>
    <row r="343" spans="1:10" s="140" customFormat="1" ht="14.25" customHeight="1" x14ac:dyDescent="0.2">
      <c r="A343" s="671"/>
      <c r="B343" s="1725" t="str">
        <f>B307</f>
        <v>VB4=VB6</v>
      </c>
      <c r="C343" s="512" t="s">
        <v>950</v>
      </c>
      <c r="D343" s="512">
        <v>2.6</v>
      </c>
      <c r="E343" s="512" t="s">
        <v>45</v>
      </c>
      <c r="F343" s="512">
        <v>1</v>
      </c>
      <c r="G343" s="512" t="s">
        <v>45</v>
      </c>
      <c r="H343" s="512">
        <f>H344</f>
        <v>2</v>
      </c>
      <c r="I343" s="512" t="s">
        <v>46</v>
      </c>
      <c r="J343" s="512">
        <f t="shared" si="68"/>
        <v>5.2</v>
      </c>
    </row>
    <row r="344" spans="1:10" s="140" customFormat="1" ht="14.25" customHeight="1" x14ac:dyDescent="0.2">
      <c r="A344" s="671"/>
      <c r="B344" s="1726"/>
      <c r="C344" s="512" t="s">
        <v>931</v>
      </c>
      <c r="D344" s="512">
        <v>3.4</v>
      </c>
      <c r="E344" s="512" t="s">
        <v>45</v>
      </c>
      <c r="F344" s="512">
        <v>1</v>
      </c>
      <c r="G344" s="512" t="s">
        <v>45</v>
      </c>
      <c r="H344" s="512">
        <f>I307</f>
        <v>2</v>
      </c>
      <c r="I344" s="512" t="s">
        <v>46</v>
      </c>
      <c r="J344" s="512">
        <f t="shared" si="68"/>
        <v>6.8</v>
      </c>
    </row>
    <row r="345" spans="1:10" s="140" customFormat="1" ht="14.25" customHeight="1" x14ac:dyDescent="0.2">
      <c r="A345" s="671"/>
      <c r="B345" s="1726"/>
      <c r="C345" s="512" t="s">
        <v>932</v>
      </c>
      <c r="D345" s="512">
        <v>4.29</v>
      </c>
      <c r="E345" s="512" t="s">
        <v>45</v>
      </c>
      <c r="F345" s="512">
        <v>2</v>
      </c>
      <c r="G345" s="512" t="s">
        <v>45</v>
      </c>
      <c r="H345" s="512">
        <f>H344</f>
        <v>2</v>
      </c>
      <c r="I345" s="512" t="s">
        <v>46</v>
      </c>
      <c r="J345" s="512">
        <f t="shared" si="68"/>
        <v>17.16</v>
      </c>
    </row>
    <row r="346" spans="1:10" s="140" customFormat="1" ht="14.25" customHeight="1" x14ac:dyDescent="0.2">
      <c r="A346" s="671"/>
      <c r="B346" s="1727"/>
      <c r="C346" s="512" t="s">
        <v>957</v>
      </c>
      <c r="D346" s="512">
        <v>4.6500000000000004</v>
      </c>
      <c r="E346" s="512" t="s">
        <v>45</v>
      </c>
      <c r="F346" s="512">
        <v>2</v>
      </c>
      <c r="G346" s="512" t="s">
        <v>45</v>
      </c>
      <c r="H346" s="512">
        <f>H345</f>
        <v>2</v>
      </c>
      <c r="I346" s="512" t="s">
        <v>46</v>
      </c>
      <c r="J346" s="512">
        <f t="shared" ref="J346" si="70">ROUND(D346*F346*H346,2)</f>
        <v>18.600000000000001</v>
      </c>
    </row>
    <row r="347" spans="1:10" s="140" customFormat="1" ht="14.25" customHeight="1" x14ac:dyDescent="0.2">
      <c r="A347" s="671"/>
      <c r="B347" s="1725" t="str">
        <f>B308</f>
        <v>VB5</v>
      </c>
      <c r="C347" s="512" t="s">
        <v>940</v>
      </c>
      <c r="D347" s="512">
        <v>2.9</v>
      </c>
      <c r="E347" s="512" t="s">
        <v>45</v>
      </c>
      <c r="F347" s="512">
        <v>1</v>
      </c>
      <c r="G347" s="512" t="s">
        <v>45</v>
      </c>
      <c r="H347" s="512">
        <f>I308</f>
        <v>1</v>
      </c>
      <c r="I347" s="512" t="s">
        <v>46</v>
      </c>
      <c r="J347" s="512">
        <f t="shared" si="68"/>
        <v>2.9</v>
      </c>
    </row>
    <row r="348" spans="1:10" s="140" customFormat="1" ht="14.25" customHeight="1" x14ac:dyDescent="0.2">
      <c r="A348" s="671"/>
      <c r="B348" s="1727"/>
      <c r="C348" s="512" t="s">
        <v>946</v>
      </c>
      <c r="D348" s="512">
        <v>5.4</v>
      </c>
      <c r="E348" s="512" t="s">
        <v>45</v>
      </c>
      <c r="F348" s="512">
        <v>2</v>
      </c>
      <c r="G348" s="512" t="s">
        <v>45</v>
      </c>
      <c r="H348" s="512">
        <f>H347</f>
        <v>1</v>
      </c>
      <c r="I348" s="512" t="s">
        <v>46</v>
      </c>
      <c r="J348" s="512">
        <f t="shared" ref="J348" si="71">ROUND(D348*F348*H348,2)</f>
        <v>10.8</v>
      </c>
    </row>
    <row r="349" spans="1:10" s="140" customFormat="1" ht="14.25" customHeight="1" x14ac:dyDescent="0.2">
      <c r="A349" s="671"/>
      <c r="B349" s="1725" t="str">
        <f>B309</f>
        <v>VB7</v>
      </c>
      <c r="C349" s="512" t="s">
        <v>946</v>
      </c>
      <c r="D349" s="512">
        <v>5.4</v>
      </c>
      <c r="E349" s="512" t="s">
        <v>45</v>
      </c>
      <c r="F349" s="512">
        <v>3</v>
      </c>
      <c r="G349" s="512" t="s">
        <v>45</v>
      </c>
      <c r="H349" s="512">
        <f>I309</f>
        <v>1</v>
      </c>
      <c r="I349" s="512" t="s">
        <v>46</v>
      </c>
      <c r="J349" s="512">
        <f t="shared" si="68"/>
        <v>16.2</v>
      </c>
    </row>
    <row r="350" spans="1:10" s="140" customFormat="1" ht="14.25" customHeight="1" x14ac:dyDescent="0.2">
      <c r="A350" s="671"/>
      <c r="B350" s="1726"/>
      <c r="C350" s="512" t="s">
        <v>955</v>
      </c>
      <c r="D350" s="512">
        <v>2.65</v>
      </c>
      <c r="E350" s="512" t="s">
        <v>45</v>
      </c>
      <c r="F350" s="512">
        <v>1</v>
      </c>
      <c r="G350" s="512" t="s">
        <v>45</v>
      </c>
      <c r="H350" s="512">
        <f>H349</f>
        <v>1</v>
      </c>
      <c r="I350" s="512" t="s">
        <v>46</v>
      </c>
      <c r="J350" s="512">
        <f t="shared" si="68"/>
        <v>2.65</v>
      </c>
    </row>
    <row r="351" spans="1:10" s="140" customFormat="1" ht="14.25" customHeight="1" x14ac:dyDescent="0.2">
      <c r="A351" s="671"/>
      <c r="B351" s="1726"/>
      <c r="C351" s="512" t="s">
        <v>958</v>
      </c>
      <c r="D351" s="512">
        <v>3.45</v>
      </c>
      <c r="E351" s="512" t="s">
        <v>45</v>
      </c>
      <c r="F351" s="512">
        <v>1</v>
      </c>
      <c r="G351" s="512" t="s">
        <v>45</v>
      </c>
      <c r="H351" s="512">
        <f>H350</f>
        <v>1</v>
      </c>
      <c r="I351" s="512" t="s">
        <v>46</v>
      </c>
      <c r="J351" s="512">
        <f t="shared" ref="J351" si="72">ROUND(D351*F351*H351,2)</f>
        <v>3.45</v>
      </c>
    </row>
    <row r="352" spans="1:10" s="140" customFormat="1" ht="14.25" customHeight="1" x14ac:dyDescent="0.2">
      <c r="A352" s="671"/>
      <c r="B352" s="1726"/>
      <c r="C352" s="512" t="s">
        <v>966</v>
      </c>
      <c r="D352" s="512">
        <v>4.0999999999999996</v>
      </c>
      <c r="E352" s="512" t="s">
        <v>45</v>
      </c>
      <c r="F352" s="512">
        <v>1</v>
      </c>
      <c r="G352" s="512" t="s">
        <v>45</v>
      </c>
      <c r="H352" s="512">
        <f>H351</f>
        <v>1</v>
      </c>
      <c r="I352" s="512" t="s">
        <v>46</v>
      </c>
      <c r="J352" s="512">
        <f t="shared" ref="J352" si="73">ROUND(D352*F352*H352,2)</f>
        <v>4.0999999999999996</v>
      </c>
    </row>
    <row r="353" spans="1:10" s="140" customFormat="1" ht="14.25" customHeight="1" x14ac:dyDescent="0.2">
      <c r="A353" s="671"/>
      <c r="B353" s="1727"/>
      <c r="C353" s="512" t="s">
        <v>964</v>
      </c>
      <c r="D353" s="512">
        <v>0.93</v>
      </c>
      <c r="E353" s="512" t="s">
        <v>45</v>
      </c>
      <c r="F353" s="512">
        <v>4</v>
      </c>
      <c r="G353" s="512" t="s">
        <v>45</v>
      </c>
      <c r="H353" s="512">
        <f>H352</f>
        <v>1</v>
      </c>
      <c r="I353" s="512" t="s">
        <v>46</v>
      </c>
      <c r="J353" s="512">
        <f t="shared" ref="J353" si="74">ROUND(D353*F353*H353,2)</f>
        <v>3.72</v>
      </c>
    </row>
    <row r="354" spans="1:10" s="140" customFormat="1" ht="14.25" customHeight="1" x14ac:dyDescent="0.2">
      <c r="A354" s="671"/>
      <c r="B354" s="1725" t="str">
        <f>B310</f>
        <v>VB9</v>
      </c>
      <c r="C354" s="512" t="s">
        <v>964</v>
      </c>
      <c r="D354" s="512">
        <v>0.93</v>
      </c>
      <c r="E354" s="512" t="s">
        <v>45</v>
      </c>
      <c r="F354" s="512">
        <v>2</v>
      </c>
      <c r="G354" s="512" t="s">
        <v>45</v>
      </c>
      <c r="H354" s="512">
        <f>I310</f>
        <v>1</v>
      </c>
      <c r="I354" s="512" t="s">
        <v>46</v>
      </c>
      <c r="J354" s="512">
        <f t="shared" si="68"/>
        <v>1.86</v>
      </c>
    </row>
    <row r="355" spans="1:10" s="140" customFormat="1" ht="14.25" customHeight="1" x14ac:dyDescent="0.2">
      <c r="A355" s="671"/>
      <c r="B355" s="1727"/>
      <c r="C355" s="512" t="s">
        <v>1026</v>
      </c>
      <c r="D355" s="512">
        <v>0.98</v>
      </c>
      <c r="E355" s="512" t="s">
        <v>45</v>
      </c>
      <c r="F355" s="512">
        <v>2</v>
      </c>
      <c r="G355" s="512" t="s">
        <v>45</v>
      </c>
      <c r="H355" s="512">
        <f>H354</f>
        <v>1</v>
      </c>
      <c r="I355" s="512" t="s">
        <v>46</v>
      </c>
      <c r="J355" s="512">
        <f t="shared" ref="J355" si="75">ROUND(D355*F355*H355,2)</f>
        <v>1.96</v>
      </c>
    </row>
    <row r="356" spans="1:10" s="140" customFormat="1" ht="27.75" customHeight="1" x14ac:dyDescent="0.2">
      <c r="A356" s="671"/>
      <c r="B356" s="247" t="str">
        <f>B311</f>
        <v>VB10 =VB11</v>
      </c>
      <c r="C356" s="512" t="s">
        <v>964</v>
      </c>
      <c r="D356" s="512">
        <v>0.93</v>
      </c>
      <c r="E356" s="512" t="s">
        <v>45</v>
      </c>
      <c r="F356" s="512">
        <v>4</v>
      </c>
      <c r="G356" s="512" t="s">
        <v>45</v>
      </c>
      <c r="H356" s="512">
        <f>I311</f>
        <v>2</v>
      </c>
      <c r="I356" s="512" t="s">
        <v>46</v>
      </c>
      <c r="J356" s="512">
        <f t="shared" si="68"/>
        <v>7.44</v>
      </c>
    </row>
    <row r="357" spans="1:10" s="140" customFormat="1" ht="14.25" customHeight="1" x14ac:dyDescent="0.2">
      <c r="A357" s="671"/>
      <c r="B357" s="1725" t="str">
        <f>B312</f>
        <v>VB12</v>
      </c>
      <c r="C357" s="512" t="s">
        <v>1027</v>
      </c>
      <c r="D357" s="512">
        <v>4.5199999999999996</v>
      </c>
      <c r="E357" s="512" t="s">
        <v>45</v>
      </c>
      <c r="F357" s="512">
        <v>2</v>
      </c>
      <c r="G357" s="512" t="s">
        <v>45</v>
      </c>
      <c r="H357" s="512">
        <f>I312</f>
        <v>1</v>
      </c>
      <c r="I357" s="512" t="s">
        <v>46</v>
      </c>
      <c r="J357" s="512">
        <f t="shared" si="68"/>
        <v>9.0399999999999991</v>
      </c>
    </row>
    <row r="358" spans="1:10" s="140" customFormat="1" ht="14.25" customHeight="1" x14ac:dyDescent="0.2">
      <c r="A358" s="671"/>
      <c r="B358" s="1727"/>
      <c r="C358" s="512" t="s">
        <v>1028</v>
      </c>
      <c r="D358" s="512">
        <v>4.17</v>
      </c>
      <c r="E358" s="512" t="s">
        <v>45</v>
      </c>
      <c r="F358" s="512">
        <v>2</v>
      </c>
      <c r="G358" s="512" t="s">
        <v>45</v>
      </c>
      <c r="H358" s="512">
        <f>H357</f>
        <v>1</v>
      </c>
      <c r="I358" s="512" t="s">
        <v>46</v>
      </c>
      <c r="J358" s="512">
        <f t="shared" ref="J358" si="76">ROUND(D358*F358*H358,2)</f>
        <v>8.34</v>
      </c>
    </row>
    <row r="359" spans="1:10" s="140" customFormat="1" ht="14.25" customHeight="1" x14ac:dyDescent="0.2">
      <c r="A359" s="671"/>
      <c r="B359" s="247" t="str">
        <f>B313</f>
        <v>VB13</v>
      </c>
      <c r="C359" s="512" t="s">
        <v>964</v>
      </c>
      <c r="D359" s="512">
        <v>0.93</v>
      </c>
      <c r="E359" s="512" t="s">
        <v>45</v>
      </c>
      <c r="F359" s="512">
        <v>4</v>
      </c>
      <c r="G359" s="512" t="s">
        <v>45</v>
      </c>
      <c r="H359" s="512">
        <f>I313</f>
        <v>1</v>
      </c>
      <c r="I359" s="512" t="s">
        <v>46</v>
      </c>
      <c r="J359" s="512">
        <f t="shared" si="68"/>
        <v>3.72</v>
      </c>
    </row>
    <row r="360" spans="1:10" s="140" customFormat="1" ht="14.25" customHeight="1" x14ac:dyDescent="0.2">
      <c r="A360" s="671"/>
      <c r="B360" s="1725" t="str">
        <f>B314</f>
        <v>VB14</v>
      </c>
      <c r="C360" s="512" t="s">
        <v>946</v>
      </c>
      <c r="D360" s="512">
        <v>5.4</v>
      </c>
      <c r="E360" s="512" t="s">
        <v>45</v>
      </c>
      <c r="F360" s="512">
        <v>2</v>
      </c>
      <c r="G360" s="512" t="s">
        <v>45</v>
      </c>
      <c r="H360" s="512">
        <f>I314</f>
        <v>1</v>
      </c>
      <c r="I360" s="512" t="s">
        <v>46</v>
      </c>
      <c r="J360" s="512">
        <f t="shared" si="68"/>
        <v>10.8</v>
      </c>
    </row>
    <row r="361" spans="1:10" s="140" customFormat="1" ht="14.25" customHeight="1" x14ac:dyDescent="0.2">
      <c r="A361" s="671"/>
      <c r="B361" s="1726"/>
      <c r="C361" s="512" t="s">
        <v>1029</v>
      </c>
      <c r="D361" s="512">
        <v>2.2000000000000002</v>
      </c>
      <c r="E361" s="512" t="s">
        <v>45</v>
      </c>
      <c r="F361" s="512">
        <v>1</v>
      </c>
      <c r="G361" s="512" t="s">
        <v>45</v>
      </c>
      <c r="H361" s="512">
        <f>H359</f>
        <v>1</v>
      </c>
      <c r="I361" s="512" t="s">
        <v>46</v>
      </c>
      <c r="J361" s="512">
        <f t="shared" si="68"/>
        <v>2.2000000000000002</v>
      </c>
    </row>
    <row r="362" spans="1:10" s="140" customFormat="1" ht="14.25" customHeight="1" x14ac:dyDescent="0.2">
      <c r="A362" s="671"/>
      <c r="B362" s="1727"/>
      <c r="C362" s="512" t="s">
        <v>1030</v>
      </c>
      <c r="D362" s="512">
        <v>3.05</v>
      </c>
      <c r="E362" s="512" t="s">
        <v>45</v>
      </c>
      <c r="F362" s="512">
        <v>1</v>
      </c>
      <c r="G362" s="512" t="s">
        <v>45</v>
      </c>
      <c r="H362" s="512">
        <f>H360</f>
        <v>1</v>
      </c>
      <c r="I362" s="512" t="s">
        <v>46</v>
      </c>
      <c r="J362" s="512">
        <f t="shared" ref="J362" si="77">ROUND(D362*F362*H362,2)</f>
        <v>3.05</v>
      </c>
    </row>
    <row r="363" spans="1:10" s="140" customFormat="1" ht="14.25" customHeight="1" x14ac:dyDescent="0.2">
      <c r="A363" s="671"/>
      <c r="B363" s="1725" t="str">
        <f>B315</f>
        <v>VB15</v>
      </c>
      <c r="C363" s="512" t="s">
        <v>964</v>
      </c>
      <c r="D363" s="512">
        <v>0.93</v>
      </c>
      <c r="E363" s="512" t="s">
        <v>45</v>
      </c>
      <c r="F363" s="512">
        <v>2</v>
      </c>
      <c r="G363" s="512" t="s">
        <v>45</v>
      </c>
      <c r="H363" s="512">
        <f>I315</f>
        <v>1</v>
      </c>
      <c r="I363" s="512" t="s">
        <v>46</v>
      </c>
      <c r="J363" s="512">
        <f t="shared" si="68"/>
        <v>1.86</v>
      </c>
    </row>
    <row r="364" spans="1:10" s="140" customFormat="1" ht="14.25" customHeight="1" x14ac:dyDescent="0.2">
      <c r="A364" s="671"/>
      <c r="B364" s="1727"/>
      <c r="C364" s="512" t="s">
        <v>1026</v>
      </c>
      <c r="D364" s="512">
        <v>0.98</v>
      </c>
      <c r="E364" s="512" t="s">
        <v>45</v>
      </c>
      <c r="F364" s="512">
        <v>2</v>
      </c>
      <c r="G364" s="512" t="s">
        <v>45</v>
      </c>
      <c r="H364" s="512">
        <f>H363</f>
        <v>1</v>
      </c>
      <c r="I364" s="512" t="s">
        <v>46</v>
      </c>
      <c r="J364" s="512">
        <f t="shared" ref="J364" si="78">ROUND(D364*F364*H364,2)</f>
        <v>1.96</v>
      </c>
    </row>
    <row r="365" spans="1:10" s="140" customFormat="1" ht="14.25" customHeight="1" x14ac:dyDescent="0.2">
      <c r="A365" s="671"/>
      <c r="B365" s="1725" t="str">
        <f>B316</f>
        <v>VB16</v>
      </c>
      <c r="C365" s="512" t="s">
        <v>1031</v>
      </c>
      <c r="D365" s="512">
        <v>2.98</v>
      </c>
      <c r="E365" s="512" t="s">
        <v>45</v>
      </c>
      <c r="F365" s="512">
        <v>2</v>
      </c>
      <c r="G365" s="512" t="s">
        <v>45</v>
      </c>
      <c r="H365" s="512">
        <f>I316</f>
        <v>1</v>
      </c>
      <c r="I365" s="512" t="s">
        <v>46</v>
      </c>
      <c r="J365" s="512">
        <f t="shared" si="68"/>
        <v>5.96</v>
      </c>
    </row>
    <row r="366" spans="1:10" s="140" customFormat="1" ht="14.25" customHeight="1" x14ac:dyDescent="0.2">
      <c r="A366" s="671"/>
      <c r="B366" s="1726"/>
      <c r="C366" s="512" t="s">
        <v>1032</v>
      </c>
      <c r="D366" s="512">
        <v>4.7300000000000004</v>
      </c>
      <c r="E366" s="512" t="s">
        <v>45</v>
      </c>
      <c r="F366" s="512">
        <v>2</v>
      </c>
      <c r="G366" s="512" t="s">
        <v>45</v>
      </c>
      <c r="H366" s="512">
        <f>H365</f>
        <v>1</v>
      </c>
      <c r="I366" s="512" t="s">
        <v>46</v>
      </c>
      <c r="J366" s="512">
        <f t="shared" ref="J366:J367" si="79">ROUND(D366*F366*H366,2)</f>
        <v>9.4600000000000009</v>
      </c>
    </row>
    <row r="367" spans="1:10" s="140" customFormat="1" ht="14.25" customHeight="1" x14ac:dyDescent="0.2">
      <c r="A367" s="671"/>
      <c r="B367" s="1727"/>
      <c r="C367" s="512" t="s">
        <v>923</v>
      </c>
      <c r="D367" s="512">
        <v>4.22</v>
      </c>
      <c r="E367" s="512" t="s">
        <v>45</v>
      </c>
      <c r="F367" s="512">
        <v>2</v>
      </c>
      <c r="G367" s="512" t="s">
        <v>45</v>
      </c>
      <c r="H367" s="512">
        <f>H366</f>
        <v>1</v>
      </c>
      <c r="I367" s="512" t="s">
        <v>46</v>
      </c>
      <c r="J367" s="512">
        <f t="shared" si="79"/>
        <v>8.44</v>
      </c>
    </row>
    <row r="368" spans="1:10" s="140" customFormat="1" ht="14.25" customHeight="1" x14ac:dyDescent="0.2">
      <c r="A368" s="671"/>
      <c r="B368" s="1725" t="str">
        <f>B317</f>
        <v>VB17</v>
      </c>
      <c r="C368" s="512" t="s">
        <v>1033</v>
      </c>
      <c r="D368" s="512">
        <v>3.97</v>
      </c>
      <c r="E368" s="512" t="s">
        <v>45</v>
      </c>
      <c r="F368" s="512">
        <v>2</v>
      </c>
      <c r="G368" s="512" t="s">
        <v>45</v>
      </c>
      <c r="H368" s="512">
        <f>I317</f>
        <v>1</v>
      </c>
      <c r="I368" s="512" t="s">
        <v>46</v>
      </c>
      <c r="J368" s="512">
        <f t="shared" si="64"/>
        <v>7.94</v>
      </c>
    </row>
    <row r="369" spans="1:10" s="140" customFormat="1" ht="14.25" customHeight="1" x14ac:dyDescent="0.2">
      <c r="A369" s="671"/>
      <c r="B369" s="1726"/>
      <c r="C369" s="512" t="s">
        <v>1034</v>
      </c>
      <c r="D369" s="512">
        <v>4.47</v>
      </c>
      <c r="E369" s="512" t="s">
        <v>45</v>
      </c>
      <c r="F369" s="512">
        <v>2</v>
      </c>
      <c r="G369" s="512" t="s">
        <v>45</v>
      </c>
      <c r="H369" s="512">
        <f t="shared" ref="H369:H371" si="80">I318</f>
        <v>1</v>
      </c>
      <c r="I369" s="512" t="s">
        <v>46</v>
      </c>
      <c r="J369" s="512">
        <f t="shared" ref="J369:J371" si="81">ROUND(D369*F369*H369,2)</f>
        <v>8.94</v>
      </c>
    </row>
    <row r="370" spans="1:10" s="140" customFormat="1" ht="14.25" customHeight="1" x14ac:dyDescent="0.2">
      <c r="A370" s="671"/>
      <c r="B370" s="1726"/>
      <c r="C370" s="512" t="s">
        <v>1035</v>
      </c>
      <c r="D370" s="512">
        <v>5.6</v>
      </c>
      <c r="E370" s="512" t="s">
        <v>45</v>
      </c>
      <c r="F370" s="512">
        <v>1</v>
      </c>
      <c r="G370" s="512" t="s">
        <v>45</v>
      </c>
      <c r="H370" s="512">
        <f t="shared" si="80"/>
        <v>1</v>
      </c>
      <c r="I370" s="512" t="s">
        <v>46</v>
      </c>
      <c r="J370" s="512">
        <f t="shared" si="81"/>
        <v>5.6</v>
      </c>
    </row>
    <row r="371" spans="1:10" s="140" customFormat="1" ht="14.25" customHeight="1" x14ac:dyDescent="0.2">
      <c r="A371" s="671"/>
      <c r="B371" s="1727"/>
      <c r="C371" s="512" t="s">
        <v>1036</v>
      </c>
      <c r="D371" s="512">
        <v>8.6199999999999992</v>
      </c>
      <c r="E371" s="512" t="s">
        <v>45</v>
      </c>
      <c r="F371" s="512">
        <v>3</v>
      </c>
      <c r="G371" s="512" t="s">
        <v>45</v>
      </c>
      <c r="H371" s="512">
        <f t="shared" si="80"/>
        <v>1</v>
      </c>
      <c r="I371" s="512" t="s">
        <v>46</v>
      </c>
      <c r="J371" s="512">
        <f t="shared" si="81"/>
        <v>25.86</v>
      </c>
    </row>
    <row r="372" spans="1:10" s="140" customFormat="1" ht="14.25" customHeight="1" x14ac:dyDescent="0.2">
      <c r="A372" s="671"/>
      <c r="B372" s="1725" t="str">
        <f>B319</f>
        <v>VB20</v>
      </c>
      <c r="C372" s="512" t="s">
        <v>1037</v>
      </c>
      <c r="D372" s="512">
        <v>2.12</v>
      </c>
      <c r="E372" s="512" t="s">
        <v>45</v>
      </c>
      <c r="F372" s="512">
        <v>2</v>
      </c>
      <c r="G372" s="512" t="s">
        <v>45</v>
      </c>
      <c r="H372" s="512">
        <v>1</v>
      </c>
      <c r="I372" s="512" t="s">
        <v>46</v>
      </c>
      <c r="J372" s="512">
        <f t="shared" si="64"/>
        <v>4.24</v>
      </c>
    </row>
    <row r="373" spans="1:10" s="140" customFormat="1" ht="14.25" customHeight="1" x14ac:dyDescent="0.2">
      <c r="A373" s="671"/>
      <c r="B373" s="1727"/>
      <c r="C373" s="512" t="s">
        <v>1038</v>
      </c>
      <c r="D373" s="512">
        <v>2.44</v>
      </c>
      <c r="E373" s="512" t="s">
        <v>45</v>
      </c>
      <c r="F373" s="512">
        <v>2</v>
      </c>
      <c r="G373" s="512" t="s">
        <v>45</v>
      </c>
      <c r="H373" s="512">
        <v>1</v>
      </c>
      <c r="I373" s="512" t="s">
        <v>46</v>
      </c>
      <c r="J373" s="512">
        <f t="shared" si="64"/>
        <v>4.88</v>
      </c>
    </row>
    <row r="374" spans="1:10" s="140" customFormat="1" ht="14.25" customHeight="1" x14ac:dyDescent="0.2">
      <c r="A374" s="671"/>
      <c r="B374" s="1725" t="str">
        <f>B320</f>
        <v>VB21</v>
      </c>
      <c r="C374" s="512" t="s">
        <v>1037</v>
      </c>
      <c r="D374" s="512">
        <v>2.12</v>
      </c>
      <c r="E374" s="512" t="s">
        <v>45</v>
      </c>
      <c r="F374" s="512">
        <v>2</v>
      </c>
      <c r="G374" s="512" t="s">
        <v>45</v>
      </c>
      <c r="H374" s="512">
        <f>I320</f>
        <v>1</v>
      </c>
      <c r="I374" s="512" t="s">
        <v>46</v>
      </c>
      <c r="J374" s="512">
        <f t="shared" si="64"/>
        <v>4.24</v>
      </c>
    </row>
    <row r="375" spans="1:10" s="140" customFormat="1" ht="14.25" customHeight="1" x14ac:dyDescent="0.2">
      <c r="A375" s="671"/>
      <c r="B375" s="1727"/>
      <c r="C375" s="512" t="s">
        <v>1038</v>
      </c>
      <c r="D375" s="512">
        <v>2.44</v>
      </c>
      <c r="E375" s="512" t="s">
        <v>45</v>
      </c>
      <c r="F375" s="512">
        <v>2</v>
      </c>
      <c r="G375" s="512" t="s">
        <v>45</v>
      </c>
      <c r="H375" s="512">
        <f>H374</f>
        <v>1</v>
      </c>
      <c r="I375" s="512" t="s">
        <v>46</v>
      </c>
      <c r="J375" s="512">
        <f t="shared" ref="J375" si="82">ROUND(D375*F375*H375,2)</f>
        <v>4.88</v>
      </c>
    </row>
    <row r="376" spans="1:10" s="140" customFormat="1" ht="14.25" customHeight="1" x14ac:dyDescent="0.2">
      <c r="A376" s="671"/>
      <c r="B376" s="1725" t="str">
        <f>B321</f>
        <v>VB22</v>
      </c>
      <c r="C376" s="512" t="s">
        <v>1039</v>
      </c>
      <c r="D376" s="512">
        <v>1.97</v>
      </c>
      <c r="E376" s="512" t="s">
        <v>45</v>
      </c>
      <c r="F376" s="512">
        <v>2</v>
      </c>
      <c r="G376" s="512" t="s">
        <v>45</v>
      </c>
      <c r="H376" s="512">
        <f>I321</f>
        <v>1</v>
      </c>
      <c r="I376" s="512" t="s">
        <v>46</v>
      </c>
      <c r="J376" s="512">
        <f t="shared" si="64"/>
        <v>3.94</v>
      </c>
    </row>
    <row r="377" spans="1:10" s="140" customFormat="1" ht="14.25" customHeight="1" x14ac:dyDescent="0.2">
      <c r="A377" s="671"/>
      <c r="B377" s="1727"/>
      <c r="C377" s="512" t="s">
        <v>1040</v>
      </c>
      <c r="D377" s="512">
        <v>2.29</v>
      </c>
      <c r="E377" s="512" t="s">
        <v>45</v>
      </c>
      <c r="F377" s="512">
        <v>2</v>
      </c>
      <c r="G377" s="512" t="s">
        <v>45</v>
      </c>
      <c r="H377" s="512">
        <f>H376</f>
        <v>1</v>
      </c>
      <c r="I377" s="512" t="s">
        <v>46</v>
      </c>
      <c r="J377" s="512">
        <f t="shared" ref="J377" si="83">ROUND(D377*F377*H377,2)</f>
        <v>4.58</v>
      </c>
    </row>
    <row r="378" spans="1:10" s="140" customFormat="1" ht="14.25" customHeight="1" x14ac:dyDescent="0.2">
      <c r="A378" s="671"/>
      <c r="B378" s="1725" t="str">
        <f>B322</f>
        <v>VB24</v>
      </c>
      <c r="C378" s="512" t="s">
        <v>1027</v>
      </c>
      <c r="D378" s="512">
        <v>4.5199999999999996</v>
      </c>
      <c r="E378" s="512" t="s">
        <v>45</v>
      </c>
      <c r="F378" s="512">
        <v>2</v>
      </c>
      <c r="G378" s="512" t="s">
        <v>45</v>
      </c>
      <c r="H378" s="512">
        <f>I322</f>
        <v>1</v>
      </c>
      <c r="I378" s="512" t="s">
        <v>46</v>
      </c>
      <c r="J378" s="512">
        <f t="shared" si="64"/>
        <v>9.0399999999999991</v>
      </c>
    </row>
    <row r="379" spans="1:10" s="140" customFormat="1" ht="14.25" customHeight="1" x14ac:dyDescent="0.2">
      <c r="A379" s="671"/>
      <c r="B379" s="1726"/>
      <c r="C379" s="512" t="s">
        <v>1041</v>
      </c>
      <c r="D379" s="512">
        <v>5.25</v>
      </c>
      <c r="E379" s="512" t="s">
        <v>45</v>
      </c>
      <c r="F379" s="512">
        <v>2</v>
      </c>
      <c r="G379" s="512" t="s">
        <v>45</v>
      </c>
      <c r="H379" s="512">
        <f>H378</f>
        <v>1</v>
      </c>
      <c r="I379" s="512" t="s">
        <v>46</v>
      </c>
      <c r="J379" s="512">
        <f t="shared" ref="J379:J381" si="84">ROUND(D379*F379*H379,2)</f>
        <v>10.5</v>
      </c>
    </row>
    <row r="380" spans="1:10" s="140" customFormat="1" ht="14.25" customHeight="1" x14ac:dyDescent="0.2">
      <c r="A380" s="671"/>
      <c r="B380" s="1726"/>
      <c r="C380" s="512" t="s">
        <v>1042</v>
      </c>
      <c r="D380" s="512">
        <v>3</v>
      </c>
      <c r="E380" s="512" t="s">
        <v>45</v>
      </c>
      <c r="F380" s="512">
        <v>2</v>
      </c>
      <c r="G380" s="512" t="s">
        <v>45</v>
      </c>
      <c r="H380" s="512">
        <f t="shared" ref="H380:H381" si="85">H379</f>
        <v>1</v>
      </c>
      <c r="I380" s="512" t="s">
        <v>46</v>
      </c>
      <c r="J380" s="512">
        <f t="shared" si="84"/>
        <v>6</v>
      </c>
    </row>
    <row r="381" spans="1:10" s="140" customFormat="1" ht="14.25" customHeight="1" x14ac:dyDescent="0.2">
      <c r="A381" s="671"/>
      <c r="B381" s="1727"/>
      <c r="C381" s="512" t="s">
        <v>1043</v>
      </c>
      <c r="D381" s="512">
        <v>3.17</v>
      </c>
      <c r="E381" s="512" t="s">
        <v>45</v>
      </c>
      <c r="F381" s="512">
        <v>2</v>
      </c>
      <c r="G381" s="512" t="s">
        <v>45</v>
      </c>
      <c r="H381" s="512">
        <f t="shared" si="85"/>
        <v>1</v>
      </c>
      <c r="I381" s="512" t="s">
        <v>46</v>
      </c>
      <c r="J381" s="512">
        <f t="shared" si="84"/>
        <v>6.34</v>
      </c>
    </row>
    <row r="382" spans="1:10" s="140" customFormat="1" ht="14.25" customHeight="1" x14ac:dyDescent="0.2">
      <c r="A382" s="671"/>
      <c r="B382" s="1725" t="str">
        <f>B323</f>
        <v>VB25</v>
      </c>
      <c r="C382" s="512" t="s">
        <v>922</v>
      </c>
      <c r="D382" s="512">
        <v>3.4</v>
      </c>
      <c r="E382" s="512" t="s">
        <v>45</v>
      </c>
      <c r="F382" s="512">
        <v>2</v>
      </c>
      <c r="G382" s="512" t="s">
        <v>45</v>
      </c>
      <c r="H382" s="512">
        <f>I323</f>
        <v>1</v>
      </c>
      <c r="I382" s="512" t="s">
        <v>46</v>
      </c>
      <c r="J382" s="512">
        <f t="shared" si="64"/>
        <v>6.8</v>
      </c>
    </row>
    <row r="383" spans="1:10" s="140" customFormat="1" ht="14.25" customHeight="1" x14ac:dyDescent="0.2">
      <c r="A383" s="671"/>
      <c r="B383" s="1726"/>
      <c r="C383" s="512" t="s">
        <v>926</v>
      </c>
      <c r="D383" s="512">
        <v>3.64</v>
      </c>
      <c r="E383" s="512" t="s">
        <v>45</v>
      </c>
      <c r="F383" s="512">
        <v>3</v>
      </c>
      <c r="G383" s="512" t="s">
        <v>45</v>
      </c>
      <c r="H383" s="512">
        <f>H382</f>
        <v>1</v>
      </c>
      <c r="I383" s="512" t="s">
        <v>46</v>
      </c>
      <c r="J383" s="512">
        <f t="shared" ref="J383:J384" si="86">ROUND(D383*F383*H383,2)</f>
        <v>10.92</v>
      </c>
    </row>
    <row r="384" spans="1:10" s="140" customFormat="1" ht="14.25" customHeight="1" x14ac:dyDescent="0.2">
      <c r="A384" s="671"/>
      <c r="B384" s="1726"/>
      <c r="C384" s="512" t="s">
        <v>919</v>
      </c>
      <c r="D384" s="512">
        <v>3.73</v>
      </c>
      <c r="E384" s="512" t="s">
        <v>45</v>
      </c>
      <c r="F384" s="512">
        <v>3</v>
      </c>
      <c r="G384" s="512" t="s">
        <v>45</v>
      </c>
      <c r="H384" s="512">
        <f t="shared" ref="H384" si="87">H383</f>
        <v>1</v>
      </c>
      <c r="I384" s="512" t="s">
        <v>46</v>
      </c>
      <c r="J384" s="512">
        <f t="shared" si="86"/>
        <v>11.19</v>
      </c>
    </row>
    <row r="385" spans="1:10" s="140" customFormat="1" ht="14.25" customHeight="1" x14ac:dyDescent="0.2">
      <c r="A385" s="671"/>
      <c r="B385" s="1725" t="str">
        <f>B324</f>
        <v>VB26</v>
      </c>
      <c r="C385" s="512" t="s">
        <v>920</v>
      </c>
      <c r="D385" s="512">
        <v>3.37</v>
      </c>
      <c r="E385" s="512" t="s">
        <v>45</v>
      </c>
      <c r="F385" s="512">
        <v>2</v>
      </c>
      <c r="G385" s="512" t="s">
        <v>45</v>
      </c>
      <c r="H385" s="512">
        <f>I324</f>
        <v>1</v>
      </c>
      <c r="I385" s="512" t="s">
        <v>46</v>
      </c>
      <c r="J385" s="512">
        <f t="shared" si="64"/>
        <v>6.74</v>
      </c>
    </row>
    <row r="386" spans="1:10" s="140" customFormat="1" ht="14.25" customHeight="1" x14ac:dyDescent="0.2">
      <c r="A386" s="671"/>
      <c r="B386" s="1726"/>
      <c r="C386" s="512" t="s">
        <v>923</v>
      </c>
      <c r="D386" s="512">
        <v>3.5</v>
      </c>
      <c r="E386" s="512" t="s">
        <v>45</v>
      </c>
      <c r="F386" s="512">
        <v>1</v>
      </c>
      <c r="G386" s="512" t="s">
        <v>45</v>
      </c>
      <c r="H386" s="512">
        <f>H385</f>
        <v>1</v>
      </c>
      <c r="I386" s="512" t="s">
        <v>46</v>
      </c>
      <c r="J386" s="512">
        <f t="shared" ref="J386:J387" si="88">ROUND(D386*F386*H386,2)</f>
        <v>3.5</v>
      </c>
    </row>
    <row r="387" spans="1:10" s="140" customFormat="1" ht="14.25" customHeight="1" x14ac:dyDescent="0.2">
      <c r="A387" s="671"/>
      <c r="B387" s="1727"/>
      <c r="C387" s="512" t="s">
        <v>924</v>
      </c>
      <c r="D387" s="512">
        <v>3.59</v>
      </c>
      <c r="E387" s="512" t="s">
        <v>45</v>
      </c>
      <c r="F387" s="512">
        <v>3</v>
      </c>
      <c r="G387" s="512" t="s">
        <v>45</v>
      </c>
      <c r="H387" s="512">
        <f>H386</f>
        <v>1</v>
      </c>
      <c r="I387" s="512" t="s">
        <v>46</v>
      </c>
      <c r="J387" s="512">
        <f t="shared" si="88"/>
        <v>10.77</v>
      </c>
    </row>
    <row r="388" spans="1:10" s="140" customFormat="1" ht="14.25" customHeight="1" x14ac:dyDescent="0.2">
      <c r="A388" s="671"/>
      <c r="B388" s="1725" t="str">
        <f>B326</f>
        <v>VB28</v>
      </c>
      <c r="C388" s="512" t="s">
        <v>1027</v>
      </c>
      <c r="D388" s="512">
        <v>3.17</v>
      </c>
      <c r="E388" s="512" t="s">
        <v>45</v>
      </c>
      <c r="F388" s="512">
        <v>2</v>
      </c>
      <c r="G388" s="512" t="s">
        <v>45</v>
      </c>
      <c r="H388" s="512">
        <f>I326</f>
        <v>1</v>
      </c>
      <c r="I388" s="512" t="s">
        <v>46</v>
      </c>
      <c r="J388" s="512">
        <f t="shared" si="64"/>
        <v>6.34</v>
      </c>
    </row>
    <row r="389" spans="1:10" s="140" customFormat="1" ht="14.25" customHeight="1" x14ac:dyDescent="0.2">
      <c r="A389" s="671"/>
      <c r="B389" s="1727"/>
      <c r="C389" s="512" t="s">
        <v>1028</v>
      </c>
      <c r="D389" s="512">
        <v>5.47</v>
      </c>
      <c r="E389" s="512" t="s">
        <v>45</v>
      </c>
      <c r="F389" s="512">
        <v>2</v>
      </c>
      <c r="G389" s="512" t="s">
        <v>45</v>
      </c>
      <c r="H389" s="512">
        <f>H388</f>
        <v>1</v>
      </c>
      <c r="I389" s="512" t="s">
        <v>46</v>
      </c>
      <c r="J389" s="512">
        <f t="shared" ref="J389" si="89">ROUND(D389*F389*H389,2)</f>
        <v>10.94</v>
      </c>
    </row>
    <row r="390" spans="1:10" s="140" customFormat="1" ht="14.25" customHeight="1" x14ac:dyDescent="0.2">
      <c r="A390" s="671"/>
      <c r="B390" s="1725" t="str">
        <f>B327</f>
        <v>VB29=VB18=VB23</v>
      </c>
      <c r="C390" s="512" t="s">
        <v>925</v>
      </c>
      <c r="D390" s="512">
        <v>4.57</v>
      </c>
      <c r="E390" s="512" t="s">
        <v>45</v>
      </c>
      <c r="F390" s="512">
        <v>2</v>
      </c>
      <c r="G390" s="512" t="s">
        <v>45</v>
      </c>
      <c r="H390" s="512">
        <f>I327</f>
        <v>3</v>
      </c>
      <c r="I390" s="512" t="s">
        <v>46</v>
      </c>
      <c r="J390" s="512">
        <f t="shared" si="64"/>
        <v>27.42</v>
      </c>
    </row>
    <row r="391" spans="1:10" s="140" customFormat="1" ht="14.25" customHeight="1" x14ac:dyDescent="0.2">
      <c r="A391" s="671"/>
      <c r="B391" s="1726"/>
      <c r="C391" s="512" t="s">
        <v>940</v>
      </c>
      <c r="D391" s="512">
        <v>5.25</v>
      </c>
      <c r="E391" s="512" t="s">
        <v>45</v>
      </c>
      <c r="F391" s="512">
        <v>2</v>
      </c>
      <c r="G391" s="512" t="s">
        <v>45</v>
      </c>
      <c r="H391" s="512">
        <f>H390</f>
        <v>3</v>
      </c>
      <c r="I391" s="512" t="s">
        <v>46</v>
      </c>
      <c r="J391" s="512">
        <f t="shared" ref="J391" si="90">ROUND(D391*F391*H391,2)</f>
        <v>31.5</v>
      </c>
    </row>
    <row r="392" spans="1:10" s="140" customFormat="1" ht="14.25" customHeight="1" x14ac:dyDescent="0.2">
      <c r="A392" s="671"/>
      <c r="B392" s="1726"/>
      <c r="C392" s="512" t="s">
        <v>946</v>
      </c>
      <c r="D392" s="512">
        <v>3.05</v>
      </c>
      <c r="E392" s="512" t="s">
        <v>45</v>
      </c>
      <c r="F392" s="512">
        <v>2</v>
      </c>
      <c r="G392" s="512" t="s">
        <v>45</v>
      </c>
      <c r="H392" s="512">
        <f>H390</f>
        <v>3</v>
      </c>
      <c r="I392" s="512" t="s">
        <v>46</v>
      </c>
      <c r="J392" s="512">
        <f t="shared" ref="J392:J394" si="91">ROUND(D392*F392*H392,2)</f>
        <v>18.3</v>
      </c>
    </row>
    <row r="393" spans="1:10" s="140" customFormat="1" ht="14.25" customHeight="1" x14ac:dyDescent="0.2">
      <c r="A393" s="671"/>
      <c r="B393" s="1726"/>
      <c r="C393" s="512" t="s">
        <v>950</v>
      </c>
      <c r="D393" s="512">
        <v>3.1</v>
      </c>
      <c r="E393" s="512" t="s">
        <v>45</v>
      </c>
      <c r="F393" s="512">
        <v>2</v>
      </c>
      <c r="G393" s="512" t="s">
        <v>45</v>
      </c>
      <c r="H393" s="512">
        <f t="shared" ref="H393:H394" si="92">H392</f>
        <v>3</v>
      </c>
      <c r="I393" s="512" t="s">
        <v>46</v>
      </c>
      <c r="J393" s="512">
        <f t="shared" si="91"/>
        <v>18.600000000000001</v>
      </c>
    </row>
    <row r="394" spans="1:10" s="140" customFormat="1" ht="14.25" customHeight="1" x14ac:dyDescent="0.2">
      <c r="A394" s="671"/>
      <c r="B394" s="1727"/>
      <c r="C394" s="512" t="s">
        <v>931</v>
      </c>
      <c r="D394" s="512">
        <v>3.17</v>
      </c>
      <c r="E394" s="512" t="s">
        <v>45</v>
      </c>
      <c r="F394" s="512">
        <v>2</v>
      </c>
      <c r="G394" s="512" t="s">
        <v>45</v>
      </c>
      <c r="H394" s="512">
        <f t="shared" si="92"/>
        <v>3</v>
      </c>
      <c r="I394" s="512" t="s">
        <v>46</v>
      </c>
      <c r="J394" s="512">
        <f t="shared" si="91"/>
        <v>19.02</v>
      </c>
    </row>
    <row r="395" spans="1:10" s="140" customFormat="1" ht="14.25" customHeight="1" x14ac:dyDescent="0.2">
      <c r="A395" s="671"/>
      <c r="B395" s="1725" t="str">
        <f>B328</f>
        <v>VB30</v>
      </c>
      <c r="C395" s="512" t="s">
        <v>924</v>
      </c>
      <c r="D395" s="512">
        <v>3.69</v>
      </c>
      <c r="E395" s="512" t="s">
        <v>45</v>
      </c>
      <c r="F395" s="512">
        <v>2</v>
      </c>
      <c r="G395" s="512" t="s">
        <v>45</v>
      </c>
      <c r="H395" s="512">
        <f>I328</f>
        <v>1</v>
      </c>
      <c r="I395" s="512" t="s">
        <v>46</v>
      </c>
      <c r="J395" s="512">
        <f t="shared" si="64"/>
        <v>7.38</v>
      </c>
    </row>
    <row r="396" spans="1:10" s="140" customFormat="1" ht="14.25" customHeight="1" x14ac:dyDescent="0.2">
      <c r="A396" s="671"/>
      <c r="B396" s="1727"/>
      <c r="C396" s="512" t="s">
        <v>925</v>
      </c>
      <c r="D396" s="512">
        <v>4.07</v>
      </c>
      <c r="E396" s="512" t="s">
        <v>45</v>
      </c>
      <c r="F396" s="512">
        <v>2</v>
      </c>
      <c r="G396" s="512" t="s">
        <v>45</v>
      </c>
      <c r="H396" s="512">
        <f>H395</f>
        <v>1</v>
      </c>
      <c r="I396" s="512" t="s">
        <v>46</v>
      </c>
      <c r="J396" s="512">
        <f>ROUND(D396*F396*H396,2)</f>
        <v>8.14</v>
      </c>
    </row>
    <row r="397" spans="1:10" s="140" customFormat="1" ht="14.25" customHeight="1" x14ac:dyDescent="0.2">
      <c r="A397" s="671"/>
      <c r="B397" s="1725" t="str">
        <f>B329</f>
        <v>VB31</v>
      </c>
      <c r="C397" s="512" t="s">
        <v>932</v>
      </c>
      <c r="D397" s="512">
        <v>4.4400000000000004</v>
      </c>
      <c r="E397" s="512" t="s">
        <v>45</v>
      </c>
      <c r="F397" s="512">
        <v>2</v>
      </c>
      <c r="G397" s="512" t="s">
        <v>45</v>
      </c>
      <c r="H397" s="512">
        <f>I329</f>
        <v>1</v>
      </c>
      <c r="I397" s="512" t="s">
        <v>46</v>
      </c>
      <c r="J397" s="512">
        <f>ROUND(D397*F397*H397,2)</f>
        <v>8.8800000000000008</v>
      </c>
    </row>
    <row r="398" spans="1:10" s="140" customFormat="1" ht="14.25" customHeight="1" x14ac:dyDescent="0.2">
      <c r="A398" s="671"/>
      <c r="B398" s="1727"/>
      <c r="C398" s="512" t="s">
        <v>957</v>
      </c>
      <c r="D398" s="512">
        <v>0.88</v>
      </c>
      <c r="E398" s="512" t="s">
        <v>45</v>
      </c>
      <c r="F398" s="512">
        <v>2</v>
      </c>
      <c r="G398" s="512" t="s">
        <v>45</v>
      </c>
      <c r="H398" s="512">
        <f>H397</f>
        <v>1</v>
      </c>
      <c r="I398" s="512" t="s">
        <v>46</v>
      </c>
      <c r="J398" s="512">
        <f t="shared" ref="J398" si="93">ROUND(D398*F398*H398,2)</f>
        <v>1.76</v>
      </c>
    </row>
    <row r="399" spans="1:10" s="140" customFormat="1" ht="14.25" customHeight="1" x14ac:dyDescent="0.2">
      <c r="A399" s="671"/>
      <c r="B399" s="1729" t="str">
        <f>B330</f>
        <v>VB32</v>
      </c>
      <c r="C399" s="512" t="s">
        <v>955</v>
      </c>
      <c r="D399" s="512">
        <v>3.4</v>
      </c>
      <c r="E399" s="512" t="s">
        <v>45</v>
      </c>
      <c r="F399" s="512">
        <v>4</v>
      </c>
      <c r="G399" s="512" t="s">
        <v>45</v>
      </c>
      <c r="H399" s="512">
        <f>H401</f>
        <v>1</v>
      </c>
      <c r="I399" s="512" t="s">
        <v>46</v>
      </c>
      <c r="J399" s="512">
        <f>ROUND(D399*F399*H399,2)</f>
        <v>13.6</v>
      </c>
    </row>
    <row r="400" spans="1:10" s="140" customFormat="1" ht="14.25" customHeight="1" x14ac:dyDescent="0.2">
      <c r="A400" s="671"/>
      <c r="B400" s="1729"/>
      <c r="C400" s="512" t="s">
        <v>958</v>
      </c>
      <c r="D400" s="512">
        <v>1.07</v>
      </c>
      <c r="E400" s="512" t="s">
        <v>45</v>
      </c>
      <c r="F400" s="512">
        <v>1</v>
      </c>
      <c r="G400" s="512" t="s">
        <v>45</v>
      </c>
      <c r="H400" s="512">
        <f>H401</f>
        <v>1</v>
      </c>
      <c r="I400" s="512" t="s">
        <v>46</v>
      </c>
      <c r="J400" s="512">
        <f>ROUND(D400*F400*H400,2)</f>
        <v>1.07</v>
      </c>
    </row>
    <row r="401" spans="1:11" s="140" customFormat="1" ht="14.25" customHeight="1" x14ac:dyDescent="0.2">
      <c r="A401" s="671"/>
      <c r="B401" s="1729"/>
      <c r="C401" s="512" t="s">
        <v>966</v>
      </c>
      <c r="D401" s="512">
        <v>1.87</v>
      </c>
      <c r="E401" s="512" t="s">
        <v>45</v>
      </c>
      <c r="F401" s="512">
        <v>1</v>
      </c>
      <c r="G401" s="512" t="s">
        <v>45</v>
      </c>
      <c r="H401" s="512">
        <f>I330</f>
        <v>1</v>
      </c>
      <c r="I401" s="512" t="s">
        <v>46</v>
      </c>
      <c r="J401" s="512">
        <f>ROUND(D401*F401*H401,2)</f>
        <v>1.87</v>
      </c>
    </row>
    <row r="402" spans="1:11" s="21" customFormat="1" ht="12" customHeight="1" x14ac:dyDescent="0.2">
      <c r="A402" s="529"/>
      <c r="B402" s="670"/>
      <c r="C402" s="670"/>
      <c r="D402" s="670"/>
      <c r="E402" s="670"/>
      <c r="F402" s="670"/>
      <c r="G402" s="670"/>
      <c r="H402" s="670"/>
      <c r="I402" s="670"/>
    </row>
    <row r="403" spans="1:11" s="140" customFormat="1" ht="17.25" customHeight="1" x14ac:dyDescent="0.2">
      <c r="A403" s="671"/>
      <c r="B403" s="672"/>
      <c r="C403" s="512" t="s">
        <v>614</v>
      </c>
      <c r="D403" s="521"/>
      <c r="E403" s="512" t="s">
        <v>928</v>
      </c>
      <c r="F403" s="521"/>
      <c r="G403" s="681" t="s">
        <v>967</v>
      </c>
      <c r="H403" s="699"/>
      <c r="I403" s="697"/>
    </row>
    <row r="404" spans="1:11" s="685" customFormat="1" ht="30" customHeight="1" x14ac:dyDescent="0.2">
      <c r="A404" s="682"/>
      <c r="B404" s="686" t="s">
        <v>1021</v>
      </c>
      <c r="C404" s="678">
        <f>ROUND(SUM(J337:J402),2)</f>
        <v>566.07000000000005</v>
      </c>
      <c r="D404" s="678" t="s">
        <v>45</v>
      </c>
      <c r="E404" s="683">
        <v>0.39500000000000002</v>
      </c>
      <c r="F404" s="512" t="s">
        <v>46</v>
      </c>
      <c r="G404" s="681">
        <f>ROUND(C404*E404,2)</f>
        <v>223.6</v>
      </c>
      <c r="H404" s="699"/>
      <c r="I404" s="698"/>
    </row>
    <row r="405" spans="1:11" s="21" customFormat="1" x14ac:dyDescent="0.2"/>
    <row r="406" spans="1:11" s="21" customFormat="1" ht="21.75" customHeight="1" x14ac:dyDescent="0.2">
      <c r="A406" s="246" t="str">
        <f>ORÇ!A52</f>
        <v>4.3.5</v>
      </c>
      <c r="B406" s="1730" t="str">
        <f>ORÇ!D52</f>
        <v>ARMAÇÃO DE BLOCO, VIGA BALDRAME OU SAPATA UTILIZANDO AÇO CA-50 DE 10 MM - MONTAGEM. AF_06/2017</v>
      </c>
      <c r="C406" s="1730"/>
      <c r="D406" s="1730"/>
      <c r="E406" s="1730"/>
      <c r="F406" s="1730"/>
      <c r="G406" s="1730"/>
      <c r="H406" s="1730"/>
      <c r="I406" s="1730"/>
      <c r="J406" s="1730"/>
      <c r="K406" s="1730"/>
    </row>
    <row r="407" spans="1:11" s="21" customFormat="1" x14ac:dyDescent="0.2"/>
    <row r="408" spans="1:11" s="602" customFormat="1" ht="19.5" customHeight="1" x14ac:dyDescent="0.2">
      <c r="A408" s="671"/>
      <c r="B408" s="512" t="s">
        <v>616</v>
      </c>
      <c r="C408" s="512" t="s">
        <v>917</v>
      </c>
      <c r="D408" s="512" t="s">
        <v>753</v>
      </c>
      <c r="E408" s="512"/>
      <c r="F408" s="512" t="s">
        <v>590</v>
      </c>
      <c r="G408" s="512"/>
      <c r="H408" s="512" t="s">
        <v>1022</v>
      </c>
      <c r="I408" s="512"/>
      <c r="J408" s="512" t="s">
        <v>614</v>
      </c>
      <c r="K408" s="522"/>
    </row>
    <row r="409" spans="1:11" s="140" customFormat="1" ht="18" customHeight="1" x14ac:dyDescent="0.2">
      <c r="A409" s="671"/>
      <c r="B409" s="1725" t="str">
        <f>B304</f>
        <v>VB1=VB8</v>
      </c>
      <c r="C409" s="512" t="s">
        <v>1044</v>
      </c>
      <c r="D409" s="512">
        <v>4.83</v>
      </c>
      <c r="E409" s="512" t="s">
        <v>45</v>
      </c>
      <c r="F409" s="512">
        <v>2</v>
      </c>
      <c r="G409" s="512" t="s">
        <v>45</v>
      </c>
      <c r="H409" s="512">
        <f>I304</f>
        <v>2</v>
      </c>
      <c r="I409" s="512" t="s">
        <v>46</v>
      </c>
      <c r="J409" s="512">
        <f t="shared" ref="J409:J447" si="94">ROUND(D409*F409*H409,2)</f>
        <v>19.32</v>
      </c>
    </row>
    <row r="410" spans="1:11" s="140" customFormat="1" ht="18" customHeight="1" x14ac:dyDescent="0.2">
      <c r="A410" s="671"/>
      <c r="B410" s="1726"/>
      <c r="C410" s="512" t="s">
        <v>1045</v>
      </c>
      <c r="D410" s="512">
        <v>2.5</v>
      </c>
      <c r="E410" s="512" t="s">
        <v>45</v>
      </c>
      <c r="F410" s="512">
        <v>2</v>
      </c>
      <c r="G410" s="512" t="s">
        <v>45</v>
      </c>
      <c r="H410" s="512">
        <f>H409</f>
        <v>2</v>
      </c>
      <c r="I410" s="512" t="s">
        <v>46</v>
      </c>
      <c r="J410" s="512">
        <f t="shared" ref="J410:J411" si="95">ROUND(D410*F410*H410,2)</f>
        <v>10</v>
      </c>
    </row>
    <row r="411" spans="1:11" s="140" customFormat="1" ht="18" customHeight="1" x14ac:dyDescent="0.2">
      <c r="A411" s="671"/>
      <c r="B411" s="1727"/>
      <c r="C411" s="512" t="s">
        <v>1046</v>
      </c>
      <c r="D411" s="512">
        <v>11.98</v>
      </c>
      <c r="E411" s="512" t="s">
        <v>45</v>
      </c>
      <c r="F411" s="512">
        <v>3</v>
      </c>
      <c r="G411" s="512" t="s">
        <v>45</v>
      </c>
      <c r="H411" s="512">
        <f>H410</f>
        <v>2</v>
      </c>
      <c r="I411" s="512" t="s">
        <v>46</v>
      </c>
      <c r="J411" s="512">
        <f t="shared" si="95"/>
        <v>71.88</v>
      </c>
    </row>
    <row r="412" spans="1:11" s="140" customFormat="1" ht="18" customHeight="1" x14ac:dyDescent="0.2">
      <c r="A412" s="671"/>
      <c r="B412" s="1725" t="str">
        <f>B306</f>
        <v>VB3</v>
      </c>
      <c r="C412" s="512" t="s">
        <v>1047</v>
      </c>
      <c r="D412" s="512">
        <v>2.5499999999999998</v>
      </c>
      <c r="E412" s="512" t="s">
        <v>45</v>
      </c>
      <c r="F412" s="512">
        <v>1</v>
      </c>
      <c r="G412" s="512" t="s">
        <v>45</v>
      </c>
      <c r="H412" s="512">
        <f>I306</f>
        <v>1</v>
      </c>
      <c r="I412" s="512" t="s">
        <v>46</v>
      </c>
      <c r="J412" s="512">
        <f t="shared" si="94"/>
        <v>2.5499999999999998</v>
      </c>
    </row>
    <row r="413" spans="1:11" s="140" customFormat="1" ht="18" customHeight="1" x14ac:dyDescent="0.2">
      <c r="A413" s="671"/>
      <c r="B413" s="1727"/>
      <c r="C413" s="512" t="s">
        <v>1048</v>
      </c>
      <c r="D413" s="512">
        <v>5.39</v>
      </c>
      <c r="E413" s="512" t="s">
        <v>45</v>
      </c>
      <c r="F413" s="512">
        <v>3</v>
      </c>
      <c r="G413" s="512" t="s">
        <v>45</v>
      </c>
      <c r="H413" s="512">
        <f>H412</f>
        <v>1</v>
      </c>
      <c r="I413" s="512" t="s">
        <v>46</v>
      </c>
      <c r="J413" s="512">
        <f t="shared" ref="J413" si="96">ROUND(D413*F413*H413,2)</f>
        <v>16.170000000000002</v>
      </c>
    </row>
    <row r="414" spans="1:11" s="140" customFormat="1" ht="18" customHeight="1" x14ac:dyDescent="0.2">
      <c r="A414" s="671"/>
      <c r="B414" s="1725" t="str">
        <f>B308</f>
        <v>VB5</v>
      </c>
      <c r="C414" s="512" t="s">
        <v>1049</v>
      </c>
      <c r="D414" s="512">
        <v>5.78</v>
      </c>
      <c r="E414" s="512" t="s">
        <v>45</v>
      </c>
      <c r="F414" s="512">
        <v>1</v>
      </c>
      <c r="G414" s="512" t="s">
        <v>45</v>
      </c>
      <c r="H414" s="512">
        <f>I308</f>
        <v>1</v>
      </c>
      <c r="I414" s="512" t="s">
        <v>46</v>
      </c>
      <c r="J414" s="512">
        <f t="shared" si="94"/>
        <v>5.78</v>
      </c>
    </row>
    <row r="415" spans="1:11" s="140" customFormat="1" ht="18" customHeight="1" x14ac:dyDescent="0.2">
      <c r="A415" s="671"/>
      <c r="B415" s="1727"/>
      <c r="C415" s="512" t="s">
        <v>1050</v>
      </c>
      <c r="D415" s="512">
        <v>5.85</v>
      </c>
      <c r="E415" s="512" t="s">
        <v>45</v>
      </c>
      <c r="F415" s="512">
        <v>2</v>
      </c>
      <c r="G415" s="512" t="s">
        <v>45</v>
      </c>
      <c r="H415" s="512">
        <f>H414</f>
        <v>1</v>
      </c>
      <c r="I415" s="512" t="s">
        <v>46</v>
      </c>
      <c r="J415" s="512">
        <f t="shared" ref="J415" si="97">ROUND(D415*F415*H415,2)</f>
        <v>11.7</v>
      </c>
    </row>
    <row r="416" spans="1:11" s="140" customFormat="1" ht="18" customHeight="1" x14ac:dyDescent="0.2">
      <c r="A416" s="671"/>
      <c r="B416" s="1725" t="str">
        <f>B310</f>
        <v>VB9</v>
      </c>
      <c r="C416" s="512" t="s">
        <v>1051</v>
      </c>
      <c r="D416" s="512">
        <v>2.7</v>
      </c>
      <c r="E416" s="512" t="s">
        <v>45</v>
      </c>
      <c r="F416" s="512">
        <v>1</v>
      </c>
      <c r="G416" s="512" t="s">
        <v>45</v>
      </c>
      <c r="H416" s="512">
        <f>I310</f>
        <v>1</v>
      </c>
      <c r="I416" s="512" t="s">
        <v>46</v>
      </c>
      <c r="J416" s="512">
        <f t="shared" si="94"/>
        <v>2.7</v>
      </c>
    </row>
    <row r="417" spans="1:10" s="140" customFormat="1" ht="18" customHeight="1" x14ac:dyDescent="0.2">
      <c r="A417" s="671"/>
      <c r="B417" s="1726"/>
      <c r="C417" s="512" t="s">
        <v>1052</v>
      </c>
      <c r="D417" s="512">
        <v>3.7</v>
      </c>
      <c r="E417" s="512" t="s">
        <v>45</v>
      </c>
      <c r="F417" s="512">
        <v>1</v>
      </c>
      <c r="G417" s="512" t="s">
        <v>45</v>
      </c>
      <c r="H417" s="512">
        <f>H416</f>
        <v>1</v>
      </c>
      <c r="I417" s="512" t="s">
        <v>46</v>
      </c>
      <c r="J417" s="512">
        <f t="shared" ref="J417:J419" si="98">ROUND(D417*F417*H417,2)</f>
        <v>3.7</v>
      </c>
    </row>
    <row r="418" spans="1:10" s="140" customFormat="1" ht="18" customHeight="1" x14ac:dyDescent="0.2">
      <c r="A418" s="671"/>
      <c r="B418" s="1726"/>
      <c r="C418" s="512" t="s">
        <v>1053</v>
      </c>
      <c r="D418" s="512">
        <v>4.45</v>
      </c>
      <c r="E418" s="512" t="s">
        <v>45</v>
      </c>
      <c r="F418" s="512">
        <v>1</v>
      </c>
      <c r="G418" s="512" t="s">
        <v>45</v>
      </c>
      <c r="H418" s="512">
        <f t="shared" ref="H418:H419" si="99">H417</f>
        <v>1</v>
      </c>
      <c r="I418" s="512" t="s">
        <v>46</v>
      </c>
      <c r="J418" s="512">
        <f t="shared" si="98"/>
        <v>4.45</v>
      </c>
    </row>
    <row r="419" spans="1:10" s="140" customFormat="1" ht="18" customHeight="1" x14ac:dyDescent="0.2">
      <c r="A419" s="671"/>
      <c r="B419" s="1727"/>
      <c r="C419" s="512" t="s">
        <v>1054</v>
      </c>
      <c r="D419" s="512">
        <v>5.43</v>
      </c>
      <c r="E419" s="512" t="s">
        <v>45</v>
      </c>
      <c r="F419" s="512">
        <v>2</v>
      </c>
      <c r="G419" s="512" t="s">
        <v>45</v>
      </c>
      <c r="H419" s="512">
        <f t="shared" si="99"/>
        <v>1</v>
      </c>
      <c r="I419" s="512" t="s">
        <v>46</v>
      </c>
      <c r="J419" s="512">
        <f t="shared" si="98"/>
        <v>10.86</v>
      </c>
    </row>
    <row r="420" spans="1:10" s="140" customFormat="1" ht="18" customHeight="1" x14ac:dyDescent="0.2">
      <c r="A420" s="671"/>
      <c r="B420" s="1725" t="str">
        <f>B311</f>
        <v>VB10 =VB11</v>
      </c>
      <c r="C420" s="512" t="s">
        <v>1054</v>
      </c>
      <c r="D420" s="512">
        <v>5.43</v>
      </c>
      <c r="E420" s="512" t="s">
        <v>45</v>
      </c>
      <c r="F420" s="512">
        <v>3</v>
      </c>
      <c r="G420" s="512" t="s">
        <v>45</v>
      </c>
      <c r="H420" s="512">
        <f>I311</f>
        <v>2</v>
      </c>
      <c r="I420" s="512" t="s">
        <v>46</v>
      </c>
      <c r="J420" s="512">
        <f t="shared" si="94"/>
        <v>32.58</v>
      </c>
    </row>
    <row r="421" spans="1:10" s="140" customFormat="1" ht="18" customHeight="1" x14ac:dyDescent="0.2">
      <c r="A421" s="671"/>
      <c r="B421" s="1726"/>
      <c r="C421" s="512" t="s">
        <v>1055</v>
      </c>
      <c r="D421" s="512">
        <v>2.35</v>
      </c>
      <c r="E421" s="512" t="s">
        <v>45</v>
      </c>
      <c r="F421" s="512">
        <v>1</v>
      </c>
      <c r="G421" s="512" t="s">
        <v>45</v>
      </c>
      <c r="H421" s="512">
        <f>H420</f>
        <v>2</v>
      </c>
      <c r="I421" s="512" t="s">
        <v>46</v>
      </c>
      <c r="J421" s="512">
        <f t="shared" ref="J421:J423" si="100">ROUND(D421*F421*H421,2)</f>
        <v>4.7</v>
      </c>
    </row>
    <row r="422" spans="1:10" s="140" customFormat="1" ht="18" customHeight="1" x14ac:dyDescent="0.2">
      <c r="A422" s="671"/>
      <c r="B422" s="1726"/>
      <c r="C422" s="512" t="s">
        <v>1056</v>
      </c>
      <c r="D422" s="512">
        <v>3.35</v>
      </c>
      <c r="E422" s="512" t="s">
        <v>45</v>
      </c>
      <c r="F422" s="512">
        <v>1</v>
      </c>
      <c r="G422" s="512" t="s">
        <v>45</v>
      </c>
      <c r="H422" s="512">
        <f t="shared" ref="H422:H423" si="101">H421</f>
        <v>2</v>
      </c>
      <c r="I422" s="512" t="s">
        <v>46</v>
      </c>
      <c r="J422" s="512">
        <f t="shared" si="100"/>
        <v>6.7</v>
      </c>
    </row>
    <row r="423" spans="1:10" s="140" customFormat="1" ht="18" customHeight="1" x14ac:dyDescent="0.2">
      <c r="A423" s="671"/>
      <c r="B423" s="1727"/>
      <c r="C423" s="512" t="s">
        <v>1057</v>
      </c>
      <c r="D423" s="512">
        <v>4.05</v>
      </c>
      <c r="E423" s="512" t="s">
        <v>45</v>
      </c>
      <c r="F423" s="512">
        <v>1</v>
      </c>
      <c r="G423" s="512" t="s">
        <v>45</v>
      </c>
      <c r="H423" s="512">
        <f t="shared" si="101"/>
        <v>2</v>
      </c>
      <c r="I423" s="512" t="s">
        <v>46</v>
      </c>
      <c r="J423" s="512">
        <f t="shared" si="100"/>
        <v>8.1</v>
      </c>
    </row>
    <row r="424" spans="1:10" s="140" customFormat="1" ht="18" customHeight="1" x14ac:dyDescent="0.2">
      <c r="A424" s="671"/>
      <c r="B424" s="1725" t="str">
        <f>B312</f>
        <v>VB12</v>
      </c>
      <c r="C424" s="512" t="s">
        <v>1058</v>
      </c>
      <c r="D424" s="512">
        <v>2.2999999999999998</v>
      </c>
      <c r="E424" s="512" t="s">
        <v>45</v>
      </c>
      <c r="F424" s="512">
        <v>1</v>
      </c>
      <c r="G424" s="512" t="s">
        <v>45</v>
      </c>
      <c r="H424" s="512">
        <f>I312</f>
        <v>1</v>
      </c>
      <c r="I424" s="512" t="s">
        <v>46</v>
      </c>
      <c r="J424" s="512">
        <f t="shared" si="94"/>
        <v>2.2999999999999998</v>
      </c>
    </row>
    <row r="425" spans="1:10" s="140" customFormat="1" ht="18" customHeight="1" x14ac:dyDescent="0.2">
      <c r="A425" s="671"/>
      <c r="B425" s="1727"/>
      <c r="C425" s="512" t="s">
        <v>1059</v>
      </c>
      <c r="D425" s="512">
        <v>9.4</v>
      </c>
      <c r="E425" s="512" t="s">
        <v>45</v>
      </c>
      <c r="F425" s="512">
        <v>2</v>
      </c>
      <c r="G425" s="512" t="s">
        <v>45</v>
      </c>
      <c r="H425" s="512">
        <f>H424</f>
        <v>1</v>
      </c>
      <c r="I425" s="512" t="s">
        <v>46</v>
      </c>
      <c r="J425" s="512">
        <f t="shared" ref="J425" si="102">ROUND(D425*F425*H425,2)</f>
        <v>18.8</v>
      </c>
    </row>
    <row r="426" spans="1:10" s="140" customFormat="1" ht="18" customHeight="1" x14ac:dyDescent="0.2">
      <c r="A426" s="671"/>
      <c r="B426" s="1725" t="str">
        <f>B313</f>
        <v>VB13</v>
      </c>
      <c r="C426" s="512" t="s">
        <v>1060</v>
      </c>
      <c r="D426" s="512">
        <v>3.15</v>
      </c>
      <c r="E426" s="512" t="s">
        <v>45</v>
      </c>
      <c r="F426" s="512">
        <v>1</v>
      </c>
      <c r="G426" s="512" t="s">
        <v>45</v>
      </c>
      <c r="H426" s="512">
        <f>I313</f>
        <v>1</v>
      </c>
      <c r="I426" s="512" t="s">
        <v>46</v>
      </c>
      <c r="J426" s="512">
        <f t="shared" si="94"/>
        <v>3.15</v>
      </c>
    </row>
    <row r="427" spans="1:10" s="140" customFormat="1" ht="18" customHeight="1" x14ac:dyDescent="0.2">
      <c r="A427" s="671"/>
      <c r="B427" s="1726"/>
      <c r="C427" s="512" t="s">
        <v>1061</v>
      </c>
      <c r="D427" s="512">
        <v>4.1500000000000004</v>
      </c>
      <c r="E427" s="512" t="s">
        <v>45</v>
      </c>
      <c r="F427" s="512">
        <v>1</v>
      </c>
      <c r="G427" s="512" t="s">
        <v>45</v>
      </c>
      <c r="H427" s="512">
        <f>H426</f>
        <v>1</v>
      </c>
      <c r="I427" s="512" t="s">
        <v>46</v>
      </c>
      <c r="J427" s="512">
        <f t="shared" ref="J427:J428" si="103">ROUND(D427*F427*H427,2)</f>
        <v>4.1500000000000004</v>
      </c>
    </row>
    <row r="428" spans="1:10" s="140" customFormat="1" ht="18" customHeight="1" x14ac:dyDescent="0.2">
      <c r="A428" s="671"/>
      <c r="B428" s="1727"/>
      <c r="C428" s="512" t="s">
        <v>1062</v>
      </c>
      <c r="D428" s="512">
        <v>5.24</v>
      </c>
      <c r="E428" s="512" t="s">
        <v>45</v>
      </c>
      <c r="F428" s="512">
        <v>2</v>
      </c>
      <c r="G428" s="512" t="s">
        <v>45</v>
      </c>
      <c r="H428" s="512">
        <f>H427</f>
        <v>1</v>
      </c>
      <c r="I428" s="512" t="s">
        <v>46</v>
      </c>
      <c r="J428" s="512">
        <f t="shared" si="103"/>
        <v>10.48</v>
      </c>
    </row>
    <row r="429" spans="1:10" s="140" customFormat="1" ht="18" customHeight="1" x14ac:dyDescent="0.2">
      <c r="A429" s="671"/>
      <c r="B429" s="1725" t="str">
        <f>B315</f>
        <v>VB15</v>
      </c>
      <c r="C429" s="512" t="s">
        <v>1054</v>
      </c>
      <c r="D429" s="512">
        <v>5.43</v>
      </c>
      <c r="E429" s="512" t="s">
        <v>45</v>
      </c>
      <c r="F429" s="512">
        <v>3</v>
      </c>
      <c r="G429" s="512" t="s">
        <v>45</v>
      </c>
      <c r="H429" s="512">
        <f>I315</f>
        <v>1</v>
      </c>
      <c r="I429" s="512" t="s">
        <v>46</v>
      </c>
      <c r="J429" s="512">
        <f t="shared" si="94"/>
        <v>16.29</v>
      </c>
    </row>
    <row r="430" spans="1:10" s="140" customFormat="1" ht="18" customHeight="1" x14ac:dyDescent="0.2">
      <c r="A430" s="671"/>
      <c r="B430" s="1726"/>
      <c r="C430" s="512" t="s">
        <v>1055</v>
      </c>
      <c r="D430" s="512">
        <v>2.35</v>
      </c>
      <c r="E430" s="512" t="s">
        <v>45</v>
      </c>
      <c r="F430" s="512">
        <v>1</v>
      </c>
      <c r="G430" s="512" t="s">
        <v>45</v>
      </c>
      <c r="H430" s="512">
        <f>H429</f>
        <v>1</v>
      </c>
      <c r="I430" s="512" t="s">
        <v>46</v>
      </c>
      <c r="J430" s="512">
        <f t="shared" ref="J430:J432" si="104">ROUND(D430*F430*H430,2)</f>
        <v>2.35</v>
      </c>
    </row>
    <row r="431" spans="1:10" s="140" customFormat="1" ht="18" customHeight="1" x14ac:dyDescent="0.2">
      <c r="A431" s="671"/>
      <c r="B431" s="1726"/>
      <c r="C431" s="512" t="s">
        <v>1063</v>
      </c>
      <c r="D431" s="512">
        <v>3.3</v>
      </c>
      <c r="E431" s="512" t="s">
        <v>45</v>
      </c>
      <c r="F431" s="512">
        <v>1</v>
      </c>
      <c r="G431" s="512" t="s">
        <v>45</v>
      </c>
      <c r="H431" s="512">
        <f t="shared" ref="H431:H432" si="105">H430</f>
        <v>1</v>
      </c>
      <c r="I431" s="512" t="s">
        <v>46</v>
      </c>
      <c r="J431" s="512">
        <f t="shared" si="104"/>
        <v>3.3</v>
      </c>
    </row>
    <row r="432" spans="1:10" s="140" customFormat="1" ht="18" customHeight="1" x14ac:dyDescent="0.2">
      <c r="A432" s="671"/>
      <c r="B432" s="1727"/>
      <c r="C432" s="512" t="s">
        <v>1064</v>
      </c>
      <c r="D432" s="512">
        <v>4</v>
      </c>
      <c r="E432" s="512" t="s">
        <v>45</v>
      </c>
      <c r="F432" s="512">
        <v>1</v>
      </c>
      <c r="G432" s="512" t="s">
        <v>45</v>
      </c>
      <c r="H432" s="512">
        <f t="shared" si="105"/>
        <v>1</v>
      </c>
      <c r="I432" s="512" t="s">
        <v>46</v>
      </c>
      <c r="J432" s="512">
        <f t="shared" si="104"/>
        <v>4</v>
      </c>
    </row>
    <row r="433" spans="1:10" s="140" customFormat="1" ht="18" customHeight="1" x14ac:dyDescent="0.2">
      <c r="A433" s="671"/>
      <c r="B433" s="1725" t="str">
        <f>B316</f>
        <v>VB16</v>
      </c>
      <c r="C433" s="512" t="s">
        <v>1065</v>
      </c>
      <c r="D433" s="512">
        <v>2.23</v>
      </c>
      <c r="E433" s="512" t="s">
        <v>45</v>
      </c>
      <c r="F433" s="512">
        <v>1</v>
      </c>
      <c r="G433" s="512" t="s">
        <v>45</v>
      </c>
      <c r="H433" s="512">
        <f>I316</f>
        <v>1</v>
      </c>
      <c r="I433" s="512" t="s">
        <v>46</v>
      </c>
      <c r="J433" s="512">
        <f t="shared" si="94"/>
        <v>2.23</v>
      </c>
    </row>
    <row r="434" spans="1:10" s="140" customFormat="1" ht="18" customHeight="1" x14ac:dyDescent="0.2">
      <c r="A434" s="671"/>
      <c r="B434" s="1727"/>
      <c r="C434" s="512" t="s">
        <v>1066</v>
      </c>
      <c r="D434" s="512">
        <v>5.22</v>
      </c>
      <c r="E434" s="512" t="s">
        <v>45</v>
      </c>
      <c r="F434" s="512">
        <v>2</v>
      </c>
      <c r="G434" s="512" t="s">
        <v>45</v>
      </c>
      <c r="H434" s="512">
        <f>H433</f>
        <v>1</v>
      </c>
      <c r="I434" s="512" t="s">
        <v>46</v>
      </c>
      <c r="J434" s="512">
        <f t="shared" ref="J434" si="106">ROUND(D434*F434*H434,2)</f>
        <v>10.44</v>
      </c>
    </row>
    <row r="435" spans="1:10" s="140" customFormat="1" ht="18" customHeight="1" x14ac:dyDescent="0.2">
      <c r="A435" s="671"/>
      <c r="B435" s="1725" t="str">
        <f>B318</f>
        <v>VB19</v>
      </c>
      <c r="C435" s="512" t="s">
        <v>1067</v>
      </c>
      <c r="D435" s="512">
        <v>4.24</v>
      </c>
      <c r="E435" s="512" t="s">
        <v>45</v>
      </c>
      <c r="F435" s="512">
        <v>2</v>
      </c>
      <c r="G435" s="512" t="s">
        <v>45</v>
      </c>
      <c r="H435" s="512">
        <f>I318</f>
        <v>1</v>
      </c>
      <c r="I435" s="512" t="s">
        <v>46</v>
      </c>
      <c r="J435" s="512">
        <f t="shared" si="94"/>
        <v>8.48</v>
      </c>
    </row>
    <row r="436" spans="1:10" s="140" customFormat="1" ht="18" customHeight="1" x14ac:dyDescent="0.2">
      <c r="A436" s="671"/>
      <c r="B436" s="1726"/>
      <c r="C436" s="512" t="s">
        <v>1068</v>
      </c>
      <c r="D436" s="512">
        <v>1.67</v>
      </c>
      <c r="E436" s="512" t="s">
        <v>45</v>
      </c>
      <c r="F436" s="512">
        <v>2</v>
      </c>
      <c r="G436" s="512" t="s">
        <v>45</v>
      </c>
      <c r="H436" s="512">
        <f>H435</f>
        <v>1</v>
      </c>
      <c r="I436" s="512" t="s">
        <v>46</v>
      </c>
      <c r="J436" s="512">
        <f t="shared" ref="J436:J437" si="107">ROUND(D436*F436*H436,2)</f>
        <v>3.34</v>
      </c>
    </row>
    <row r="437" spans="1:10" s="140" customFormat="1" ht="18" customHeight="1" x14ac:dyDescent="0.2">
      <c r="A437" s="671"/>
      <c r="B437" s="1727"/>
      <c r="C437" s="512" t="s">
        <v>1069</v>
      </c>
      <c r="D437" s="512">
        <v>4.47</v>
      </c>
      <c r="E437" s="512" t="s">
        <v>45</v>
      </c>
      <c r="F437" s="512">
        <v>2</v>
      </c>
      <c r="G437" s="512" t="s">
        <v>45</v>
      </c>
      <c r="H437" s="512">
        <f>H436</f>
        <v>1</v>
      </c>
      <c r="I437" s="512" t="s">
        <v>46</v>
      </c>
      <c r="J437" s="512">
        <f t="shared" si="107"/>
        <v>8.94</v>
      </c>
    </row>
    <row r="438" spans="1:10" s="140" customFormat="1" ht="18" customHeight="1" x14ac:dyDescent="0.2">
      <c r="A438" s="671"/>
      <c r="B438" s="1725" t="str">
        <f>B322</f>
        <v>VB24</v>
      </c>
      <c r="C438" s="512" t="s">
        <v>1070</v>
      </c>
      <c r="D438" s="512">
        <v>1.9</v>
      </c>
      <c r="E438" s="512" t="s">
        <v>45</v>
      </c>
      <c r="F438" s="512">
        <v>1</v>
      </c>
      <c r="G438" s="512" t="s">
        <v>45</v>
      </c>
      <c r="H438" s="512">
        <f>I322</f>
        <v>1</v>
      </c>
      <c r="I438" s="512" t="s">
        <v>46</v>
      </c>
      <c r="J438" s="512">
        <f t="shared" si="94"/>
        <v>1.9</v>
      </c>
    </row>
    <row r="439" spans="1:10" s="140" customFormat="1" ht="18" customHeight="1" x14ac:dyDescent="0.2">
      <c r="A439" s="671"/>
      <c r="B439" s="1726"/>
      <c r="C439" s="512" t="s">
        <v>1071</v>
      </c>
      <c r="D439" s="512">
        <v>1.75</v>
      </c>
      <c r="E439" s="512" t="s">
        <v>45</v>
      </c>
      <c r="F439" s="512">
        <v>1</v>
      </c>
      <c r="G439" s="512" t="s">
        <v>45</v>
      </c>
      <c r="H439" s="512">
        <f>H438</f>
        <v>1</v>
      </c>
      <c r="I439" s="512" t="s">
        <v>46</v>
      </c>
      <c r="J439" s="512">
        <f>ROUND(D439*F439*H439,2)</f>
        <v>1.75</v>
      </c>
    </row>
    <row r="440" spans="1:10" s="140" customFormat="1" ht="18" customHeight="1" x14ac:dyDescent="0.2">
      <c r="A440" s="671"/>
      <c r="B440" s="1726"/>
      <c r="C440" s="512" t="s">
        <v>1072</v>
      </c>
      <c r="D440" s="512">
        <v>11.98</v>
      </c>
      <c r="E440" s="512" t="s">
        <v>45</v>
      </c>
      <c r="F440" s="512">
        <v>2</v>
      </c>
      <c r="G440" s="512" t="s">
        <v>45</v>
      </c>
      <c r="H440" s="512">
        <f t="shared" ref="H440:H441" si="108">H439</f>
        <v>1</v>
      </c>
      <c r="I440" s="512" t="s">
        <v>46</v>
      </c>
      <c r="J440" s="512">
        <f t="shared" ref="J440:J441" si="109">ROUND(D440*F440*H440,2)</f>
        <v>23.96</v>
      </c>
    </row>
    <row r="441" spans="1:10" s="140" customFormat="1" ht="18" customHeight="1" x14ac:dyDescent="0.2">
      <c r="A441" s="671"/>
      <c r="B441" s="1727"/>
      <c r="C441" s="512" t="s">
        <v>1073</v>
      </c>
      <c r="D441" s="512">
        <v>5.3</v>
      </c>
      <c r="E441" s="512" t="s">
        <v>45</v>
      </c>
      <c r="F441" s="512">
        <v>2</v>
      </c>
      <c r="G441" s="512" t="s">
        <v>45</v>
      </c>
      <c r="H441" s="512">
        <f t="shared" si="108"/>
        <v>1</v>
      </c>
      <c r="I441" s="512" t="s">
        <v>46</v>
      </c>
      <c r="J441" s="512">
        <f t="shared" si="109"/>
        <v>10.6</v>
      </c>
    </row>
    <row r="442" spans="1:10" s="140" customFormat="1" ht="18" customHeight="1" x14ac:dyDescent="0.2">
      <c r="A442" s="671"/>
      <c r="B442" s="1725" t="str">
        <f>B325</f>
        <v>VB27</v>
      </c>
      <c r="C442" s="512" t="s">
        <v>964</v>
      </c>
      <c r="D442" s="512">
        <v>5.88</v>
      </c>
      <c r="E442" s="512" t="s">
        <v>45</v>
      </c>
      <c r="F442" s="512">
        <v>2</v>
      </c>
      <c r="G442" s="512" t="s">
        <v>45</v>
      </c>
      <c r="H442" s="512">
        <f>I325</f>
        <v>1</v>
      </c>
      <c r="I442" s="512" t="s">
        <v>46</v>
      </c>
      <c r="J442" s="512">
        <f t="shared" si="94"/>
        <v>11.76</v>
      </c>
    </row>
    <row r="443" spans="1:10" s="140" customFormat="1" ht="18" customHeight="1" x14ac:dyDescent="0.2">
      <c r="A443" s="671"/>
      <c r="B443" s="1726"/>
      <c r="C443" s="512" t="s">
        <v>1026</v>
      </c>
      <c r="D443" s="512">
        <v>1.48</v>
      </c>
      <c r="E443" s="512" t="s">
        <v>45</v>
      </c>
      <c r="F443" s="512">
        <v>2</v>
      </c>
      <c r="G443" s="512" t="s">
        <v>45</v>
      </c>
      <c r="H443" s="512">
        <f>H442</f>
        <v>1</v>
      </c>
      <c r="I443" s="512" t="s">
        <v>46</v>
      </c>
      <c r="J443" s="512">
        <f t="shared" ref="J443:J444" si="110">ROUND(D443*F443*H443,2)</f>
        <v>2.96</v>
      </c>
    </row>
    <row r="444" spans="1:10" s="140" customFormat="1" ht="18" customHeight="1" x14ac:dyDescent="0.2">
      <c r="A444" s="671"/>
      <c r="B444" s="1727"/>
      <c r="C444" s="512" t="s">
        <v>1027</v>
      </c>
      <c r="D444" s="512">
        <v>6.34</v>
      </c>
      <c r="E444" s="512" t="s">
        <v>45</v>
      </c>
      <c r="F444" s="512">
        <v>2</v>
      </c>
      <c r="G444" s="512" t="s">
        <v>45</v>
      </c>
      <c r="H444" s="512">
        <f>H443</f>
        <v>1</v>
      </c>
      <c r="I444" s="512" t="s">
        <v>46</v>
      </c>
      <c r="J444" s="512">
        <f t="shared" si="110"/>
        <v>12.68</v>
      </c>
    </row>
    <row r="445" spans="1:10" s="140" customFormat="1" ht="18" customHeight="1" x14ac:dyDescent="0.2">
      <c r="A445" s="671"/>
      <c r="B445" s="1725" t="str">
        <f>B326</f>
        <v>VB28</v>
      </c>
      <c r="C445" s="512" t="s">
        <v>1058</v>
      </c>
      <c r="D445" s="512">
        <v>2.2999999999999998</v>
      </c>
      <c r="E445" s="512" t="s">
        <v>45</v>
      </c>
      <c r="F445" s="512">
        <v>1</v>
      </c>
      <c r="G445" s="512" t="s">
        <v>45</v>
      </c>
      <c r="H445" s="512">
        <f>I326</f>
        <v>1</v>
      </c>
      <c r="I445" s="512" t="s">
        <v>46</v>
      </c>
      <c r="J445" s="512">
        <f t="shared" si="94"/>
        <v>2.2999999999999998</v>
      </c>
    </row>
    <row r="446" spans="1:10" s="140" customFormat="1" ht="18" customHeight="1" x14ac:dyDescent="0.2">
      <c r="A446" s="671"/>
      <c r="B446" s="1727"/>
      <c r="C446" s="512" t="s">
        <v>1059</v>
      </c>
      <c r="D446" s="512">
        <v>9.4</v>
      </c>
      <c r="E446" s="512" t="s">
        <v>45</v>
      </c>
      <c r="F446" s="512">
        <v>2</v>
      </c>
      <c r="G446" s="512" t="s">
        <v>45</v>
      </c>
      <c r="H446" s="512">
        <f>H445</f>
        <v>1</v>
      </c>
      <c r="I446" s="512" t="s">
        <v>46</v>
      </c>
      <c r="J446" s="512">
        <f>ROUND(D446*F446*H446,2)</f>
        <v>18.8</v>
      </c>
    </row>
    <row r="447" spans="1:10" s="140" customFormat="1" ht="18.75" customHeight="1" x14ac:dyDescent="0.2">
      <c r="A447" s="671"/>
      <c r="B447" s="1725" t="str">
        <f>B327</f>
        <v>VB29=VB18=VB23</v>
      </c>
      <c r="C447" s="512" t="s">
        <v>1028</v>
      </c>
      <c r="D447" s="512">
        <v>2.0299999999999998</v>
      </c>
      <c r="E447" s="512" t="s">
        <v>45</v>
      </c>
      <c r="F447" s="512">
        <v>1</v>
      </c>
      <c r="G447" s="512" t="s">
        <v>45</v>
      </c>
      <c r="H447" s="512">
        <f>I327</f>
        <v>3</v>
      </c>
      <c r="I447" s="512" t="s">
        <v>46</v>
      </c>
      <c r="J447" s="512">
        <f t="shared" si="94"/>
        <v>6.09</v>
      </c>
    </row>
    <row r="448" spans="1:10" s="140" customFormat="1" ht="18.75" customHeight="1" x14ac:dyDescent="0.2">
      <c r="A448" s="671"/>
      <c r="B448" s="1726"/>
      <c r="C448" s="512" t="s">
        <v>1029</v>
      </c>
      <c r="D448" s="512">
        <v>1.75</v>
      </c>
      <c r="E448" s="512" t="s">
        <v>45</v>
      </c>
      <c r="F448" s="512">
        <v>3</v>
      </c>
      <c r="G448" s="512" t="s">
        <v>45</v>
      </c>
      <c r="H448" s="512">
        <f>H447</f>
        <v>3</v>
      </c>
      <c r="I448" s="512" t="s">
        <v>46</v>
      </c>
      <c r="J448" s="512">
        <f t="shared" ref="J448:J452" si="111">ROUND(D448*F448*H448,2)</f>
        <v>15.75</v>
      </c>
    </row>
    <row r="449" spans="1:11" s="140" customFormat="1" ht="18.75" customHeight="1" x14ac:dyDescent="0.2">
      <c r="A449" s="671"/>
      <c r="B449" s="1726"/>
      <c r="C449" s="512" t="s">
        <v>1030</v>
      </c>
      <c r="D449" s="512">
        <v>7.05</v>
      </c>
      <c r="E449" s="512" t="s">
        <v>45</v>
      </c>
      <c r="F449" s="512">
        <v>2</v>
      </c>
      <c r="G449" s="512" t="s">
        <v>45</v>
      </c>
      <c r="H449" s="512">
        <f t="shared" ref="H449:H452" si="112">H448</f>
        <v>3</v>
      </c>
      <c r="I449" s="512" t="s">
        <v>46</v>
      </c>
      <c r="J449" s="512">
        <f t="shared" si="111"/>
        <v>42.3</v>
      </c>
    </row>
    <row r="450" spans="1:11" s="140" customFormat="1" ht="18.75" customHeight="1" x14ac:dyDescent="0.2">
      <c r="A450" s="671"/>
      <c r="B450" s="1726"/>
      <c r="C450" s="512" t="s">
        <v>1031</v>
      </c>
      <c r="D450" s="512">
        <v>11.99</v>
      </c>
      <c r="E450" s="512" t="s">
        <v>45</v>
      </c>
      <c r="F450" s="512">
        <v>2</v>
      </c>
      <c r="G450" s="512" t="s">
        <v>45</v>
      </c>
      <c r="H450" s="512">
        <f t="shared" si="112"/>
        <v>3</v>
      </c>
      <c r="I450" s="512" t="s">
        <v>46</v>
      </c>
      <c r="J450" s="512">
        <f t="shared" si="111"/>
        <v>71.94</v>
      </c>
    </row>
    <row r="451" spans="1:11" s="140" customFormat="1" ht="18.75" customHeight="1" x14ac:dyDescent="0.2">
      <c r="A451" s="671"/>
      <c r="B451" s="1726"/>
      <c r="C451" s="512" t="s">
        <v>1032</v>
      </c>
      <c r="D451" s="512">
        <v>12</v>
      </c>
      <c r="E451" s="512" t="s">
        <v>45</v>
      </c>
      <c r="F451" s="512">
        <v>2</v>
      </c>
      <c r="G451" s="512" t="s">
        <v>45</v>
      </c>
      <c r="H451" s="512">
        <f t="shared" si="112"/>
        <v>3</v>
      </c>
      <c r="I451" s="512" t="s">
        <v>46</v>
      </c>
      <c r="J451" s="512">
        <f t="shared" si="111"/>
        <v>72</v>
      </c>
    </row>
    <row r="452" spans="1:11" s="140" customFormat="1" ht="18.75" customHeight="1" x14ac:dyDescent="0.2">
      <c r="A452" s="671"/>
      <c r="B452" s="1727"/>
      <c r="C452" s="512" t="s">
        <v>1033</v>
      </c>
      <c r="D452" s="512">
        <v>2.48</v>
      </c>
      <c r="E452" s="512" t="s">
        <v>45</v>
      </c>
      <c r="F452" s="512">
        <v>2</v>
      </c>
      <c r="G452" s="512" t="s">
        <v>45</v>
      </c>
      <c r="H452" s="512">
        <f t="shared" si="112"/>
        <v>3</v>
      </c>
      <c r="I452" s="512" t="s">
        <v>46</v>
      </c>
      <c r="J452" s="512">
        <f t="shared" si="111"/>
        <v>14.88</v>
      </c>
    </row>
    <row r="453" spans="1:11" s="21" customFormat="1" ht="12" customHeight="1" x14ac:dyDescent="0.2">
      <c r="A453" s="529"/>
      <c r="B453" s="670"/>
      <c r="C453" s="670"/>
      <c r="D453" s="670"/>
      <c r="E453" s="670"/>
      <c r="F453" s="670"/>
      <c r="G453" s="670"/>
      <c r="H453" s="670"/>
      <c r="I453" s="670"/>
    </row>
    <row r="454" spans="1:11" s="140" customFormat="1" ht="17.25" customHeight="1" x14ac:dyDescent="0.2">
      <c r="A454" s="671"/>
      <c r="B454" s="672"/>
      <c r="C454" s="512" t="s">
        <v>614</v>
      </c>
      <c r="D454" s="521"/>
      <c r="E454" s="512" t="s">
        <v>928</v>
      </c>
      <c r="F454" s="521"/>
      <c r="G454" s="681" t="s">
        <v>967</v>
      </c>
      <c r="H454" s="699"/>
      <c r="I454" s="697"/>
    </row>
    <row r="455" spans="1:11" s="685" customFormat="1" ht="30" customHeight="1" x14ac:dyDescent="0.2">
      <c r="A455" s="682"/>
      <c r="B455" s="686" t="s">
        <v>929</v>
      </c>
      <c r="C455" s="678">
        <f>ROUND(SUM(J409:J453),2)</f>
        <v>619.11</v>
      </c>
      <c r="D455" s="678" t="s">
        <v>45</v>
      </c>
      <c r="E455" s="683">
        <v>0.61699999999999999</v>
      </c>
      <c r="F455" s="512" t="s">
        <v>46</v>
      </c>
      <c r="G455" s="681">
        <f>ROUND(C455*E455,2)</f>
        <v>381.99</v>
      </c>
      <c r="H455" s="699"/>
      <c r="I455" s="698"/>
    </row>
    <row r="456" spans="1:11" s="21" customFormat="1" x14ac:dyDescent="0.2"/>
    <row r="457" spans="1:11" s="21" customFormat="1" ht="24" customHeight="1" x14ac:dyDescent="0.2">
      <c r="A457" s="246" t="str">
        <f>ORÇ!A53</f>
        <v>4.3.6</v>
      </c>
      <c r="B457" s="1730" t="str">
        <f>ORÇ!D53</f>
        <v>ARMAÇÃO DE BLOCO, VIGA BALDRAME OU SAPATA UTILIZANDO AÇO CA-50 DE 12,5 MM - MONTAGEM. AF_06/2017</v>
      </c>
      <c r="C457" s="1730"/>
      <c r="D457" s="1730"/>
      <c r="E457" s="1730"/>
      <c r="F457" s="1730"/>
      <c r="G457" s="1730"/>
      <c r="H457" s="1730"/>
      <c r="I457" s="1730"/>
      <c r="J457" s="1730"/>
      <c r="K457" s="1730"/>
    </row>
    <row r="458" spans="1:11" s="21" customFormat="1" x14ac:dyDescent="0.2"/>
    <row r="459" spans="1:11" s="602" customFormat="1" ht="19.5" customHeight="1" x14ac:dyDescent="0.2">
      <c r="A459" s="671"/>
      <c r="B459" s="512" t="s">
        <v>616</v>
      </c>
      <c r="C459" s="512" t="s">
        <v>917</v>
      </c>
      <c r="D459" s="512" t="s">
        <v>753</v>
      </c>
      <c r="E459" s="512"/>
      <c r="F459" s="512" t="s">
        <v>590</v>
      </c>
      <c r="G459" s="512"/>
      <c r="H459" s="512" t="s">
        <v>1022</v>
      </c>
      <c r="I459" s="512"/>
      <c r="J459" s="512" t="s">
        <v>614</v>
      </c>
      <c r="K459" s="522"/>
    </row>
    <row r="460" spans="1:11" s="140" customFormat="1" ht="18" customHeight="1" x14ac:dyDescent="0.2">
      <c r="A460" s="671"/>
      <c r="B460" s="247" t="str">
        <f>B306</f>
        <v>VB3</v>
      </c>
      <c r="C460" s="512" t="s">
        <v>1074</v>
      </c>
      <c r="D460" s="512">
        <v>5.84</v>
      </c>
      <c r="E460" s="512" t="s">
        <v>45</v>
      </c>
      <c r="F460" s="512">
        <v>2</v>
      </c>
      <c r="G460" s="512" t="s">
        <v>45</v>
      </c>
      <c r="H460" s="512">
        <f>I306</f>
        <v>1</v>
      </c>
      <c r="I460" s="512" t="s">
        <v>46</v>
      </c>
      <c r="J460" s="512">
        <f t="shared" ref="J460:J466" si="113">ROUND(D460*F460*H460,2)</f>
        <v>11.68</v>
      </c>
    </row>
    <row r="461" spans="1:11" s="140" customFormat="1" ht="18" customHeight="1" x14ac:dyDescent="0.2">
      <c r="A461" s="671"/>
      <c r="B461" s="1725" t="str">
        <f>B314</f>
        <v>VB14</v>
      </c>
      <c r="C461" s="512" t="s">
        <v>1075</v>
      </c>
      <c r="D461" s="512">
        <v>2.17</v>
      </c>
      <c r="E461" s="512" t="s">
        <v>45</v>
      </c>
      <c r="F461" s="512">
        <v>1</v>
      </c>
      <c r="G461" s="512" t="s">
        <v>45</v>
      </c>
      <c r="H461" s="512">
        <f>I314</f>
        <v>1</v>
      </c>
      <c r="I461" s="512" t="s">
        <v>46</v>
      </c>
      <c r="J461" s="512">
        <f t="shared" si="113"/>
        <v>2.17</v>
      </c>
    </row>
    <row r="462" spans="1:11" s="140" customFormat="1" ht="18" customHeight="1" x14ac:dyDescent="0.2">
      <c r="A462" s="671"/>
      <c r="B462" s="1727"/>
      <c r="C462" s="512" t="s">
        <v>1076</v>
      </c>
      <c r="D462" s="512">
        <v>6</v>
      </c>
      <c r="E462" s="512" t="s">
        <v>45</v>
      </c>
      <c r="F462" s="512">
        <v>2</v>
      </c>
      <c r="G462" s="512" t="s">
        <v>45</v>
      </c>
      <c r="H462" s="512">
        <f>H461</f>
        <v>1</v>
      </c>
      <c r="I462" s="512" t="s">
        <v>46</v>
      </c>
      <c r="J462" s="512">
        <f t="shared" ref="J462" si="114">ROUND(D462*F462*H462,2)</f>
        <v>12</v>
      </c>
    </row>
    <row r="463" spans="1:11" s="140" customFormat="1" ht="18" customHeight="1" x14ac:dyDescent="0.2">
      <c r="A463" s="671"/>
      <c r="B463" s="1725" t="str">
        <f>B316</f>
        <v>VB16</v>
      </c>
      <c r="C463" s="512" t="s">
        <v>1077</v>
      </c>
      <c r="D463" s="512">
        <v>2.25</v>
      </c>
      <c r="E463" s="512" t="s">
        <v>45</v>
      </c>
      <c r="F463" s="512">
        <v>1</v>
      </c>
      <c r="G463" s="512" t="s">
        <v>45</v>
      </c>
      <c r="H463" s="512">
        <f>I316</f>
        <v>1</v>
      </c>
      <c r="I463" s="512" t="s">
        <v>46</v>
      </c>
      <c r="J463" s="512">
        <f t="shared" si="113"/>
        <v>2.25</v>
      </c>
    </row>
    <row r="464" spans="1:11" s="140" customFormat="1" ht="18" customHeight="1" x14ac:dyDescent="0.2">
      <c r="A464" s="671"/>
      <c r="B464" s="1726"/>
      <c r="C464" s="512" t="s">
        <v>1078</v>
      </c>
      <c r="D464" s="512">
        <v>11.97</v>
      </c>
      <c r="E464" s="512" t="s">
        <v>45</v>
      </c>
      <c r="F464" s="512">
        <v>2</v>
      </c>
      <c r="G464" s="512" t="s">
        <v>45</v>
      </c>
      <c r="H464" s="512">
        <f>H463</f>
        <v>1</v>
      </c>
      <c r="I464" s="512" t="s">
        <v>46</v>
      </c>
      <c r="J464" s="512">
        <f t="shared" ref="J464:J465" si="115">ROUND(D464*F464*H464,2)</f>
        <v>23.94</v>
      </c>
    </row>
    <row r="465" spans="1:11" s="140" customFormat="1" ht="18" customHeight="1" x14ac:dyDescent="0.2">
      <c r="A465" s="671"/>
      <c r="B465" s="1727"/>
      <c r="C465" s="512" t="s">
        <v>1079</v>
      </c>
      <c r="D465" s="512">
        <v>6.2</v>
      </c>
      <c r="E465" s="512" t="s">
        <v>45</v>
      </c>
      <c r="F465" s="512">
        <v>2</v>
      </c>
      <c r="G465" s="512" t="s">
        <v>45</v>
      </c>
      <c r="H465" s="512">
        <f>H464</f>
        <v>1</v>
      </c>
      <c r="I465" s="512" t="s">
        <v>46</v>
      </c>
      <c r="J465" s="512">
        <f t="shared" si="115"/>
        <v>12.4</v>
      </c>
    </row>
    <row r="466" spans="1:11" s="140" customFormat="1" ht="32.25" customHeight="1" x14ac:dyDescent="0.2">
      <c r="A466" s="671"/>
      <c r="B466" s="247" t="str">
        <f>B327</f>
        <v>VB29=VB18=VB23</v>
      </c>
      <c r="C466" s="512" t="s">
        <v>1034</v>
      </c>
      <c r="D466" s="512">
        <v>5.45</v>
      </c>
      <c r="E466" s="512" t="s">
        <v>45</v>
      </c>
      <c r="F466" s="512">
        <v>2</v>
      </c>
      <c r="G466" s="512" t="s">
        <v>45</v>
      </c>
      <c r="H466" s="512">
        <f>I327</f>
        <v>3</v>
      </c>
      <c r="I466" s="512" t="s">
        <v>46</v>
      </c>
      <c r="J466" s="512">
        <f t="shared" si="113"/>
        <v>32.700000000000003</v>
      </c>
    </row>
    <row r="467" spans="1:11" s="21" customFormat="1" ht="12" customHeight="1" x14ac:dyDescent="0.2">
      <c r="A467" s="529"/>
      <c r="B467" s="670"/>
      <c r="C467" s="670"/>
      <c r="D467" s="670"/>
      <c r="E467" s="670"/>
      <c r="F467" s="670"/>
      <c r="G467" s="670"/>
      <c r="H467" s="670"/>
      <c r="I467" s="670"/>
    </row>
    <row r="468" spans="1:11" s="140" customFormat="1" ht="17.25" customHeight="1" x14ac:dyDescent="0.2">
      <c r="A468" s="671"/>
      <c r="B468" s="672"/>
      <c r="C468" s="512" t="s">
        <v>614</v>
      </c>
      <c r="D468" s="521"/>
      <c r="E468" s="512" t="s">
        <v>928</v>
      </c>
      <c r="F468" s="521"/>
      <c r="G468" s="681" t="s">
        <v>967</v>
      </c>
      <c r="H468" s="699"/>
      <c r="I468" s="697"/>
    </row>
    <row r="469" spans="1:11" s="685" customFormat="1" ht="30" customHeight="1" x14ac:dyDescent="0.2">
      <c r="A469" s="682"/>
      <c r="B469" s="686" t="s">
        <v>1023</v>
      </c>
      <c r="C469" s="678">
        <f>ROUND(SUM(J460:J467),2)</f>
        <v>97.14</v>
      </c>
      <c r="D469" s="678" t="s">
        <v>45</v>
      </c>
      <c r="E469" s="683">
        <v>0.96299999999999997</v>
      </c>
      <c r="F469" s="512" t="s">
        <v>46</v>
      </c>
      <c r="G469" s="681">
        <f>ROUND(C469*E469,2)</f>
        <v>93.55</v>
      </c>
      <c r="H469" s="699"/>
      <c r="I469" s="698"/>
    </row>
    <row r="470" spans="1:11" s="21" customFormat="1" x14ac:dyDescent="0.2"/>
    <row r="471" spans="1:11" s="21" customFormat="1" ht="22.5" customHeight="1" x14ac:dyDescent="0.2">
      <c r="A471" s="246" t="str">
        <f>ORÇ!A54</f>
        <v>4.3.7</v>
      </c>
      <c r="B471" s="1730" t="str">
        <f>ORÇ!D54</f>
        <v>ARMAÇÃO DE BLOCO, VIGA BALDRAME OU SAPATA UTILIZANDO AÇO CA-50 DE 16 MM - MONTAGEM. AF_06/2017</v>
      </c>
      <c r="C471" s="1730"/>
      <c r="D471" s="1730"/>
      <c r="E471" s="1730"/>
      <c r="F471" s="1730"/>
      <c r="G471" s="1730"/>
      <c r="H471" s="1730"/>
      <c r="I471" s="1730"/>
      <c r="J471" s="1730"/>
      <c r="K471" s="1730"/>
    </row>
    <row r="472" spans="1:11" s="21" customFormat="1" x14ac:dyDescent="0.2"/>
    <row r="473" spans="1:11" s="602" customFormat="1" ht="19.5" customHeight="1" x14ac:dyDescent="0.2">
      <c r="A473" s="671"/>
      <c r="B473" s="512" t="s">
        <v>616</v>
      </c>
      <c r="C473" s="512" t="s">
        <v>917</v>
      </c>
      <c r="D473" s="512" t="s">
        <v>753</v>
      </c>
      <c r="E473" s="512"/>
      <c r="F473" s="512" t="s">
        <v>590</v>
      </c>
      <c r="G473" s="512"/>
      <c r="H473" s="512" t="s">
        <v>1022</v>
      </c>
      <c r="I473" s="512"/>
      <c r="J473" s="512" t="s">
        <v>614</v>
      </c>
      <c r="K473" s="522"/>
    </row>
    <row r="474" spans="1:11" s="140" customFormat="1" ht="18" customHeight="1" x14ac:dyDescent="0.2">
      <c r="A474" s="671"/>
      <c r="B474" s="247" t="str">
        <f>B329</f>
        <v>VB31</v>
      </c>
      <c r="C474" s="512" t="s">
        <v>1035</v>
      </c>
      <c r="D474" s="512">
        <v>2.94</v>
      </c>
      <c r="E474" s="512" t="s">
        <v>45</v>
      </c>
      <c r="F474" s="512">
        <v>2</v>
      </c>
      <c r="G474" s="512" t="s">
        <v>45</v>
      </c>
      <c r="H474" s="512">
        <f>I329</f>
        <v>1</v>
      </c>
      <c r="I474" s="512" t="s">
        <v>46</v>
      </c>
      <c r="J474" s="512">
        <f t="shared" ref="J474" si="116">ROUND(D474*F474*H474,2)</f>
        <v>5.88</v>
      </c>
    </row>
    <row r="475" spans="1:11" s="88" customFormat="1" ht="12" customHeight="1" x14ac:dyDescent="0.2">
      <c r="A475" s="185"/>
      <c r="B475" s="689"/>
      <c r="C475" s="518"/>
      <c r="D475" s="518"/>
      <c r="E475" s="518"/>
      <c r="F475" s="518"/>
      <c r="G475" s="518"/>
      <c r="H475" s="518"/>
      <c r="I475" s="518"/>
    </row>
    <row r="476" spans="1:11" s="140" customFormat="1" ht="17.25" customHeight="1" x14ac:dyDescent="0.2">
      <c r="A476" s="671"/>
      <c r="B476" s="689"/>
      <c r="C476" s="512" t="s">
        <v>614</v>
      </c>
      <c r="D476" s="521"/>
      <c r="E476" s="512" t="s">
        <v>928</v>
      </c>
      <c r="F476" s="521"/>
      <c r="G476" s="681" t="s">
        <v>967</v>
      </c>
      <c r="H476" s="672"/>
      <c r="I476" s="672"/>
    </row>
    <row r="477" spans="1:11" s="685" customFormat="1" ht="30" customHeight="1" x14ac:dyDescent="0.2">
      <c r="A477" s="682"/>
      <c r="B477" s="686" t="s">
        <v>1024</v>
      </c>
      <c r="C477" s="678">
        <f>ROUND(SUM(J474:J475),2)</f>
        <v>5.88</v>
      </c>
      <c r="D477" s="678" t="s">
        <v>45</v>
      </c>
      <c r="E477" s="683">
        <v>1.5780000000000001</v>
      </c>
      <c r="F477" s="512" t="s">
        <v>46</v>
      </c>
      <c r="G477" s="681">
        <f>ROUND(C477*E477,2)</f>
        <v>9.2799999999999994</v>
      </c>
      <c r="H477" s="684"/>
      <c r="I477" s="684"/>
    </row>
    <row r="478" spans="1:11" s="21" customFormat="1" x14ac:dyDescent="0.2"/>
    <row r="479" spans="1:11" s="21" customFormat="1" ht="30.75" customHeight="1" x14ac:dyDescent="0.2">
      <c r="A479" s="246" t="str">
        <f>ORÇ!A55</f>
        <v>4.3.8</v>
      </c>
      <c r="B479" s="1730" t="str">
        <f>ORÇ!D55</f>
        <v>ARMAÇÃO DE BLOCO, VIGA BALDRAME E SAPATA UTILIZANDO AÇO CA-60 DE 5 MM - MONTAGEM. AF_06/2017</v>
      </c>
      <c r="C479" s="1730"/>
      <c r="D479" s="1730"/>
      <c r="E479" s="1730"/>
      <c r="F479" s="1730"/>
      <c r="G479" s="1730"/>
      <c r="H479" s="1730"/>
      <c r="I479" s="1730"/>
      <c r="J479" s="1730"/>
      <c r="K479" s="1730"/>
    </row>
    <row r="480" spans="1:11" s="21" customFormat="1" x14ac:dyDescent="0.2"/>
    <row r="481" spans="1:11" s="602" customFormat="1" ht="20.25" customHeight="1" x14ac:dyDescent="0.2">
      <c r="A481" s="671"/>
      <c r="B481" s="512" t="s">
        <v>616</v>
      </c>
      <c r="C481" s="512" t="s">
        <v>917</v>
      </c>
      <c r="D481" s="512" t="s">
        <v>753</v>
      </c>
      <c r="E481" s="512"/>
      <c r="F481" s="512" t="s">
        <v>590</v>
      </c>
      <c r="G481" s="512"/>
      <c r="H481" s="512" t="s">
        <v>1022</v>
      </c>
      <c r="I481" s="512"/>
      <c r="J481" s="512" t="s">
        <v>614</v>
      </c>
      <c r="K481" s="522"/>
    </row>
    <row r="482" spans="1:11" s="140" customFormat="1" ht="18" customHeight="1" x14ac:dyDescent="0.2">
      <c r="A482" s="671"/>
      <c r="B482" s="247" t="str">
        <f>B309</f>
        <v>VB7</v>
      </c>
      <c r="C482" s="512" t="s">
        <v>921</v>
      </c>
      <c r="D482" s="512">
        <v>3.95</v>
      </c>
      <c r="E482" s="512" t="s">
        <v>45</v>
      </c>
      <c r="F482" s="512">
        <v>2</v>
      </c>
      <c r="G482" s="512" t="s">
        <v>45</v>
      </c>
      <c r="H482" s="512">
        <f>I309</f>
        <v>1</v>
      </c>
      <c r="I482" s="512" t="s">
        <v>46</v>
      </c>
      <c r="J482" s="512">
        <f t="shared" ref="J482:J487" si="117">ROUND(D482*F482*H482,2)</f>
        <v>7.9</v>
      </c>
    </row>
    <row r="483" spans="1:11" s="140" customFormat="1" ht="18" customHeight="1" x14ac:dyDescent="0.2">
      <c r="A483" s="671"/>
      <c r="B483" s="247" t="str">
        <f>B310</f>
        <v>VB9</v>
      </c>
      <c r="C483" s="512" t="s">
        <v>922</v>
      </c>
      <c r="D483" s="512">
        <v>3.9</v>
      </c>
      <c r="E483" s="512" t="s">
        <v>45</v>
      </c>
      <c r="F483" s="512">
        <v>2</v>
      </c>
      <c r="G483" s="512" t="s">
        <v>45</v>
      </c>
      <c r="H483" s="512">
        <f>I310</f>
        <v>1</v>
      </c>
      <c r="I483" s="512" t="s">
        <v>46</v>
      </c>
      <c r="J483" s="512">
        <f t="shared" si="117"/>
        <v>7.8</v>
      </c>
    </row>
    <row r="484" spans="1:11" s="140" customFormat="1" ht="27" customHeight="1" x14ac:dyDescent="0.2">
      <c r="A484" s="671"/>
      <c r="B484" s="247" t="str">
        <f>B311</f>
        <v>VB10 =VB11</v>
      </c>
      <c r="C484" s="512" t="s">
        <v>921</v>
      </c>
      <c r="D484" s="512">
        <v>3.95</v>
      </c>
      <c r="E484" s="512" t="s">
        <v>45</v>
      </c>
      <c r="F484" s="512">
        <v>2</v>
      </c>
      <c r="G484" s="512" t="s">
        <v>45</v>
      </c>
      <c r="H484" s="512">
        <f>I311</f>
        <v>2</v>
      </c>
      <c r="I484" s="512" t="s">
        <v>46</v>
      </c>
      <c r="J484" s="512">
        <f t="shared" si="117"/>
        <v>15.8</v>
      </c>
    </row>
    <row r="485" spans="1:11" s="140" customFormat="1" ht="18" customHeight="1" x14ac:dyDescent="0.2">
      <c r="A485" s="671"/>
      <c r="B485" s="247" t="str">
        <f>B313</f>
        <v>VB13</v>
      </c>
      <c r="C485" s="512" t="s">
        <v>921</v>
      </c>
      <c r="D485" s="512">
        <v>3.95</v>
      </c>
      <c r="E485" s="512" t="s">
        <v>45</v>
      </c>
      <c r="F485" s="512">
        <v>2</v>
      </c>
      <c r="G485" s="512" t="s">
        <v>45</v>
      </c>
      <c r="H485" s="512">
        <f>I313</f>
        <v>1</v>
      </c>
      <c r="I485" s="512" t="s">
        <v>46</v>
      </c>
      <c r="J485" s="512">
        <f t="shared" si="117"/>
        <v>7.9</v>
      </c>
    </row>
    <row r="486" spans="1:11" s="140" customFormat="1" ht="18" customHeight="1" x14ac:dyDescent="0.2">
      <c r="A486" s="671"/>
      <c r="B486" s="247" t="str">
        <f>B315</f>
        <v>VB15</v>
      </c>
      <c r="C486" s="512" t="s">
        <v>922</v>
      </c>
      <c r="D486" s="512">
        <v>3.9</v>
      </c>
      <c r="E486" s="512" t="s">
        <v>45</v>
      </c>
      <c r="F486" s="512">
        <v>2</v>
      </c>
      <c r="G486" s="512" t="s">
        <v>45</v>
      </c>
      <c r="H486" s="512">
        <f>I315</f>
        <v>1</v>
      </c>
      <c r="I486" s="512" t="s">
        <v>46</v>
      </c>
      <c r="J486" s="512">
        <f t="shared" si="117"/>
        <v>7.8</v>
      </c>
    </row>
    <row r="487" spans="1:11" s="140" customFormat="1" ht="18" customHeight="1" x14ac:dyDescent="0.2">
      <c r="A487" s="671"/>
      <c r="B487" s="247" t="str">
        <f>B329</f>
        <v>VB31</v>
      </c>
      <c r="C487" s="512" t="s">
        <v>921</v>
      </c>
      <c r="D487" s="512">
        <v>1.53</v>
      </c>
      <c r="E487" s="512" t="s">
        <v>45</v>
      </c>
      <c r="F487" s="512">
        <v>2</v>
      </c>
      <c r="G487" s="512" t="s">
        <v>45</v>
      </c>
      <c r="H487" s="512">
        <f>I329</f>
        <v>1</v>
      </c>
      <c r="I487" s="512" t="s">
        <v>46</v>
      </c>
      <c r="J487" s="512">
        <f t="shared" si="117"/>
        <v>3.06</v>
      </c>
    </row>
    <row r="488" spans="1:11" s="88" customFormat="1" ht="12" customHeight="1" x14ac:dyDescent="0.2">
      <c r="A488" s="185"/>
      <c r="B488" s="689"/>
      <c r="C488" s="518"/>
      <c r="D488" s="518"/>
      <c r="E488" s="518"/>
      <c r="F488" s="518"/>
      <c r="G488" s="518"/>
      <c r="H488" s="518"/>
      <c r="I488" s="518"/>
    </row>
    <row r="489" spans="1:11" s="140" customFormat="1" ht="17.25" customHeight="1" x14ac:dyDescent="0.2">
      <c r="A489" s="671"/>
      <c r="B489" s="689"/>
      <c r="C489" s="512" t="s">
        <v>614</v>
      </c>
      <c r="D489" s="521"/>
      <c r="E489" s="512" t="s">
        <v>928</v>
      </c>
      <c r="F489" s="521"/>
      <c r="G489" s="681" t="s">
        <v>967</v>
      </c>
      <c r="H489" s="699"/>
      <c r="I489" s="697"/>
    </row>
    <row r="490" spans="1:11" s="685" customFormat="1" ht="30" customHeight="1" x14ac:dyDescent="0.2">
      <c r="A490" s="682"/>
      <c r="B490" s="686" t="s">
        <v>1025</v>
      </c>
      <c r="C490" s="678">
        <f>ROUND(SUM(J482:J488),2)</f>
        <v>50.26</v>
      </c>
      <c r="D490" s="678" t="s">
        <v>45</v>
      </c>
      <c r="E490" s="683">
        <v>0.154</v>
      </c>
      <c r="F490" s="512" t="s">
        <v>46</v>
      </c>
      <c r="G490" s="681">
        <f>ROUND(C490*E490,2)</f>
        <v>7.74</v>
      </c>
      <c r="H490" s="699"/>
      <c r="I490" s="698"/>
    </row>
    <row r="491" spans="1:11" s="21" customFormat="1" x14ac:dyDescent="0.2"/>
    <row r="492" spans="1:11" s="21" customFormat="1" ht="27.75" customHeight="1" x14ac:dyDescent="0.2">
      <c r="A492" s="246" t="str">
        <f>ORÇ!A56</f>
        <v>4.3.9</v>
      </c>
      <c r="B492" s="1730" t="str">
        <f>ORÇ!D56</f>
        <v>CONCRETO FCK = 25MPA, TRAÇO 1:2,3:2,7 (EM MASSA SECA DE CIMENTO/ AREIA MÉDIA/ BRITA 1) - PREPARO MECÂNICO COM BETONEIRA 400 L. AF_05/2021</v>
      </c>
      <c r="C492" s="1730"/>
      <c r="D492" s="1730"/>
      <c r="E492" s="1730"/>
      <c r="F492" s="1730"/>
      <c r="G492" s="1730"/>
      <c r="H492" s="1730"/>
      <c r="I492" s="1730"/>
      <c r="J492" s="1730"/>
      <c r="K492" s="1730"/>
    </row>
    <row r="493" spans="1:11" s="21" customFormat="1" x14ac:dyDescent="0.2"/>
    <row r="494" spans="1:11" s="602" customFormat="1" ht="18.75" customHeight="1" x14ac:dyDescent="0.2">
      <c r="A494" s="671"/>
      <c r="B494" s="512" t="s">
        <v>616</v>
      </c>
      <c r="C494" s="512" t="s">
        <v>753</v>
      </c>
      <c r="D494" s="512"/>
      <c r="E494" s="512" t="s">
        <v>405</v>
      </c>
      <c r="F494" s="512"/>
      <c r="G494" s="512" t="s">
        <v>630</v>
      </c>
      <c r="H494" s="512"/>
      <c r="I494" s="512" t="s">
        <v>469</v>
      </c>
      <c r="J494" s="512"/>
      <c r="K494" s="512" t="s">
        <v>312</v>
      </c>
    </row>
    <row r="495" spans="1:11" s="602" customFormat="1" ht="17.25" customHeight="1" x14ac:dyDescent="0.2">
      <c r="A495" s="671"/>
      <c r="B495" s="247" t="s">
        <v>986</v>
      </c>
      <c r="C495" s="512">
        <v>15.55</v>
      </c>
      <c r="D495" s="512" t="s">
        <v>45</v>
      </c>
      <c r="E495" s="512">
        <v>0.15</v>
      </c>
      <c r="F495" s="512" t="s">
        <v>45</v>
      </c>
      <c r="G495" s="678">
        <v>0.3</v>
      </c>
      <c r="H495" s="512" t="s">
        <v>45</v>
      </c>
      <c r="I495" s="512">
        <v>2</v>
      </c>
      <c r="J495" s="512" t="s">
        <v>46</v>
      </c>
      <c r="K495" s="512">
        <f>ROUND(C495*E495*G495*I495,2)</f>
        <v>1.4</v>
      </c>
    </row>
    <row r="496" spans="1:11" s="140" customFormat="1" ht="17.25" customHeight="1" x14ac:dyDescent="0.2">
      <c r="A496" s="671"/>
      <c r="B496" s="247" t="s">
        <v>988</v>
      </c>
      <c r="C496" s="678">
        <v>2.7</v>
      </c>
      <c r="D496" s="512" t="s">
        <v>45</v>
      </c>
      <c r="E496" s="512">
        <v>0.15</v>
      </c>
      <c r="F496" s="512" t="s">
        <v>45</v>
      </c>
      <c r="G496" s="678">
        <v>0.3</v>
      </c>
      <c r="H496" s="512" t="s">
        <v>45</v>
      </c>
      <c r="I496" s="512">
        <v>1</v>
      </c>
      <c r="J496" s="512" t="s">
        <v>46</v>
      </c>
      <c r="K496" s="512">
        <f t="shared" ref="K496:K521" si="118">ROUND(C496*E496*G496*I496,2)</f>
        <v>0.12</v>
      </c>
    </row>
    <row r="497" spans="1:11" s="140" customFormat="1" ht="17.25" customHeight="1" x14ac:dyDescent="0.2">
      <c r="A497" s="671"/>
      <c r="B497" s="247" t="s">
        <v>989</v>
      </c>
      <c r="C497" s="678">
        <v>5.2</v>
      </c>
      <c r="D497" s="512" t="s">
        <v>45</v>
      </c>
      <c r="E497" s="512">
        <v>0.15</v>
      </c>
      <c r="F497" s="512" t="s">
        <v>45</v>
      </c>
      <c r="G497" s="678">
        <v>0.3</v>
      </c>
      <c r="H497" s="512" t="s">
        <v>45</v>
      </c>
      <c r="I497" s="512">
        <v>1</v>
      </c>
      <c r="J497" s="512" t="s">
        <v>46</v>
      </c>
      <c r="K497" s="512">
        <f t="shared" si="118"/>
        <v>0.23</v>
      </c>
    </row>
    <row r="498" spans="1:11" s="140" customFormat="1" ht="17.25" customHeight="1" x14ac:dyDescent="0.2">
      <c r="A498" s="671"/>
      <c r="B498" s="247" t="s">
        <v>990</v>
      </c>
      <c r="C498" s="678">
        <v>4.3499999999999996</v>
      </c>
      <c r="D498" s="512" t="s">
        <v>45</v>
      </c>
      <c r="E498" s="512">
        <v>0.15</v>
      </c>
      <c r="F498" s="512" t="s">
        <v>45</v>
      </c>
      <c r="G498" s="678">
        <v>0.3</v>
      </c>
      <c r="H498" s="512" t="s">
        <v>45</v>
      </c>
      <c r="I498" s="512">
        <v>2</v>
      </c>
      <c r="J498" s="512" t="s">
        <v>46</v>
      </c>
      <c r="K498" s="512">
        <f t="shared" si="118"/>
        <v>0.39</v>
      </c>
    </row>
    <row r="499" spans="1:11" s="140" customFormat="1" ht="17.25" customHeight="1" x14ac:dyDescent="0.2">
      <c r="A499" s="671"/>
      <c r="B499" s="247" t="s">
        <v>991</v>
      </c>
      <c r="C499" s="678">
        <v>5</v>
      </c>
      <c r="D499" s="512" t="s">
        <v>45</v>
      </c>
      <c r="E499" s="512">
        <v>0.15</v>
      </c>
      <c r="F499" s="512" t="s">
        <v>45</v>
      </c>
      <c r="G499" s="678">
        <v>0.3</v>
      </c>
      <c r="H499" s="512" t="s">
        <v>45</v>
      </c>
      <c r="I499" s="512">
        <v>1</v>
      </c>
      <c r="J499" s="512" t="s">
        <v>46</v>
      </c>
      <c r="K499" s="512">
        <f t="shared" si="118"/>
        <v>0.23</v>
      </c>
    </row>
    <row r="500" spans="1:11" s="140" customFormat="1" ht="17.25" customHeight="1" x14ac:dyDescent="0.2">
      <c r="A500" s="671"/>
      <c r="B500" s="247" t="s">
        <v>992</v>
      </c>
      <c r="C500" s="678">
        <v>5.3</v>
      </c>
      <c r="D500" s="512" t="s">
        <v>45</v>
      </c>
      <c r="E500" s="512">
        <v>0.15</v>
      </c>
      <c r="F500" s="512" t="s">
        <v>45</v>
      </c>
      <c r="G500" s="678">
        <v>0.3</v>
      </c>
      <c r="H500" s="512" t="s">
        <v>45</v>
      </c>
      <c r="I500" s="512">
        <v>1</v>
      </c>
      <c r="J500" s="512" t="s">
        <v>46</v>
      </c>
      <c r="K500" s="512">
        <f t="shared" si="118"/>
        <v>0.24</v>
      </c>
    </row>
    <row r="501" spans="1:11" s="140" customFormat="1" ht="17.25" customHeight="1" x14ac:dyDescent="0.2">
      <c r="A501" s="671"/>
      <c r="B501" s="247" t="s">
        <v>993</v>
      </c>
      <c r="C501" s="678">
        <v>5.3</v>
      </c>
      <c r="D501" s="512" t="s">
        <v>45</v>
      </c>
      <c r="E501" s="512">
        <v>0.15</v>
      </c>
      <c r="F501" s="512" t="s">
        <v>45</v>
      </c>
      <c r="G501" s="678">
        <v>0.3</v>
      </c>
      <c r="H501" s="512" t="s">
        <v>45</v>
      </c>
      <c r="I501" s="512">
        <v>1</v>
      </c>
      <c r="J501" s="512" t="s">
        <v>46</v>
      </c>
      <c r="K501" s="512">
        <f t="shared" si="118"/>
        <v>0.24</v>
      </c>
    </row>
    <row r="502" spans="1:11" s="140" customFormat="1" ht="30" customHeight="1" x14ac:dyDescent="0.2">
      <c r="A502" s="671"/>
      <c r="B502" s="247" t="s">
        <v>994</v>
      </c>
      <c r="C502" s="678">
        <v>5.3</v>
      </c>
      <c r="D502" s="512" t="s">
        <v>45</v>
      </c>
      <c r="E502" s="512">
        <v>0.15</v>
      </c>
      <c r="F502" s="512" t="s">
        <v>45</v>
      </c>
      <c r="G502" s="678">
        <v>0.3</v>
      </c>
      <c r="H502" s="512" t="s">
        <v>45</v>
      </c>
      <c r="I502" s="512">
        <v>2</v>
      </c>
      <c r="J502" s="512" t="s">
        <v>46</v>
      </c>
      <c r="K502" s="512">
        <f t="shared" si="118"/>
        <v>0.48</v>
      </c>
    </row>
    <row r="503" spans="1:11" s="140" customFormat="1" ht="17.25" customHeight="1" x14ac:dyDescent="0.2">
      <c r="A503" s="671"/>
      <c r="B503" s="247" t="s">
        <v>995</v>
      </c>
      <c r="C503" s="678">
        <f>4.3+3.95</f>
        <v>8.25</v>
      </c>
      <c r="D503" s="512" t="s">
        <v>45</v>
      </c>
      <c r="E503" s="512">
        <v>0.15</v>
      </c>
      <c r="F503" s="512" t="s">
        <v>45</v>
      </c>
      <c r="G503" s="678">
        <v>0.3</v>
      </c>
      <c r="H503" s="512" t="s">
        <v>45</v>
      </c>
      <c r="I503" s="512">
        <v>1</v>
      </c>
      <c r="J503" s="512" t="s">
        <v>46</v>
      </c>
      <c r="K503" s="512">
        <f t="shared" si="118"/>
        <v>0.37</v>
      </c>
    </row>
    <row r="504" spans="1:11" s="140" customFormat="1" ht="17.25" customHeight="1" x14ac:dyDescent="0.2">
      <c r="A504" s="671"/>
      <c r="B504" s="247" t="s">
        <v>996</v>
      </c>
      <c r="C504" s="678">
        <v>5.3</v>
      </c>
      <c r="D504" s="512" t="s">
        <v>45</v>
      </c>
      <c r="E504" s="512">
        <v>0.15</v>
      </c>
      <c r="F504" s="512" t="s">
        <v>45</v>
      </c>
      <c r="G504" s="678">
        <v>0.3</v>
      </c>
      <c r="H504" s="512" t="s">
        <v>45</v>
      </c>
      <c r="I504" s="512">
        <v>1</v>
      </c>
      <c r="J504" s="512" t="s">
        <v>46</v>
      </c>
      <c r="K504" s="512">
        <f t="shared" si="118"/>
        <v>0.24</v>
      </c>
    </row>
    <row r="505" spans="1:11" s="140" customFormat="1" ht="17.25" customHeight="1" x14ac:dyDescent="0.2">
      <c r="A505" s="671"/>
      <c r="B505" s="247" t="s">
        <v>997</v>
      </c>
      <c r="C505" s="678">
        <v>5</v>
      </c>
      <c r="D505" s="512" t="s">
        <v>45</v>
      </c>
      <c r="E505" s="512">
        <v>0.15</v>
      </c>
      <c r="F505" s="512" t="s">
        <v>45</v>
      </c>
      <c r="G505" s="678">
        <v>0.3</v>
      </c>
      <c r="H505" s="512" t="s">
        <v>45</v>
      </c>
      <c r="I505" s="512">
        <v>1</v>
      </c>
      <c r="J505" s="512" t="s">
        <v>46</v>
      </c>
      <c r="K505" s="512">
        <f t="shared" si="118"/>
        <v>0.23</v>
      </c>
    </row>
    <row r="506" spans="1:11" s="140" customFormat="1" ht="17.25" customHeight="1" x14ac:dyDescent="0.2">
      <c r="A506" s="671"/>
      <c r="B506" s="247" t="s">
        <v>998</v>
      </c>
      <c r="C506" s="678">
        <v>5.3</v>
      </c>
      <c r="D506" s="512" t="s">
        <v>45</v>
      </c>
      <c r="E506" s="512">
        <v>0.15</v>
      </c>
      <c r="F506" s="512" t="s">
        <v>45</v>
      </c>
      <c r="G506" s="678">
        <v>0.3</v>
      </c>
      <c r="H506" s="512" t="s">
        <v>45</v>
      </c>
      <c r="I506" s="512">
        <v>1</v>
      </c>
      <c r="J506" s="512" t="s">
        <v>46</v>
      </c>
      <c r="K506" s="512">
        <f t="shared" si="118"/>
        <v>0.24</v>
      </c>
    </row>
    <row r="507" spans="1:11" s="140" customFormat="1" ht="17.25" customHeight="1" x14ac:dyDescent="0.2">
      <c r="A507" s="671"/>
      <c r="B507" s="247" t="s">
        <v>999</v>
      </c>
      <c r="C507" s="678">
        <f>4.9+2.45+4.2+4</f>
        <v>15.55</v>
      </c>
      <c r="D507" s="512" t="s">
        <v>45</v>
      </c>
      <c r="E507" s="512">
        <v>0.15</v>
      </c>
      <c r="F507" s="512" t="s">
        <v>45</v>
      </c>
      <c r="G507" s="678">
        <v>0.3</v>
      </c>
      <c r="H507" s="512" t="s">
        <v>45</v>
      </c>
      <c r="I507" s="512">
        <v>1</v>
      </c>
      <c r="J507" s="512" t="s">
        <v>46</v>
      </c>
      <c r="K507" s="512">
        <f t="shared" si="118"/>
        <v>0.7</v>
      </c>
    </row>
    <row r="508" spans="1:11" s="140" customFormat="1" ht="17.25" customHeight="1" x14ac:dyDescent="0.2">
      <c r="A508" s="671"/>
      <c r="B508" s="247" t="s">
        <v>1000</v>
      </c>
      <c r="C508" s="678">
        <f>3.55+4.15</f>
        <v>7.7</v>
      </c>
      <c r="D508" s="512" t="s">
        <v>45</v>
      </c>
      <c r="E508" s="512">
        <v>0.15</v>
      </c>
      <c r="F508" s="512" t="s">
        <v>45</v>
      </c>
      <c r="G508" s="678">
        <v>0.3</v>
      </c>
      <c r="H508" s="512" t="s">
        <v>45</v>
      </c>
      <c r="I508" s="512">
        <v>1</v>
      </c>
      <c r="J508" s="512" t="s">
        <v>46</v>
      </c>
      <c r="K508" s="512">
        <f t="shared" si="118"/>
        <v>0.35</v>
      </c>
    </row>
    <row r="509" spans="1:11" s="140" customFormat="1" ht="17.25" customHeight="1" x14ac:dyDescent="0.2">
      <c r="A509" s="671"/>
      <c r="B509" s="247" t="s">
        <v>1001</v>
      </c>
      <c r="C509" s="678">
        <v>4</v>
      </c>
      <c r="D509" s="512" t="s">
        <v>45</v>
      </c>
      <c r="E509" s="512">
        <v>0.15</v>
      </c>
      <c r="F509" s="512" t="s">
        <v>45</v>
      </c>
      <c r="G509" s="678">
        <v>0.3</v>
      </c>
      <c r="H509" s="512" t="s">
        <v>45</v>
      </c>
      <c r="I509" s="512">
        <v>1</v>
      </c>
      <c r="J509" s="512" t="s">
        <v>46</v>
      </c>
      <c r="K509" s="512">
        <f t="shared" si="118"/>
        <v>0.18</v>
      </c>
    </row>
    <row r="510" spans="1:11" s="140" customFormat="1" ht="17.25" customHeight="1" x14ac:dyDescent="0.2">
      <c r="A510" s="671"/>
      <c r="B510" s="247" t="s">
        <v>1002</v>
      </c>
      <c r="C510" s="678">
        <v>2.1</v>
      </c>
      <c r="D510" s="512" t="s">
        <v>45</v>
      </c>
      <c r="E510" s="512">
        <v>0.15</v>
      </c>
      <c r="F510" s="512" t="s">
        <v>45</v>
      </c>
      <c r="G510" s="678">
        <v>0.3</v>
      </c>
      <c r="H510" s="512" t="s">
        <v>45</v>
      </c>
      <c r="I510" s="512">
        <v>1</v>
      </c>
      <c r="J510" s="512" t="s">
        <v>46</v>
      </c>
      <c r="K510" s="512">
        <f t="shared" si="118"/>
        <v>0.09</v>
      </c>
    </row>
    <row r="511" spans="1:11" s="140" customFormat="1" ht="17.25" customHeight="1" x14ac:dyDescent="0.2">
      <c r="A511" s="671"/>
      <c r="B511" s="247" t="s">
        <v>1003</v>
      </c>
      <c r="C511" s="678">
        <v>2.09</v>
      </c>
      <c r="D511" s="512" t="s">
        <v>45</v>
      </c>
      <c r="E511" s="512">
        <v>0.15</v>
      </c>
      <c r="F511" s="512" t="s">
        <v>45</v>
      </c>
      <c r="G511" s="678">
        <v>0.3</v>
      </c>
      <c r="H511" s="512" t="s">
        <v>45</v>
      </c>
      <c r="I511" s="512">
        <v>1</v>
      </c>
      <c r="J511" s="512" t="s">
        <v>46</v>
      </c>
      <c r="K511" s="512">
        <f t="shared" si="118"/>
        <v>0.09</v>
      </c>
    </row>
    <row r="512" spans="1:11" s="140" customFormat="1" ht="17.25" customHeight="1" x14ac:dyDescent="0.2">
      <c r="A512" s="671"/>
      <c r="B512" s="247" t="s">
        <v>1004</v>
      </c>
      <c r="C512" s="678">
        <v>1.95</v>
      </c>
      <c r="D512" s="512" t="s">
        <v>45</v>
      </c>
      <c r="E512" s="512">
        <v>0.15</v>
      </c>
      <c r="F512" s="512" t="s">
        <v>45</v>
      </c>
      <c r="G512" s="678">
        <v>0.3</v>
      </c>
      <c r="H512" s="512" t="s">
        <v>45</v>
      </c>
      <c r="I512" s="512">
        <v>1</v>
      </c>
      <c r="J512" s="512" t="s">
        <v>46</v>
      </c>
      <c r="K512" s="512">
        <f t="shared" si="118"/>
        <v>0.09</v>
      </c>
    </row>
    <row r="513" spans="1:11" s="140" customFormat="1" ht="17.25" customHeight="1" x14ac:dyDescent="0.2">
      <c r="A513" s="671"/>
      <c r="B513" s="247" t="s">
        <v>1005</v>
      </c>
      <c r="C513" s="678">
        <f>4.3+5.05+2.8+2.95</f>
        <v>15.099999999999998</v>
      </c>
      <c r="D513" s="512" t="s">
        <v>45</v>
      </c>
      <c r="E513" s="512">
        <v>0.15</v>
      </c>
      <c r="F513" s="512" t="s">
        <v>45</v>
      </c>
      <c r="G513" s="678">
        <v>0.3</v>
      </c>
      <c r="H513" s="512" t="s">
        <v>45</v>
      </c>
      <c r="I513" s="512">
        <v>1</v>
      </c>
      <c r="J513" s="512" t="s">
        <v>46</v>
      </c>
      <c r="K513" s="512">
        <f t="shared" si="118"/>
        <v>0.68</v>
      </c>
    </row>
    <row r="514" spans="1:11" s="140" customFormat="1" ht="17.25" customHeight="1" x14ac:dyDescent="0.2">
      <c r="A514" s="671"/>
      <c r="B514" s="247" t="s">
        <v>1006</v>
      </c>
      <c r="C514" s="678">
        <v>3.15</v>
      </c>
      <c r="D514" s="512" t="s">
        <v>45</v>
      </c>
      <c r="E514" s="512">
        <v>0.15</v>
      </c>
      <c r="F514" s="512" t="s">
        <v>45</v>
      </c>
      <c r="G514" s="678">
        <v>0.3</v>
      </c>
      <c r="H514" s="512" t="s">
        <v>45</v>
      </c>
      <c r="I514" s="512">
        <v>1</v>
      </c>
      <c r="J514" s="512" t="s">
        <v>46</v>
      </c>
      <c r="K514" s="512">
        <f t="shared" si="118"/>
        <v>0.14000000000000001</v>
      </c>
    </row>
    <row r="515" spans="1:11" s="140" customFormat="1" ht="17.25" customHeight="1" x14ac:dyDescent="0.2">
      <c r="A515" s="671"/>
      <c r="B515" s="247" t="s">
        <v>1007</v>
      </c>
      <c r="C515" s="678">
        <v>3.05</v>
      </c>
      <c r="D515" s="512" t="s">
        <v>45</v>
      </c>
      <c r="E515" s="512">
        <v>0.15</v>
      </c>
      <c r="F515" s="512" t="s">
        <v>45</v>
      </c>
      <c r="G515" s="678">
        <v>0.3</v>
      </c>
      <c r="H515" s="512" t="s">
        <v>45</v>
      </c>
      <c r="I515" s="512">
        <v>1</v>
      </c>
      <c r="J515" s="512" t="s">
        <v>46</v>
      </c>
      <c r="K515" s="512">
        <f t="shared" si="118"/>
        <v>0.14000000000000001</v>
      </c>
    </row>
    <row r="516" spans="1:11" s="140" customFormat="1" ht="17.25" customHeight="1" x14ac:dyDescent="0.2">
      <c r="A516" s="671"/>
      <c r="B516" s="247" t="s">
        <v>1008</v>
      </c>
      <c r="C516" s="678">
        <v>5.45</v>
      </c>
      <c r="D516" s="512" t="s">
        <v>45</v>
      </c>
      <c r="E516" s="512">
        <v>0.15</v>
      </c>
      <c r="F516" s="512" t="s">
        <v>45</v>
      </c>
      <c r="G516" s="678">
        <v>0.3</v>
      </c>
      <c r="H516" s="512" t="s">
        <v>45</v>
      </c>
      <c r="I516" s="512">
        <v>1</v>
      </c>
      <c r="J516" s="512" t="s">
        <v>46</v>
      </c>
      <c r="K516" s="512">
        <f t="shared" si="118"/>
        <v>0.25</v>
      </c>
    </row>
    <row r="517" spans="1:11" s="140" customFormat="1" ht="17.25" customHeight="1" x14ac:dyDescent="0.2">
      <c r="A517" s="671"/>
      <c r="B517" s="247" t="s">
        <v>1009</v>
      </c>
      <c r="C517" s="678">
        <v>8.1999999999999993</v>
      </c>
      <c r="D517" s="512" t="s">
        <v>45</v>
      </c>
      <c r="E517" s="512">
        <v>0.15</v>
      </c>
      <c r="F517" s="512" t="s">
        <v>45</v>
      </c>
      <c r="G517" s="678">
        <v>0.3</v>
      </c>
      <c r="H517" s="512" t="s">
        <v>45</v>
      </c>
      <c r="I517" s="512">
        <v>1</v>
      </c>
      <c r="J517" s="512" t="s">
        <v>46</v>
      </c>
      <c r="K517" s="512">
        <f t="shared" si="118"/>
        <v>0.37</v>
      </c>
    </row>
    <row r="518" spans="1:11" s="140" customFormat="1" ht="30" customHeight="1" x14ac:dyDescent="0.2">
      <c r="A518" s="671"/>
      <c r="B518" s="247" t="s">
        <v>1011</v>
      </c>
      <c r="C518" s="678">
        <f>4.25+5.05+2.85+2.9+5.2+2.85</f>
        <v>23.1</v>
      </c>
      <c r="D518" s="512" t="s">
        <v>45</v>
      </c>
      <c r="E518" s="512">
        <v>0.15</v>
      </c>
      <c r="F518" s="512" t="s">
        <v>45</v>
      </c>
      <c r="G518" s="678">
        <v>0.3</v>
      </c>
      <c r="H518" s="512" t="s">
        <v>45</v>
      </c>
      <c r="I518" s="512">
        <v>3</v>
      </c>
      <c r="J518" s="512" t="s">
        <v>46</v>
      </c>
      <c r="K518" s="512">
        <f t="shared" si="118"/>
        <v>3.12</v>
      </c>
    </row>
    <row r="519" spans="1:11" s="140" customFormat="1" ht="17.25" customHeight="1" x14ac:dyDescent="0.2">
      <c r="A519" s="671"/>
      <c r="B519" s="247" t="s">
        <v>1010</v>
      </c>
      <c r="C519" s="678">
        <v>3.45</v>
      </c>
      <c r="D519" s="512" t="s">
        <v>45</v>
      </c>
      <c r="E519" s="512">
        <v>0.15</v>
      </c>
      <c r="F519" s="512" t="s">
        <v>45</v>
      </c>
      <c r="G519" s="678">
        <v>0.3</v>
      </c>
      <c r="H519" s="512" t="s">
        <v>45</v>
      </c>
      <c r="I519" s="512">
        <v>1</v>
      </c>
      <c r="J519" s="512" t="s">
        <v>46</v>
      </c>
      <c r="K519" s="512">
        <f t="shared" si="118"/>
        <v>0.16</v>
      </c>
    </row>
    <row r="520" spans="1:11" s="140" customFormat="1" ht="17.25" customHeight="1" x14ac:dyDescent="0.2">
      <c r="A520" s="671"/>
      <c r="B520" s="247" t="s">
        <v>1012</v>
      </c>
      <c r="C520" s="678">
        <v>4.2</v>
      </c>
      <c r="D520" s="512" t="s">
        <v>45</v>
      </c>
      <c r="E520" s="512">
        <v>0.15</v>
      </c>
      <c r="F520" s="512" t="s">
        <v>45</v>
      </c>
      <c r="G520" s="678">
        <v>0.3</v>
      </c>
      <c r="H520" s="512" t="s">
        <v>45</v>
      </c>
      <c r="I520" s="512">
        <v>1</v>
      </c>
      <c r="J520" s="512" t="s">
        <v>46</v>
      </c>
      <c r="K520" s="512">
        <f t="shared" si="118"/>
        <v>0.19</v>
      </c>
    </row>
    <row r="521" spans="1:11" s="140" customFormat="1" ht="17.25" customHeight="1" x14ac:dyDescent="0.2">
      <c r="A521" s="671"/>
      <c r="B521" s="247" t="s">
        <v>1013</v>
      </c>
      <c r="C521" s="678">
        <v>2.8</v>
      </c>
      <c r="D521" s="512" t="s">
        <v>45</v>
      </c>
      <c r="E521" s="512">
        <v>0.15</v>
      </c>
      <c r="F521" s="512" t="s">
        <v>45</v>
      </c>
      <c r="G521" s="678">
        <v>0.3</v>
      </c>
      <c r="H521" s="512" t="s">
        <v>45</v>
      </c>
      <c r="I521" s="512">
        <v>1</v>
      </c>
      <c r="J521" s="512" t="s">
        <v>46</v>
      </c>
      <c r="K521" s="512">
        <f t="shared" si="118"/>
        <v>0.13</v>
      </c>
    </row>
    <row r="522" spans="1:11" s="21" customFormat="1" ht="12" customHeight="1" x14ac:dyDescent="0.2">
      <c r="A522" s="529"/>
      <c r="B522" s="670"/>
      <c r="C522" s="670"/>
      <c r="D522" s="670"/>
      <c r="E522" s="670"/>
      <c r="F522" s="670"/>
      <c r="G522" s="670"/>
      <c r="H522" s="670"/>
      <c r="I522" s="670"/>
    </row>
    <row r="523" spans="1:11" s="140" customFormat="1" ht="15.75" customHeight="1" x14ac:dyDescent="0.2">
      <c r="A523" s="671"/>
      <c r="B523" s="659" t="s">
        <v>47</v>
      </c>
      <c r="C523" s="661">
        <f>ROUND(SUM(K495:K521),2)</f>
        <v>11.09</v>
      </c>
      <c r="D523" s="660" t="s">
        <v>497</v>
      </c>
      <c r="E523" s="672"/>
      <c r="F523" s="697"/>
      <c r="G523" s="672"/>
      <c r="H523" s="672"/>
      <c r="I523" s="672"/>
    </row>
    <row r="524" spans="1:11" s="21" customFormat="1" x14ac:dyDescent="0.2"/>
    <row r="525" spans="1:11" s="139" customFormat="1" ht="21.75" customHeight="1" x14ac:dyDescent="0.2">
      <c r="A525" s="246" t="str">
        <f>ORÇ!A57</f>
        <v>4.3.10</v>
      </c>
      <c r="B525" s="1730" t="str">
        <f>ORÇ!D57</f>
        <v>LANÇAMENTO COM USO DE BALDES, ADENSAMENTO E ACABAMENTO DE CONCRETO EM ESTRUTURAS. AF_02/2022</v>
      </c>
      <c r="C525" s="1730"/>
      <c r="D525" s="1730"/>
      <c r="E525" s="1730"/>
      <c r="F525" s="1730"/>
      <c r="G525" s="1730"/>
      <c r="H525" s="1730"/>
      <c r="I525" s="1730"/>
      <c r="J525" s="1730"/>
      <c r="K525" s="1730"/>
    </row>
    <row r="527" spans="1:11" s="21" customFormat="1" ht="12" customHeight="1" x14ac:dyDescent="0.2">
      <c r="A527" s="529"/>
      <c r="B527" s="1731" t="s">
        <v>1097</v>
      </c>
      <c r="C527" s="1731"/>
      <c r="D527" s="1731"/>
      <c r="E527" s="1731"/>
      <c r="F527" s="670"/>
      <c r="G527" s="670"/>
      <c r="H527" s="670"/>
      <c r="I527" s="670"/>
    </row>
    <row r="528" spans="1:11" s="140" customFormat="1" ht="15.75" customHeight="1" x14ac:dyDescent="0.2">
      <c r="A528" s="671"/>
      <c r="B528" s="659" t="s">
        <v>47</v>
      </c>
      <c r="C528" s="661">
        <f>C523</f>
        <v>11.09</v>
      </c>
      <c r="D528" s="660" t="s">
        <v>497</v>
      </c>
      <c r="E528" s="672"/>
      <c r="F528" s="672"/>
      <c r="G528" s="672"/>
      <c r="H528" s="672"/>
      <c r="I528" s="672"/>
    </row>
    <row r="530" spans="1:11" s="21" customFormat="1" ht="20.25" customHeight="1" x14ac:dyDescent="0.2">
      <c r="A530" s="246" t="str">
        <f>ORÇ!A58</f>
        <v>4.3.11</v>
      </c>
      <c r="B530" s="1730" t="str">
        <f>ORÇ!D58</f>
        <v>IMPERMEABILIZAÇÃO COM MASSA ASFÁLTICA PARA CONCRETO (2 DEMÃOS)</v>
      </c>
      <c r="C530" s="1730"/>
      <c r="D530" s="1730"/>
      <c r="E530" s="1730"/>
      <c r="F530" s="1730"/>
      <c r="G530" s="1730"/>
      <c r="H530" s="1730"/>
      <c r="I530" s="1730"/>
      <c r="J530" s="1730"/>
      <c r="K530" s="1730"/>
    </row>
    <row r="531" spans="1:11" s="21" customFormat="1" x14ac:dyDescent="0.2"/>
    <row r="532" spans="1:11" s="21" customFormat="1" x14ac:dyDescent="0.2">
      <c r="B532" s="21" t="s">
        <v>973</v>
      </c>
    </row>
    <row r="533" spans="1:11" s="140" customFormat="1" ht="15.75" customHeight="1" x14ac:dyDescent="0.2">
      <c r="A533" s="671"/>
      <c r="B533" s="659" t="s">
        <v>47</v>
      </c>
      <c r="C533" s="661">
        <f>C332</f>
        <v>147.5</v>
      </c>
      <c r="D533" s="660" t="s">
        <v>4</v>
      </c>
      <c r="E533" s="672"/>
      <c r="F533" s="672"/>
      <c r="G533" s="672"/>
      <c r="H533" s="672"/>
      <c r="I533" s="672"/>
    </row>
    <row r="534" spans="1:11" s="21" customFormat="1" x14ac:dyDescent="0.2"/>
    <row r="535" spans="1:11" s="21" customFormat="1" ht="22.5" customHeight="1" x14ac:dyDescent="0.2">
      <c r="A535" s="246" t="str">
        <f>ORÇ!A59</f>
        <v>4.3.12</v>
      </c>
      <c r="B535" s="1730" t="str">
        <f>ORÇ!D59</f>
        <v>REATERRO MANUAL DE VALAS COM COMPACTAÇÃO MECANIZADA. AF_04/2016</v>
      </c>
      <c r="C535" s="1730"/>
      <c r="D535" s="1730"/>
      <c r="E535" s="1730"/>
      <c r="F535" s="1730"/>
      <c r="G535" s="1730"/>
      <c r="H535" s="1730"/>
      <c r="I535" s="1730"/>
      <c r="J535" s="1730"/>
      <c r="K535" s="1730"/>
    </row>
    <row r="536" spans="1:11" s="21" customFormat="1" x14ac:dyDescent="0.2"/>
    <row r="537" spans="1:11" s="21" customFormat="1" x14ac:dyDescent="0.2">
      <c r="B537" s="21" t="s">
        <v>1086</v>
      </c>
    </row>
    <row r="538" spans="1:11" s="602" customFormat="1" ht="18.75" customHeight="1" x14ac:dyDescent="0.2">
      <c r="A538" s="671"/>
      <c r="B538" s="512" t="s">
        <v>616</v>
      </c>
      <c r="C538" s="512" t="s">
        <v>753</v>
      </c>
      <c r="D538" s="512"/>
      <c r="E538" s="512" t="s">
        <v>405</v>
      </c>
      <c r="F538" s="512"/>
      <c r="G538" s="512" t="s">
        <v>630</v>
      </c>
      <c r="H538" s="512"/>
      <c r="I538" s="512" t="s">
        <v>469</v>
      </c>
      <c r="J538" s="512"/>
      <c r="K538" s="512" t="s">
        <v>312</v>
      </c>
    </row>
    <row r="539" spans="1:11" s="602" customFormat="1" ht="17.25" customHeight="1" x14ac:dyDescent="0.2">
      <c r="A539" s="671"/>
      <c r="B539" s="247" t="s">
        <v>986</v>
      </c>
      <c r="C539" s="512">
        <v>15.55</v>
      </c>
      <c r="D539" s="512" t="s">
        <v>45</v>
      </c>
      <c r="E539" s="512">
        <v>0.15</v>
      </c>
      <c r="F539" s="512" t="s">
        <v>45</v>
      </c>
      <c r="G539" s="678">
        <v>0.15</v>
      </c>
      <c r="H539" s="512" t="s">
        <v>45</v>
      </c>
      <c r="I539" s="512">
        <v>2</v>
      </c>
      <c r="J539" s="512" t="s">
        <v>46</v>
      </c>
      <c r="K539" s="512">
        <f>ROUND(C539*E539*G539*I539,2)</f>
        <v>0.7</v>
      </c>
    </row>
    <row r="540" spans="1:11" s="140" customFormat="1" ht="17.25" customHeight="1" x14ac:dyDescent="0.2">
      <c r="A540" s="671"/>
      <c r="B540" s="247" t="s">
        <v>988</v>
      </c>
      <c r="C540" s="678">
        <v>2.7</v>
      </c>
      <c r="D540" s="512" t="s">
        <v>45</v>
      </c>
      <c r="E540" s="512">
        <v>0.15</v>
      </c>
      <c r="F540" s="512" t="s">
        <v>45</v>
      </c>
      <c r="G540" s="678">
        <v>0.15</v>
      </c>
      <c r="H540" s="512" t="s">
        <v>45</v>
      </c>
      <c r="I540" s="512">
        <v>1</v>
      </c>
      <c r="J540" s="512" t="s">
        <v>46</v>
      </c>
      <c r="K540" s="512">
        <f t="shared" ref="K540:K565" si="119">ROUND(C540*E540*G540*I540,2)</f>
        <v>0.06</v>
      </c>
    </row>
    <row r="541" spans="1:11" s="140" customFormat="1" ht="17.25" customHeight="1" x14ac:dyDescent="0.2">
      <c r="A541" s="671"/>
      <c r="B541" s="247" t="s">
        <v>989</v>
      </c>
      <c r="C541" s="678">
        <v>5.2</v>
      </c>
      <c r="D541" s="512" t="s">
        <v>45</v>
      </c>
      <c r="E541" s="512">
        <v>0.15</v>
      </c>
      <c r="F541" s="512" t="s">
        <v>45</v>
      </c>
      <c r="G541" s="678">
        <v>0.15</v>
      </c>
      <c r="H541" s="512" t="s">
        <v>45</v>
      </c>
      <c r="I541" s="512">
        <v>1</v>
      </c>
      <c r="J541" s="512" t="s">
        <v>46</v>
      </c>
      <c r="K541" s="512">
        <f t="shared" si="119"/>
        <v>0.12</v>
      </c>
    </row>
    <row r="542" spans="1:11" s="140" customFormat="1" ht="17.25" customHeight="1" x14ac:dyDescent="0.2">
      <c r="A542" s="671"/>
      <c r="B542" s="247" t="s">
        <v>990</v>
      </c>
      <c r="C542" s="678">
        <v>4.3499999999999996</v>
      </c>
      <c r="D542" s="512" t="s">
        <v>45</v>
      </c>
      <c r="E542" s="512">
        <v>0.15</v>
      </c>
      <c r="F542" s="512" t="s">
        <v>45</v>
      </c>
      <c r="G542" s="678">
        <v>0.15</v>
      </c>
      <c r="H542" s="512" t="s">
        <v>45</v>
      </c>
      <c r="I542" s="512">
        <v>2</v>
      </c>
      <c r="J542" s="512" t="s">
        <v>46</v>
      </c>
      <c r="K542" s="512">
        <f t="shared" si="119"/>
        <v>0.2</v>
      </c>
    </row>
    <row r="543" spans="1:11" s="140" customFormat="1" ht="17.25" customHeight="1" x14ac:dyDescent="0.2">
      <c r="A543" s="671"/>
      <c r="B543" s="247" t="s">
        <v>991</v>
      </c>
      <c r="C543" s="678">
        <v>5</v>
      </c>
      <c r="D543" s="512" t="s">
        <v>45</v>
      </c>
      <c r="E543" s="512">
        <v>0.15</v>
      </c>
      <c r="F543" s="512" t="s">
        <v>45</v>
      </c>
      <c r="G543" s="678">
        <v>0.15</v>
      </c>
      <c r="H543" s="512" t="s">
        <v>45</v>
      </c>
      <c r="I543" s="512">
        <v>1</v>
      </c>
      <c r="J543" s="512" t="s">
        <v>46</v>
      </c>
      <c r="K543" s="512">
        <f t="shared" si="119"/>
        <v>0.11</v>
      </c>
    </row>
    <row r="544" spans="1:11" s="140" customFormat="1" ht="17.25" customHeight="1" x14ac:dyDescent="0.2">
      <c r="A544" s="671"/>
      <c r="B544" s="247" t="s">
        <v>992</v>
      </c>
      <c r="C544" s="678">
        <v>5.3</v>
      </c>
      <c r="D544" s="512" t="s">
        <v>45</v>
      </c>
      <c r="E544" s="512">
        <v>0.15</v>
      </c>
      <c r="F544" s="512" t="s">
        <v>45</v>
      </c>
      <c r="G544" s="678">
        <v>0.15</v>
      </c>
      <c r="H544" s="512" t="s">
        <v>45</v>
      </c>
      <c r="I544" s="512">
        <v>1</v>
      </c>
      <c r="J544" s="512" t="s">
        <v>46</v>
      </c>
      <c r="K544" s="512">
        <f t="shared" si="119"/>
        <v>0.12</v>
      </c>
    </row>
    <row r="545" spans="1:11" s="140" customFormat="1" ht="17.25" customHeight="1" x14ac:dyDescent="0.2">
      <c r="A545" s="671"/>
      <c r="B545" s="247" t="s">
        <v>993</v>
      </c>
      <c r="C545" s="678">
        <v>5.3</v>
      </c>
      <c r="D545" s="512" t="s">
        <v>45</v>
      </c>
      <c r="E545" s="512">
        <v>0.15</v>
      </c>
      <c r="F545" s="512" t="s">
        <v>45</v>
      </c>
      <c r="G545" s="678">
        <v>0.15</v>
      </c>
      <c r="H545" s="512" t="s">
        <v>45</v>
      </c>
      <c r="I545" s="512">
        <v>1</v>
      </c>
      <c r="J545" s="512" t="s">
        <v>46</v>
      </c>
      <c r="K545" s="512">
        <f t="shared" si="119"/>
        <v>0.12</v>
      </c>
    </row>
    <row r="546" spans="1:11" s="140" customFormat="1" ht="30" customHeight="1" x14ac:dyDescent="0.2">
      <c r="A546" s="671"/>
      <c r="B546" s="247" t="s">
        <v>994</v>
      </c>
      <c r="C546" s="678">
        <v>5.3</v>
      </c>
      <c r="D546" s="512" t="s">
        <v>45</v>
      </c>
      <c r="E546" s="512">
        <v>0.15</v>
      </c>
      <c r="F546" s="512" t="s">
        <v>45</v>
      </c>
      <c r="G546" s="678">
        <v>0.15</v>
      </c>
      <c r="H546" s="512" t="s">
        <v>45</v>
      </c>
      <c r="I546" s="512">
        <v>2</v>
      </c>
      <c r="J546" s="512" t="s">
        <v>46</v>
      </c>
      <c r="K546" s="512">
        <f t="shared" si="119"/>
        <v>0.24</v>
      </c>
    </row>
    <row r="547" spans="1:11" s="140" customFormat="1" ht="17.25" customHeight="1" x14ac:dyDescent="0.2">
      <c r="A547" s="671"/>
      <c r="B547" s="247" t="s">
        <v>995</v>
      </c>
      <c r="C547" s="678">
        <f>4.3+3.95</f>
        <v>8.25</v>
      </c>
      <c r="D547" s="512" t="s">
        <v>45</v>
      </c>
      <c r="E547" s="512">
        <v>0.15</v>
      </c>
      <c r="F547" s="512" t="s">
        <v>45</v>
      </c>
      <c r="G547" s="678">
        <v>0.15</v>
      </c>
      <c r="H547" s="512" t="s">
        <v>45</v>
      </c>
      <c r="I547" s="512">
        <v>1</v>
      </c>
      <c r="J547" s="512" t="s">
        <v>46</v>
      </c>
      <c r="K547" s="512">
        <f t="shared" si="119"/>
        <v>0.19</v>
      </c>
    </row>
    <row r="548" spans="1:11" s="140" customFormat="1" ht="17.25" customHeight="1" x14ac:dyDescent="0.2">
      <c r="A548" s="671"/>
      <c r="B548" s="247" t="s">
        <v>996</v>
      </c>
      <c r="C548" s="678">
        <v>5.3</v>
      </c>
      <c r="D548" s="512" t="s">
        <v>45</v>
      </c>
      <c r="E548" s="512">
        <v>0.15</v>
      </c>
      <c r="F548" s="512" t="s">
        <v>45</v>
      </c>
      <c r="G548" s="678">
        <v>0.15</v>
      </c>
      <c r="H548" s="512" t="s">
        <v>45</v>
      </c>
      <c r="I548" s="512">
        <v>1</v>
      </c>
      <c r="J548" s="512" t="s">
        <v>46</v>
      </c>
      <c r="K548" s="512">
        <f t="shared" si="119"/>
        <v>0.12</v>
      </c>
    </row>
    <row r="549" spans="1:11" s="140" customFormat="1" ht="17.25" customHeight="1" x14ac:dyDescent="0.2">
      <c r="A549" s="671"/>
      <c r="B549" s="247" t="s">
        <v>997</v>
      </c>
      <c r="C549" s="678">
        <v>5</v>
      </c>
      <c r="D549" s="512" t="s">
        <v>45</v>
      </c>
      <c r="E549" s="512">
        <v>0.15</v>
      </c>
      <c r="F549" s="512" t="s">
        <v>45</v>
      </c>
      <c r="G549" s="678">
        <v>0.15</v>
      </c>
      <c r="H549" s="512" t="s">
        <v>45</v>
      </c>
      <c r="I549" s="512">
        <v>1</v>
      </c>
      <c r="J549" s="512" t="s">
        <v>46</v>
      </c>
      <c r="K549" s="512">
        <f t="shared" si="119"/>
        <v>0.11</v>
      </c>
    </row>
    <row r="550" spans="1:11" s="140" customFormat="1" ht="17.25" customHeight="1" x14ac:dyDescent="0.2">
      <c r="A550" s="671"/>
      <c r="B550" s="247" t="s">
        <v>998</v>
      </c>
      <c r="C550" s="678">
        <v>5.3</v>
      </c>
      <c r="D550" s="512" t="s">
        <v>45</v>
      </c>
      <c r="E550" s="512">
        <v>0.15</v>
      </c>
      <c r="F550" s="512" t="s">
        <v>45</v>
      </c>
      <c r="G550" s="678">
        <v>0.15</v>
      </c>
      <c r="H550" s="512" t="s">
        <v>45</v>
      </c>
      <c r="I550" s="512">
        <v>1</v>
      </c>
      <c r="J550" s="512" t="s">
        <v>46</v>
      </c>
      <c r="K550" s="512">
        <f t="shared" si="119"/>
        <v>0.12</v>
      </c>
    </row>
    <row r="551" spans="1:11" s="140" customFormat="1" ht="17.25" customHeight="1" x14ac:dyDescent="0.2">
      <c r="A551" s="671"/>
      <c r="B551" s="247" t="s">
        <v>999</v>
      </c>
      <c r="C551" s="678">
        <f>4.9+2.45+4.2+4</f>
        <v>15.55</v>
      </c>
      <c r="D551" s="512" t="s">
        <v>45</v>
      </c>
      <c r="E551" s="512">
        <v>0.15</v>
      </c>
      <c r="F551" s="512" t="s">
        <v>45</v>
      </c>
      <c r="G551" s="678">
        <v>0.15</v>
      </c>
      <c r="H551" s="512" t="s">
        <v>45</v>
      </c>
      <c r="I551" s="512">
        <v>1</v>
      </c>
      <c r="J551" s="512" t="s">
        <v>46</v>
      </c>
      <c r="K551" s="512">
        <f t="shared" si="119"/>
        <v>0.35</v>
      </c>
    </row>
    <row r="552" spans="1:11" s="140" customFormat="1" ht="17.25" customHeight="1" x14ac:dyDescent="0.2">
      <c r="A552" s="671"/>
      <c r="B552" s="247" t="s">
        <v>1000</v>
      </c>
      <c r="C552" s="678">
        <f>3.55+4.15</f>
        <v>7.7</v>
      </c>
      <c r="D552" s="512" t="s">
        <v>45</v>
      </c>
      <c r="E552" s="512">
        <v>0.15</v>
      </c>
      <c r="F552" s="512" t="s">
        <v>45</v>
      </c>
      <c r="G552" s="678">
        <v>0.15</v>
      </c>
      <c r="H552" s="512" t="s">
        <v>45</v>
      </c>
      <c r="I552" s="512">
        <v>1</v>
      </c>
      <c r="J552" s="512" t="s">
        <v>46</v>
      </c>
      <c r="K552" s="512">
        <f t="shared" si="119"/>
        <v>0.17</v>
      </c>
    </row>
    <row r="553" spans="1:11" s="140" customFormat="1" ht="17.25" customHeight="1" x14ac:dyDescent="0.2">
      <c r="A553" s="671"/>
      <c r="B553" s="247" t="s">
        <v>1001</v>
      </c>
      <c r="C553" s="678">
        <v>4</v>
      </c>
      <c r="D553" s="512" t="s">
        <v>45</v>
      </c>
      <c r="E553" s="512">
        <v>0.15</v>
      </c>
      <c r="F553" s="512" t="s">
        <v>45</v>
      </c>
      <c r="G553" s="678">
        <v>0.15</v>
      </c>
      <c r="H553" s="512" t="s">
        <v>45</v>
      </c>
      <c r="I553" s="512">
        <v>1</v>
      </c>
      <c r="J553" s="512" t="s">
        <v>46</v>
      </c>
      <c r="K553" s="512">
        <f t="shared" si="119"/>
        <v>0.09</v>
      </c>
    </row>
    <row r="554" spans="1:11" s="140" customFormat="1" ht="17.25" customHeight="1" x14ac:dyDescent="0.2">
      <c r="A554" s="671"/>
      <c r="B554" s="247" t="s">
        <v>1002</v>
      </c>
      <c r="C554" s="678">
        <v>2.1</v>
      </c>
      <c r="D554" s="512" t="s">
        <v>45</v>
      </c>
      <c r="E554" s="512">
        <v>0.15</v>
      </c>
      <c r="F554" s="512" t="s">
        <v>45</v>
      </c>
      <c r="G554" s="678">
        <v>0.15</v>
      </c>
      <c r="H554" s="512" t="s">
        <v>45</v>
      </c>
      <c r="I554" s="512">
        <v>1</v>
      </c>
      <c r="J554" s="512" t="s">
        <v>46</v>
      </c>
      <c r="K554" s="512">
        <f t="shared" si="119"/>
        <v>0.05</v>
      </c>
    </row>
    <row r="555" spans="1:11" s="140" customFormat="1" ht="17.25" customHeight="1" x14ac:dyDescent="0.2">
      <c r="A555" s="671"/>
      <c r="B555" s="247" t="s">
        <v>1003</v>
      </c>
      <c r="C555" s="678">
        <v>2.09</v>
      </c>
      <c r="D555" s="512" t="s">
        <v>45</v>
      </c>
      <c r="E555" s="512">
        <v>0.15</v>
      </c>
      <c r="F555" s="512" t="s">
        <v>45</v>
      </c>
      <c r="G555" s="678">
        <v>0.15</v>
      </c>
      <c r="H555" s="512" t="s">
        <v>45</v>
      </c>
      <c r="I555" s="512">
        <v>1</v>
      </c>
      <c r="J555" s="512" t="s">
        <v>46</v>
      </c>
      <c r="K555" s="512">
        <f t="shared" si="119"/>
        <v>0.05</v>
      </c>
    </row>
    <row r="556" spans="1:11" s="140" customFormat="1" ht="17.25" customHeight="1" x14ac:dyDescent="0.2">
      <c r="A556" s="671"/>
      <c r="B556" s="247" t="s">
        <v>1004</v>
      </c>
      <c r="C556" s="678">
        <v>1.95</v>
      </c>
      <c r="D556" s="512" t="s">
        <v>45</v>
      </c>
      <c r="E556" s="512">
        <v>0.15</v>
      </c>
      <c r="F556" s="512" t="s">
        <v>45</v>
      </c>
      <c r="G556" s="678">
        <v>0.15</v>
      </c>
      <c r="H556" s="512" t="s">
        <v>45</v>
      </c>
      <c r="I556" s="512">
        <v>1</v>
      </c>
      <c r="J556" s="512" t="s">
        <v>46</v>
      </c>
      <c r="K556" s="512">
        <f t="shared" si="119"/>
        <v>0.04</v>
      </c>
    </row>
    <row r="557" spans="1:11" s="140" customFormat="1" ht="17.25" customHeight="1" x14ac:dyDescent="0.2">
      <c r="A557" s="671"/>
      <c r="B557" s="247" t="s">
        <v>1005</v>
      </c>
      <c r="C557" s="678">
        <f>4.3+5.05+2.8+2.95</f>
        <v>15.099999999999998</v>
      </c>
      <c r="D557" s="512" t="s">
        <v>45</v>
      </c>
      <c r="E557" s="512">
        <v>0.15</v>
      </c>
      <c r="F557" s="512" t="s">
        <v>45</v>
      </c>
      <c r="G557" s="678">
        <v>0.15</v>
      </c>
      <c r="H557" s="512" t="s">
        <v>45</v>
      </c>
      <c r="I557" s="512">
        <v>1</v>
      </c>
      <c r="J557" s="512" t="s">
        <v>46</v>
      </c>
      <c r="K557" s="512">
        <f t="shared" si="119"/>
        <v>0.34</v>
      </c>
    </row>
    <row r="558" spans="1:11" s="140" customFormat="1" ht="17.25" customHeight="1" x14ac:dyDescent="0.2">
      <c r="A558" s="671"/>
      <c r="B558" s="247" t="s">
        <v>1006</v>
      </c>
      <c r="C558" s="678">
        <v>3.15</v>
      </c>
      <c r="D558" s="512" t="s">
        <v>45</v>
      </c>
      <c r="E558" s="512">
        <v>0.15</v>
      </c>
      <c r="F558" s="512" t="s">
        <v>45</v>
      </c>
      <c r="G558" s="678">
        <v>0.15</v>
      </c>
      <c r="H558" s="512" t="s">
        <v>45</v>
      </c>
      <c r="I558" s="512">
        <v>1</v>
      </c>
      <c r="J558" s="512" t="s">
        <v>46</v>
      </c>
      <c r="K558" s="512">
        <f t="shared" si="119"/>
        <v>7.0000000000000007E-2</v>
      </c>
    </row>
    <row r="559" spans="1:11" s="140" customFormat="1" ht="17.25" customHeight="1" x14ac:dyDescent="0.2">
      <c r="A559" s="671"/>
      <c r="B559" s="247" t="s">
        <v>1007</v>
      </c>
      <c r="C559" s="678">
        <v>3.05</v>
      </c>
      <c r="D559" s="512" t="s">
        <v>45</v>
      </c>
      <c r="E559" s="512">
        <v>0.15</v>
      </c>
      <c r="F559" s="512" t="s">
        <v>45</v>
      </c>
      <c r="G559" s="678">
        <v>0.15</v>
      </c>
      <c r="H559" s="512" t="s">
        <v>45</v>
      </c>
      <c r="I559" s="512">
        <v>1</v>
      </c>
      <c r="J559" s="512" t="s">
        <v>46</v>
      </c>
      <c r="K559" s="512">
        <f t="shared" si="119"/>
        <v>7.0000000000000007E-2</v>
      </c>
    </row>
    <row r="560" spans="1:11" s="140" customFormat="1" ht="17.25" customHeight="1" x14ac:dyDescent="0.2">
      <c r="A560" s="671"/>
      <c r="B560" s="247" t="s">
        <v>1008</v>
      </c>
      <c r="C560" s="678">
        <v>5.45</v>
      </c>
      <c r="D560" s="512" t="s">
        <v>45</v>
      </c>
      <c r="E560" s="512">
        <v>0.15</v>
      </c>
      <c r="F560" s="512" t="s">
        <v>45</v>
      </c>
      <c r="G560" s="678">
        <v>0.15</v>
      </c>
      <c r="H560" s="512" t="s">
        <v>45</v>
      </c>
      <c r="I560" s="512">
        <v>1</v>
      </c>
      <c r="J560" s="512" t="s">
        <v>46</v>
      </c>
      <c r="K560" s="512">
        <f t="shared" si="119"/>
        <v>0.12</v>
      </c>
    </row>
    <row r="561" spans="1:11" s="140" customFormat="1" ht="17.25" customHeight="1" x14ac:dyDescent="0.2">
      <c r="A561" s="671"/>
      <c r="B561" s="247" t="s">
        <v>1009</v>
      </c>
      <c r="C561" s="678">
        <v>8.1999999999999993</v>
      </c>
      <c r="D561" s="512" t="s">
        <v>45</v>
      </c>
      <c r="E561" s="512">
        <v>0.15</v>
      </c>
      <c r="F561" s="512" t="s">
        <v>45</v>
      </c>
      <c r="G561" s="678">
        <v>0.15</v>
      </c>
      <c r="H561" s="512" t="s">
        <v>45</v>
      </c>
      <c r="I561" s="512">
        <v>1</v>
      </c>
      <c r="J561" s="512" t="s">
        <v>46</v>
      </c>
      <c r="K561" s="512">
        <f t="shared" si="119"/>
        <v>0.18</v>
      </c>
    </row>
    <row r="562" spans="1:11" s="140" customFormat="1" ht="30" customHeight="1" x14ac:dyDescent="0.2">
      <c r="A562" s="671"/>
      <c r="B562" s="247" t="s">
        <v>1011</v>
      </c>
      <c r="C562" s="678">
        <f>4.25+5.05+2.85+2.9+5.2+2.85</f>
        <v>23.1</v>
      </c>
      <c r="D562" s="512" t="s">
        <v>45</v>
      </c>
      <c r="E562" s="512">
        <v>0.15</v>
      </c>
      <c r="F562" s="512" t="s">
        <v>45</v>
      </c>
      <c r="G562" s="678">
        <v>0.15</v>
      </c>
      <c r="H562" s="512" t="s">
        <v>45</v>
      </c>
      <c r="I562" s="512">
        <v>3</v>
      </c>
      <c r="J562" s="512" t="s">
        <v>46</v>
      </c>
      <c r="K562" s="512">
        <f t="shared" si="119"/>
        <v>1.56</v>
      </c>
    </row>
    <row r="563" spans="1:11" s="140" customFormat="1" ht="17.25" customHeight="1" x14ac:dyDescent="0.2">
      <c r="A563" s="671"/>
      <c r="B563" s="247" t="s">
        <v>1010</v>
      </c>
      <c r="C563" s="678">
        <v>3.45</v>
      </c>
      <c r="D563" s="512" t="s">
        <v>45</v>
      </c>
      <c r="E563" s="512">
        <v>0.15</v>
      </c>
      <c r="F563" s="512" t="s">
        <v>45</v>
      </c>
      <c r="G563" s="678">
        <v>0.15</v>
      </c>
      <c r="H563" s="512" t="s">
        <v>45</v>
      </c>
      <c r="I563" s="512">
        <v>1</v>
      </c>
      <c r="J563" s="512" t="s">
        <v>46</v>
      </c>
      <c r="K563" s="512">
        <f t="shared" si="119"/>
        <v>0.08</v>
      </c>
    </row>
    <row r="564" spans="1:11" s="140" customFormat="1" ht="17.25" customHeight="1" x14ac:dyDescent="0.2">
      <c r="A564" s="671"/>
      <c r="B564" s="247" t="s">
        <v>1012</v>
      </c>
      <c r="C564" s="678">
        <v>4.2</v>
      </c>
      <c r="D564" s="512" t="s">
        <v>45</v>
      </c>
      <c r="E564" s="512">
        <v>0.15</v>
      </c>
      <c r="F564" s="512" t="s">
        <v>45</v>
      </c>
      <c r="G564" s="678">
        <v>0.15</v>
      </c>
      <c r="H564" s="512" t="s">
        <v>45</v>
      </c>
      <c r="I564" s="512">
        <v>1</v>
      </c>
      <c r="J564" s="512" t="s">
        <v>46</v>
      </c>
      <c r="K564" s="512">
        <f t="shared" si="119"/>
        <v>0.09</v>
      </c>
    </row>
    <row r="565" spans="1:11" s="140" customFormat="1" ht="17.25" customHeight="1" x14ac:dyDescent="0.2">
      <c r="A565" s="671"/>
      <c r="B565" s="247" t="s">
        <v>1013</v>
      </c>
      <c r="C565" s="678">
        <v>2.8</v>
      </c>
      <c r="D565" s="512" t="s">
        <v>45</v>
      </c>
      <c r="E565" s="512">
        <v>0.15</v>
      </c>
      <c r="F565" s="512" t="s">
        <v>45</v>
      </c>
      <c r="G565" s="678">
        <v>0.15</v>
      </c>
      <c r="H565" s="512" t="s">
        <v>45</v>
      </c>
      <c r="I565" s="512">
        <v>1</v>
      </c>
      <c r="J565" s="512" t="s">
        <v>46</v>
      </c>
      <c r="K565" s="512">
        <f t="shared" si="119"/>
        <v>0.06</v>
      </c>
    </row>
    <row r="566" spans="1:11" s="21" customFormat="1" ht="12" customHeight="1" x14ac:dyDescent="0.2">
      <c r="A566" s="529"/>
      <c r="B566" s="670"/>
      <c r="C566" s="670"/>
      <c r="D566" s="670"/>
      <c r="E566" s="670"/>
      <c r="F566" s="670"/>
      <c r="G566" s="670"/>
      <c r="H566" s="670"/>
      <c r="I566" s="670"/>
    </row>
    <row r="567" spans="1:11" s="140" customFormat="1" ht="15.75" customHeight="1" x14ac:dyDescent="0.2">
      <c r="A567" s="671"/>
      <c r="B567" s="690" t="s">
        <v>47</v>
      </c>
      <c r="C567" s="691">
        <f>ROUND(SUM(K539:K565),2)</f>
        <v>5.53</v>
      </c>
      <c r="D567" s="692" t="s">
        <v>497</v>
      </c>
      <c r="E567" s="672"/>
      <c r="F567" s="672"/>
      <c r="G567" s="672"/>
      <c r="H567" s="672"/>
      <c r="I567" s="672"/>
    </row>
    <row r="568" spans="1:11" s="21" customFormat="1" x14ac:dyDescent="0.2"/>
    <row r="569" spans="1:11" s="481" customFormat="1" x14ac:dyDescent="0.2">
      <c r="C569" s="693" t="s">
        <v>415</v>
      </c>
      <c r="D569" s="694"/>
      <c r="E569" s="693" t="s">
        <v>1081</v>
      </c>
      <c r="F569" s="425"/>
      <c r="G569" s="425" t="s">
        <v>312</v>
      </c>
    </row>
    <row r="570" spans="1:11" s="140" customFormat="1" ht="27.75" customHeight="1" x14ac:dyDescent="0.2">
      <c r="A570" s="671"/>
      <c r="B570" s="1" t="s">
        <v>1080</v>
      </c>
      <c r="C570" s="678">
        <f>C25</f>
        <v>83.01</v>
      </c>
      <c r="D570" s="491" t="s">
        <v>615</v>
      </c>
      <c r="E570" s="678">
        <f>C266</f>
        <v>11.09</v>
      </c>
      <c r="F570" s="512" t="s">
        <v>46</v>
      </c>
      <c r="G570" s="512">
        <f>ROUND(C570+E570,2)</f>
        <v>94.1</v>
      </c>
      <c r="H570" s="672"/>
      <c r="I570" s="672"/>
    </row>
    <row r="571" spans="1:11" s="21" customFormat="1" x14ac:dyDescent="0.2">
      <c r="B571" s="572"/>
      <c r="C571" s="572"/>
      <c r="D571" s="572"/>
      <c r="E571" s="572"/>
    </row>
    <row r="572" spans="1:11" s="21" customFormat="1" x14ac:dyDescent="0.2">
      <c r="C572" s="1728" t="s">
        <v>1083</v>
      </c>
      <c r="D572" s="1728"/>
      <c r="E572" s="1728"/>
      <c r="F572" s="1728"/>
      <c r="G572" s="1728"/>
    </row>
    <row r="573" spans="1:11" s="21" customFormat="1" ht="15" customHeight="1" x14ac:dyDescent="0.2">
      <c r="C573" s="693" t="s">
        <v>415</v>
      </c>
      <c r="D573" s="694"/>
      <c r="E573" s="693" t="s">
        <v>1081</v>
      </c>
      <c r="F573" s="425"/>
      <c r="G573" s="425" t="s">
        <v>312</v>
      </c>
    </row>
    <row r="574" spans="1:11" s="21" customFormat="1" ht="25.5" x14ac:dyDescent="0.2">
      <c r="B574" s="84" t="s">
        <v>1082</v>
      </c>
      <c r="C574" s="678">
        <f>0.03*C38</f>
        <v>1.6281000000000001</v>
      </c>
      <c r="D574" s="491" t="s">
        <v>615</v>
      </c>
      <c r="E574" s="678">
        <f>0.03*C299</f>
        <v>1.8452999999999999</v>
      </c>
      <c r="F574" s="512" t="s">
        <v>46</v>
      </c>
      <c r="G574" s="512">
        <f>ROUND(C574+E574,2)</f>
        <v>3.47</v>
      </c>
    </row>
    <row r="575" spans="1:11" s="21" customFormat="1" x14ac:dyDescent="0.2"/>
    <row r="576" spans="1:11" s="21" customFormat="1" x14ac:dyDescent="0.2">
      <c r="C576" s="1728" t="s">
        <v>1084</v>
      </c>
      <c r="D576" s="1728"/>
      <c r="E576" s="1728"/>
      <c r="F576" s="1728"/>
      <c r="G576" s="1728"/>
      <c r="H576" s="1728"/>
      <c r="I576" s="1728"/>
    </row>
    <row r="577" spans="2:9" s="21" customFormat="1" x14ac:dyDescent="0.2">
      <c r="C577" s="693" t="s">
        <v>415</v>
      </c>
      <c r="D577" s="694"/>
      <c r="E577" s="693" t="s">
        <v>1085</v>
      </c>
      <c r="F577" s="694"/>
      <c r="G577" s="693" t="s">
        <v>1081</v>
      </c>
      <c r="H577" s="425"/>
      <c r="I577" s="425" t="s">
        <v>312</v>
      </c>
    </row>
    <row r="578" spans="2:9" s="21" customFormat="1" ht="25.5" x14ac:dyDescent="0.2">
      <c r="B578" s="84" t="s">
        <v>1082</v>
      </c>
      <c r="C578" s="678">
        <f>C91</f>
        <v>13.79</v>
      </c>
      <c r="D578" s="491" t="s">
        <v>615</v>
      </c>
      <c r="E578" s="678">
        <f>C149</f>
        <v>1.66</v>
      </c>
      <c r="F578" s="491" t="s">
        <v>615</v>
      </c>
      <c r="G578" s="678">
        <f>C567</f>
        <v>5.53</v>
      </c>
      <c r="H578" s="512" t="s">
        <v>46</v>
      </c>
      <c r="I578" s="512">
        <f>ROUND(C578+E578+G578,2)</f>
        <v>20.98</v>
      </c>
    </row>
    <row r="579" spans="2:9" s="21" customFormat="1" x14ac:dyDescent="0.2"/>
    <row r="580" spans="2:9" s="695" customFormat="1" ht="27" customHeight="1" x14ac:dyDescent="0.2">
      <c r="B580" s="45" t="s">
        <v>1087</v>
      </c>
      <c r="C580" s="45"/>
      <c r="D580" s="45" t="s">
        <v>1088</v>
      </c>
      <c r="E580" s="45"/>
      <c r="F580" s="45" t="s">
        <v>1089</v>
      </c>
      <c r="G580" s="45"/>
      <c r="H580" s="45" t="s">
        <v>312</v>
      </c>
    </row>
    <row r="581" spans="2:9" s="602" customFormat="1" ht="18" customHeight="1" x14ac:dyDescent="0.2">
      <c r="B581" s="696">
        <f>G570</f>
        <v>94.1</v>
      </c>
      <c r="C581" s="541" t="s">
        <v>215</v>
      </c>
      <c r="D581" s="696">
        <f>G574</f>
        <v>3.47</v>
      </c>
      <c r="E581" s="541" t="s">
        <v>215</v>
      </c>
      <c r="F581" s="696">
        <f>I578</f>
        <v>20.98</v>
      </c>
      <c r="G581" s="541" t="s">
        <v>46</v>
      </c>
      <c r="H581" s="541">
        <f>ROUND(B581-D581-F581,2)</f>
        <v>69.650000000000006</v>
      </c>
    </row>
    <row r="582" spans="2:9" s="21" customFormat="1" x14ac:dyDescent="0.2"/>
  </sheetData>
  <mergeCells count="107">
    <mergeCell ref="B527:E527"/>
    <mergeCell ref="B2:I2"/>
    <mergeCell ref="H3:I3"/>
    <mergeCell ref="A7:B7"/>
    <mergeCell ref="C7:D7"/>
    <mergeCell ref="E7:F7"/>
    <mergeCell ref="A3:B3"/>
    <mergeCell ref="A4:B4"/>
    <mergeCell ref="G7:K7"/>
    <mergeCell ref="A5:B5"/>
    <mergeCell ref="A6:B6"/>
    <mergeCell ref="C6:D6"/>
    <mergeCell ref="E6:F6"/>
    <mergeCell ref="J3:K3"/>
    <mergeCell ref="C3:G3"/>
    <mergeCell ref="C4:K4"/>
    <mergeCell ref="G6:K6"/>
    <mergeCell ref="C5:K5"/>
    <mergeCell ref="B80:K80"/>
    <mergeCell ref="B118:K118"/>
    <mergeCell ref="B13:F13"/>
    <mergeCell ref="A8:K8"/>
    <mergeCell ref="A9:K9"/>
    <mergeCell ref="A10:K10"/>
    <mergeCell ref="B234:K234"/>
    <mergeCell ref="B268:K268"/>
    <mergeCell ref="B14:K14"/>
    <mergeCell ref="B27:K27"/>
    <mergeCell ref="B40:K40"/>
    <mergeCell ref="B98:K98"/>
    <mergeCell ref="B53:K53"/>
    <mergeCell ref="B70:K70"/>
    <mergeCell ref="B56:B57"/>
    <mergeCell ref="B101:B102"/>
    <mergeCell ref="B103:B104"/>
    <mergeCell ref="B301:K301"/>
    <mergeCell ref="B334:K334"/>
    <mergeCell ref="B73:B74"/>
    <mergeCell ref="B58:B59"/>
    <mergeCell ref="B61:B62"/>
    <mergeCell ref="B63:B64"/>
    <mergeCell ref="B227:K227"/>
    <mergeCell ref="B119:K119"/>
    <mergeCell ref="B135:K135"/>
    <mergeCell ref="B156:K156"/>
    <mergeCell ref="B203:K203"/>
    <mergeCell ref="B174:K174"/>
    <mergeCell ref="B194:K194"/>
    <mergeCell ref="B221:B222"/>
    <mergeCell ref="B95:E95"/>
    <mergeCell ref="B151:K151"/>
    <mergeCell ref="B153:E153"/>
    <mergeCell ref="B105:B106"/>
    <mergeCell ref="B107:B108"/>
    <mergeCell ref="B109:B110"/>
    <mergeCell ref="B111:B112"/>
    <mergeCell ref="B113:B114"/>
    <mergeCell ref="B93:K93"/>
    <mergeCell ref="B233:K233"/>
    <mergeCell ref="B372:B373"/>
    <mergeCell ref="B374:B375"/>
    <mergeCell ref="B376:B377"/>
    <mergeCell ref="B378:B381"/>
    <mergeCell ref="B382:B384"/>
    <mergeCell ref="B492:K492"/>
    <mergeCell ref="B530:K530"/>
    <mergeCell ref="B535:K535"/>
    <mergeCell ref="B337:B340"/>
    <mergeCell ref="B341:B342"/>
    <mergeCell ref="B343:B346"/>
    <mergeCell ref="B347:B348"/>
    <mergeCell ref="B349:B353"/>
    <mergeCell ref="B354:B355"/>
    <mergeCell ref="B357:B358"/>
    <mergeCell ref="B360:B362"/>
    <mergeCell ref="B363:B364"/>
    <mergeCell ref="B365:B367"/>
    <mergeCell ref="B368:B371"/>
    <mergeCell ref="B406:K406"/>
    <mergeCell ref="B457:K457"/>
    <mergeCell ref="B471:K471"/>
    <mergeCell ref="B479:K479"/>
    <mergeCell ref="B420:B423"/>
    <mergeCell ref="B463:B465"/>
    <mergeCell ref="C572:G572"/>
    <mergeCell ref="C576:I576"/>
    <mergeCell ref="B399:B401"/>
    <mergeCell ref="B409:B411"/>
    <mergeCell ref="B412:B413"/>
    <mergeCell ref="B414:B415"/>
    <mergeCell ref="B416:B419"/>
    <mergeCell ref="B385:B387"/>
    <mergeCell ref="B388:B389"/>
    <mergeCell ref="B390:B394"/>
    <mergeCell ref="B395:B396"/>
    <mergeCell ref="B397:B398"/>
    <mergeCell ref="B424:B425"/>
    <mergeCell ref="B426:B428"/>
    <mergeCell ref="B429:B432"/>
    <mergeCell ref="B433:B434"/>
    <mergeCell ref="B435:B437"/>
    <mergeCell ref="B438:B441"/>
    <mergeCell ref="B442:B444"/>
    <mergeCell ref="B445:B446"/>
    <mergeCell ref="B447:B452"/>
    <mergeCell ref="B461:B462"/>
    <mergeCell ref="B525:K525"/>
  </mergeCells>
  <phoneticPr fontId="22" type="noConversion"/>
  <pageMargins left="0.511811024" right="0.511811024" top="0.78740157499999996" bottom="0.78740157499999996" header="0.31496062000000002" footer="0.31496062000000002"/>
  <pageSetup paperSize="9" scale="79" fitToHeight="0" orientation="portrait" r:id="rId1"/>
  <rowBreaks count="11" manualBreakCount="11">
    <brk id="38" max="10" man="1"/>
    <brk id="79" max="10" man="1"/>
    <brk id="117" max="10" man="1"/>
    <brk id="155" max="10" man="1"/>
    <brk id="232" max="10" man="1"/>
    <brk id="267" max="10" man="1"/>
    <brk id="300" max="10" man="1"/>
    <brk id="333" max="10" man="1"/>
    <brk id="394" max="10" man="1"/>
    <brk id="491" max="10" man="1"/>
    <brk id="534"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7"/>
  <sheetViews>
    <sheetView showGridLines="0" view="pageBreakPreview" topLeftCell="A139" zoomScale="90" zoomScaleSheetLayoutView="90" workbookViewId="0">
      <selection activeCell="A11" sqref="A11:J11"/>
    </sheetView>
  </sheetViews>
  <sheetFormatPr defaultColWidth="9.140625" defaultRowHeight="12.75" x14ac:dyDescent="0.2"/>
  <cols>
    <col min="1" max="1" width="9.7109375" style="266" customWidth="1"/>
    <col min="2" max="2" width="13.5703125" style="266" customWidth="1"/>
    <col min="3" max="3" width="15.140625" style="266" customWidth="1"/>
    <col min="4" max="4" width="12.7109375" style="266" customWidth="1"/>
    <col min="5" max="5" width="20.85546875" style="266" customWidth="1"/>
    <col min="6" max="6" width="18" style="266" customWidth="1"/>
    <col min="7" max="7" width="13.28515625" style="266" customWidth="1"/>
    <col min="8" max="8" width="22.28515625" style="266" customWidth="1"/>
    <col min="9" max="9" width="15.85546875" style="266" customWidth="1"/>
    <col min="10" max="16384" width="9.140625" style="266"/>
  </cols>
  <sheetData>
    <row r="1" spans="1:12" s="21" customFormat="1" x14ac:dyDescent="0.2">
      <c r="B1" s="1307"/>
      <c r="C1" s="1307"/>
      <c r="D1" s="1307"/>
      <c r="E1" s="1307"/>
      <c r="F1" s="1307"/>
      <c r="G1" s="1307"/>
      <c r="H1" s="1307"/>
      <c r="I1" s="1307"/>
    </row>
    <row r="2" spans="1:12" s="21" customFormat="1" ht="69.95" customHeight="1" x14ac:dyDescent="0.2">
      <c r="A2" s="700"/>
      <c r="B2" s="1365"/>
      <c r="C2" s="1365"/>
      <c r="D2" s="1365"/>
      <c r="E2" s="1365"/>
      <c r="F2" s="1365"/>
      <c r="G2" s="1365"/>
      <c r="H2" s="1365"/>
      <c r="I2" s="1307"/>
      <c r="J2" s="218"/>
    </row>
    <row r="3" spans="1:12" s="21" customFormat="1" ht="17.25" customHeight="1" x14ac:dyDescent="0.2">
      <c r="A3" s="1749" t="s">
        <v>79</v>
      </c>
      <c r="B3" s="1317"/>
      <c r="C3" s="1321" t="str">
        <f>ORÇ!B2</f>
        <v>PREFEITURA MUNICIPAL DE OURÉM</v>
      </c>
      <c r="D3" s="1738"/>
      <c r="E3" s="1738"/>
      <c r="F3" s="1738"/>
      <c r="G3" s="1322"/>
      <c r="H3" s="278" t="s">
        <v>85</v>
      </c>
      <c r="I3" s="1754" t="str">
        <f>ORÇ!I2</f>
        <v>OURÉM/PA</v>
      </c>
      <c r="J3" s="1754"/>
    </row>
    <row r="4" spans="1:12" s="21" customFormat="1" ht="17.25" customHeight="1" x14ac:dyDescent="0.2">
      <c r="A4" s="1749" t="s">
        <v>80</v>
      </c>
      <c r="B4" s="1317"/>
      <c r="C4" s="1684" t="str">
        <f>ORÇ!B3</f>
        <v>CONSTRUÇÃO DO CENTRO DE FISIOTERAPIA, NO MUNICÍPIO DE OURÉM/PA</v>
      </c>
      <c r="D4" s="1684"/>
      <c r="E4" s="1684"/>
      <c r="F4" s="1684"/>
      <c r="G4" s="1684"/>
      <c r="H4" s="1684"/>
      <c r="I4" s="1684"/>
      <c r="J4" s="1684"/>
    </row>
    <row r="5" spans="1:12" s="21" customFormat="1" ht="17.25" customHeight="1" x14ac:dyDescent="0.2">
      <c r="A5" s="1749" t="s">
        <v>161</v>
      </c>
      <c r="B5" s="1317"/>
      <c r="C5" s="1681" t="str">
        <f>ORÇ!B4</f>
        <v>AV. PADRE ANGELO MORETTE, S/Nº - OURÉM/PA</v>
      </c>
      <c r="D5" s="1681"/>
      <c r="E5" s="1681"/>
      <c r="F5" s="1681"/>
      <c r="G5" s="1681"/>
      <c r="H5" s="1681"/>
      <c r="I5" s="1681"/>
      <c r="J5" s="1681"/>
    </row>
    <row r="6" spans="1:12" s="21" customFormat="1" ht="27.75" customHeight="1" x14ac:dyDescent="0.2">
      <c r="A6" s="1310" t="s">
        <v>81</v>
      </c>
      <c r="B6" s="1311"/>
      <c r="C6" s="1312">
        <f>ORÇ!B5</f>
        <v>0.2881986483454233</v>
      </c>
      <c r="D6" s="1680"/>
      <c r="E6" s="1342" t="s">
        <v>169</v>
      </c>
      <c r="F6" s="1343"/>
      <c r="G6" s="1482" t="str">
        <f>ORÇ!G5</f>
        <v>SINAPI FEVEREIRO 2022 - DESONERADA                                 SEDOP FEVEREIRO 2022 - DESONERADA</v>
      </c>
      <c r="H6" s="1482"/>
      <c r="I6" s="1482"/>
      <c r="J6" s="1482"/>
    </row>
    <row r="7" spans="1:12" s="21" customFormat="1" x14ac:dyDescent="0.2">
      <c r="A7" s="1749" t="s">
        <v>82</v>
      </c>
      <c r="B7" s="1317"/>
      <c r="C7" s="1672" t="str">
        <f>ORÇ!B6</f>
        <v>MARUZA BAPTISTA</v>
      </c>
      <c r="D7" s="1673"/>
      <c r="E7" s="1342" t="s">
        <v>170</v>
      </c>
      <c r="F7" s="1343"/>
      <c r="G7" s="1344" t="str">
        <f>ORÇ!G7</f>
        <v>CAU: 28510-2 A</v>
      </c>
      <c r="H7" s="1344"/>
      <c r="I7" s="1344"/>
      <c r="J7" s="1344"/>
    </row>
    <row r="8" spans="1:12" s="458" customFormat="1" ht="13.5" thickBot="1" x14ac:dyDescent="0.25">
      <c r="A8" s="304"/>
      <c r="B8" s="304"/>
      <c r="C8" s="305"/>
      <c r="D8" s="305"/>
      <c r="E8" s="306"/>
      <c r="F8" s="306"/>
      <c r="G8" s="306"/>
      <c r="H8" s="306"/>
      <c r="I8" s="306"/>
      <c r="J8" s="306"/>
    </row>
    <row r="9" spans="1:12" ht="20.25" customHeight="1" thickBot="1" x14ac:dyDescent="0.25">
      <c r="A9" s="1674" t="str">
        <f>CONCATENATE("MEMÓRIA DE CÁLCULO ",ORÇ!A61)</f>
        <v>MEMÓRIA DE CÁLCULO 5</v>
      </c>
      <c r="B9" s="1675"/>
      <c r="C9" s="1675"/>
      <c r="D9" s="1675"/>
      <c r="E9" s="1675"/>
      <c r="F9" s="1675"/>
      <c r="G9" s="1675"/>
      <c r="H9" s="1675"/>
      <c r="I9" s="1675"/>
      <c r="J9" s="1676"/>
    </row>
    <row r="10" spans="1:12" ht="15.75" customHeight="1" x14ac:dyDescent="0.2">
      <c r="A10" s="1752" t="str">
        <f>ORÇ!D61</f>
        <v>Superestrutura</v>
      </c>
      <c r="B10" s="1753"/>
      <c r="C10" s="1753"/>
      <c r="D10" s="1753"/>
      <c r="E10" s="1753"/>
      <c r="F10" s="1753"/>
      <c r="G10" s="1753"/>
      <c r="H10" s="1753"/>
      <c r="I10" s="1753"/>
      <c r="J10" s="1753"/>
    </row>
    <row r="11" spans="1:12" x14ac:dyDescent="0.2">
      <c r="L11" s="458"/>
    </row>
    <row r="12" spans="1:12" x14ac:dyDescent="0.2">
      <c r="B12" s="148">
        <f>ORÇ!A61</f>
        <v>5</v>
      </c>
      <c r="C12" s="147" t="str">
        <f>ORÇ!D61</f>
        <v>Superestrutura</v>
      </c>
    </row>
    <row r="13" spans="1:12" x14ac:dyDescent="0.2">
      <c r="B13" s="148" t="str">
        <f>ORÇ!A62</f>
        <v>5.1</v>
      </c>
      <c r="C13" s="1751" t="str">
        <f>ORÇ!D62</f>
        <v>Pilares</v>
      </c>
      <c r="D13" s="1751"/>
      <c r="E13" s="1751"/>
    </row>
    <row r="14" spans="1:12" s="629" customFormat="1" ht="16.5" customHeight="1" x14ac:dyDescent="0.2">
      <c r="B14" s="148" t="str">
        <f>ORÇ!A63</f>
        <v>5.1.1</v>
      </c>
      <c r="C14" s="1750" t="str">
        <f>ORÇ!D63</f>
        <v>FORMAS PARA CONCRETO EM CHAPA DE MADEIRA COMPENSADA RESINADA E=15MM (REAP 2X)</v>
      </c>
      <c r="D14" s="1750"/>
      <c r="E14" s="1750"/>
      <c r="F14" s="1750"/>
      <c r="G14" s="1750"/>
      <c r="H14" s="1750"/>
    </row>
    <row r="15" spans="1:12" x14ac:dyDescent="0.2">
      <c r="B15" s="717"/>
      <c r="C15" s="717"/>
      <c r="D15" s="717"/>
      <c r="E15" s="717"/>
      <c r="F15" s="717"/>
      <c r="G15" s="717"/>
      <c r="H15" s="717"/>
      <c r="I15" s="717"/>
    </row>
    <row r="16" spans="1:12" s="602" customFormat="1" ht="17.25" customHeight="1" x14ac:dyDescent="0.2">
      <c r="A16" s="671"/>
      <c r="B16" s="512" t="s">
        <v>616</v>
      </c>
      <c r="C16" s="512" t="s">
        <v>897</v>
      </c>
      <c r="D16" s="512"/>
      <c r="E16" s="512" t="s">
        <v>898</v>
      </c>
      <c r="F16" s="512"/>
      <c r="G16" s="512" t="s">
        <v>311</v>
      </c>
      <c r="H16" s="512" t="s">
        <v>469</v>
      </c>
      <c r="I16" s="512"/>
      <c r="J16" s="512" t="s">
        <v>213</v>
      </c>
    </row>
    <row r="17" spans="1:10" s="246" customFormat="1" ht="16.5" customHeight="1" x14ac:dyDescent="0.2">
      <c r="A17" s="225"/>
      <c r="B17" s="1745" t="s">
        <v>1098</v>
      </c>
      <c r="C17" s="1746"/>
      <c r="D17" s="1746"/>
      <c r="E17" s="1746"/>
      <c r="F17" s="1746"/>
      <c r="G17" s="1746"/>
      <c r="H17" s="1746"/>
      <c r="I17" s="1746"/>
      <c r="J17" s="1747"/>
    </row>
    <row r="18" spans="1:10" s="602" customFormat="1" ht="30.75" customHeight="1" x14ac:dyDescent="0.2">
      <c r="A18" s="671"/>
      <c r="B18" s="247" t="s">
        <v>1100</v>
      </c>
      <c r="C18" s="512">
        <f>0.25*2</f>
        <v>0.5</v>
      </c>
      <c r="D18" s="512" t="s">
        <v>615</v>
      </c>
      <c r="E18" s="512">
        <f>2*0.15</f>
        <v>0.3</v>
      </c>
      <c r="F18" s="512" t="s">
        <v>45</v>
      </c>
      <c r="G18" s="512">
        <v>3</v>
      </c>
      <c r="H18" s="512">
        <v>6</v>
      </c>
      <c r="I18" s="512" t="s">
        <v>46</v>
      </c>
      <c r="J18" s="512">
        <f t="shared" ref="J18:J28" si="0">ROUND((C18+E18)*G18*H18,2)</f>
        <v>14.4</v>
      </c>
    </row>
    <row r="19" spans="1:10" s="140" customFormat="1" ht="15.75" customHeight="1" x14ac:dyDescent="0.2">
      <c r="A19" s="671"/>
      <c r="B19" s="247" t="s">
        <v>1099</v>
      </c>
      <c r="C19" s="678">
        <f>2*0.3</f>
        <v>0.6</v>
      </c>
      <c r="D19" s="512" t="s">
        <v>615</v>
      </c>
      <c r="E19" s="512">
        <f t="shared" ref="E19:E24" si="1">2*0.15</f>
        <v>0.3</v>
      </c>
      <c r="F19" s="512" t="s">
        <v>45</v>
      </c>
      <c r="G19" s="512">
        <v>3</v>
      </c>
      <c r="H19" s="512">
        <v>2</v>
      </c>
      <c r="I19" s="512" t="s">
        <v>46</v>
      </c>
      <c r="J19" s="512">
        <f t="shared" si="0"/>
        <v>5.4</v>
      </c>
    </row>
    <row r="20" spans="1:10" s="140" customFormat="1" ht="17.25" customHeight="1" x14ac:dyDescent="0.2">
      <c r="A20" s="671"/>
      <c r="B20" s="247" t="s">
        <v>1101</v>
      </c>
      <c r="C20" s="512">
        <f>0.25*2</f>
        <v>0.5</v>
      </c>
      <c r="D20" s="512" t="s">
        <v>615</v>
      </c>
      <c r="E20" s="512">
        <f>2*0.15</f>
        <v>0.3</v>
      </c>
      <c r="F20" s="512" t="s">
        <v>45</v>
      </c>
      <c r="G20" s="512">
        <v>3</v>
      </c>
      <c r="H20" s="512">
        <v>2</v>
      </c>
      <c r="I20" s="512" t="s">
        <v>46</v>
      </c>
      <c r="J20" s="512">
        <f t="shared" si="0"/>
        <v>4.8</v>
      </c>
    </row>
    <row r="21" spans="1:10" s="140" customFormat="1" ht="17.25" customHeight="1" x14ac:dyDescent="0.2">
      <c r="A21" s="671"/>
      <c r="B21" s="247" t="s">
        <v>1102</v>
      </c>
      <c r="C21" s="678">
        <f>2*0.3</f>
        <v>0.6</v>
      </c>
      <c r="D21" s="512" t="s">
        <v>615</v>
      </c>
      <c r="E21" s="512">
        <f t="shared" si="1"/>
        <v>0.3</v>
      </c>
      <c r="F21" s="512" t="s">
        <v>45</v>
      </c>
      <c r="G21" s="512">
        <v>3</v>
      </c>
      <c r="H21" s="512">
        <v>2</v>
      </c>
      <c r="I21" s="512" t="s">
        <v>46</v>
      </c>
      <c r="J21" s="512">
        <f t="shared" si="0"/>
        <v>5.4</v>
      </c>
    </row>
    <row r="22" spans="1:10" s="140" customFormat="1" ht="17.25" customHeight="1" x14ac:dyDescent="0.2">
      <c r="A22" s="671"/>
      <c r="B22" s="247" t="s">
        <v>1103</v>
      </c>
      <c r="C22" s="512">
        <f>0.25*2</f>
        <v>0.5</v>
      </c>
      <c r="D22" s="512" t="s">
        <v>615</v>
      </c>
      <c r="E22" s="512">
        <f>2*0.15</f>
        <v>0.3</v>
      </c>
      <c r="F22" s="512" t="s">
        <v>45</v>
      </c>
      <c r="G22" s="512">
        <v>3</v>
      </c>
      <c r="H22" s="512">
        <v>5</v>
      </c>
      <c r="I22" s="512" t="s">
        <v>46</v>
      </c>
      <c r="J22" s="512">
        <f t="shared" si="0"/>
        <v>12</v>
      </c>
    </row>
    <row r="23" spans="1:10" s="140" customFormat="1" ht="17.25" customHeight="1" x14ac:dyDescent="0.2">
      <c r="A23" s="671"/>
      <c r="B23" s="247" t="s">
        <v>959</v>
      </c>
      <c r="C23" s="678">
        <f>2*0.3</f>
        <v>0.6</v>
      </c>
      <c r="D23" s="512" t="s">
        <v>615</v>
      </c>
      <c r="E23" s="512">
        <f t="shared" si="1"/>
        <v>0.3</v>
      </c>
      <c r="F23" s="512" t="s">
        <v>45</v>
      </c>
      <c r="G23" s="512">
        <v>3</v>
      </c>
      <c r="H23" s="512">
        <v>1</v>
      </c>
      <c r="I23" s="512" t="s">
        <v>46</v>
      </c>
      <c r="J23" s="512">
        <f t="shared" si="0"/>
        <v>2.7</v>
      </c>
    </row>
    <row r="24" spans="1:10" s="140" customFormat="1" ht="15" customHeight="1" x14ac:dyDescent="0.2">
      <c r="A24" s="671"/>
      <c r="B24" s="247" t="s">
        <v>960</v>
      </c>
      <c r="C24" s="678">
        <f>2*0.3</f>
        <v>0.6</v>
      </c>
      <c r="D24" s="512" t="s">
        <v>615</v>
      </c>
      <c r="E24" s="512">
        <f t="shared" si="1"/>
        <v>0.3</v>
      </c>
      <c r="F24" s="512" t="s">
        <v>45</v>
      </c>
      <c r="G24" s="512">
        <v>3</v>
      </c>
      <c r="H24" s="512">
        <v>1</v>
      </c>
      <c r="I24" s="512" t="s">
        <v>46</v>
      </c>
      <c r="J24" s="512">
        <f t="shared" si="0"/>
        <v>2.7</v>
      </c>
    </row>
    <row r="25" spans="1:10" s="140" customFormat="1" ht="27.75" customHeight="1" x14ac:dyDescent="0.2">
      <c r="A25" s="671"/>
      <c r="B25" s="247" t="s">
        <v>1104</v>
      </c>
      <c r="C25" s="512">
        <f>0.25*2</f>
        <v>0.5</v>
      </c>
      <c r="D25" s="512" t="s">
        <v>615</v>
      </c>
      <c r="E25" s="512">
        <f>2*0.15</f>
        <v>0.3</v>
      </c>
      <c r="F25" s="512" t="s">
        <v>45</v>
      </c>
      <c r="G25" s="512">
        <v>3</v>
      </c>
      <c r="H25" s="512">
        <v>6</v>
      </c>
      <c r="I25" s="512" t="s">
        <v>46</v>
      </c>
      <c r="J25" s="512">
        <f t="shared" si="0"/>
        <v>14.4</v>
      </c>
    </row>
    <row r="26" spans="1:10" s="140" customFormat="1" ht="19.5" customHeight="1" x14ac:dyDescent="0.2">
      <c r="A26" s="671"/>
      <c r="B26" s="247" t="s">
        <v>1105</v>
      </c>
      <c r="C26" s="512">
        <f>0.25*2</f>
        <v>0.5</v>
      </c>
      <c r="D26" s="512" t="s">
        <v>615</v>
      </c>
      <c r="E26" s="512">
        <f>2*0.15</f>
        <v>0.3</v>
      </c>
      <c r="F26" s="512" t="s">
        <v>45</v>
      </c>
      <c r="G26" s="512">
        <v>3</v>
      </c>
      <c r="H26" s="512">
        <v>2</v>
      </c>
      <c r="I26" s="512" t="s">
        <v>46</v>
      </c>
      <c r="J26" s="512">
        <f t="shared" si="0"/>
        <v>4.8</v>
      </c>
    </row>
    <row r="27" spans="1:10" s="140" customFormat="1" ht="19.5" customHeight="1" x14ac:dyDescent="0.2">
      <c r="A27" s="671"/>
      <c r="B27" s="247" t="s">
        <v>1106</v>
      </c>
      <c r="C27" s="678">
        <f>2*0.3</f>
        <v>0.6</v>
      </c>
      <c r="D27" s="512" t="s">
        <v>615</v>
      </c>
      <c r="E27" s="512">
        <f t="shared" ref="E27" si="2">2*0.15</f>
        <v>0.3</v>
      </c>
      <c r="F27" s="512" t="s">
        <v>45</v>
      </c>
      <c r="G27" s="512">
        <v>3</v>
      </c>
      <c r="H27" s="512">
        <v>3</v>
      </c>
      <c r="I27" s="512" t="s">
        <v>46</v>
      </c>
      <c r="J27" s="512">
        <f t="shared" si="0"/>
        <v>8.1</v>
      </c>
    </row>
    <row r="28" spans="1:10" s="140" customFormat="1" ht="19.5" customHeight="1" x14ac:dyDescent="0.2">
      <c r="A28" s="671"/>
      <c r="B28" s="247" t="s">
        <v>1107</v>
      </c>
      <c r="C28" s="512">
        <f>0.25*2</f>
        <v>0.5</v>
      </c>
      <c r="D28" s="512" t="s">
        <v>615</v>
      </c>
      <c r="E28" s="512">
        <f>2*0.15</f>
        <v>0.3</v>
      </c>
      <c r="F28" s="512" t="s">
        <v>45</v>
      </c>
      <c r="G28" s="512">
        <v>3</v>
      </c>
      <c r="H28" s="512">
        <v>6</v>
      </c>
      <c r="I28" s="512" t="s">
        <v>46</v>
      </c>
      <c r="J28" s="512">
        <f t="shared" si="0"/>
        <v>14.4</v>
      </c>
    </row>
    <row r="29" spans="1:10" s="246" customFormat="1" ht="16.5" customHeight="1" x14ac:dyDescent="0.2">
      <c r="A29" s="225"/>
      <c r="B29" s="1745" t="s">
        <v>1108</v>
      </c>
      <c r="C29" s="1746"/>
      <c r="D29" s="1746"/>
      <c r="E29" s="1746"/>
      <c r="F29" s="1746"/>
      <c r="G29" s="1746"/>
      <c r="H29" s="1746"/>
      <c r="I29" s="1746"/>
      <c r="J29" s="1747"/>
    </row>
    <row r="30" spans="1:10" s="140" customFormat="1" ht="30" customHeight="1" x14ac:dyDescent="0.2">
      <c r="A30" s="671"/>
      <c r="B30" s="247" t="s">
        <v>1110</v>
      </c>
      <c r="C30" s="512">
        <f>0.25*2</f>
        <v>0.5</v>
      </c>
      <c r="D30" s="512" t="s">
        <v>615</v>
      </c>
      <c r="E30" s="512">
        <f>2*0.15</f>
        <v>0.3</v>
      </c>
      <c r="F30" s="512" t="s">
        <v>45</v>
      </c>
      <c r="G30" s="512">
        <v>1</v>
      </c>
      <c r="H30" s="512">
        <v>5</v>
      </c>
      <c r="I30" s="512" t="s">
        <v>46</v>
      </c>
      <c r="J30" s="512">
        <f t="shared" ref="J30:J37" si="3">ROUND((C30+E30)*G30*H30,2)</f>
        <v>4</v>
      </c>
    </row>
    <row r="31" spans="1:10" s="140" customFormat="1" ht="19.5" customHeight="1" x14ac:dyDescent="0.2">
      <c r="A31" s="671"/>
      <c r="B31" s="247" t="s">
        <v>621</v>
      </c>
      <c r="C31" s="678">
        <f>2*0.3</f>
        <v>0.6</v>
      </c>
      <c r="D31" s="512" t="s">
        <v>615</v>
      </c>
      <c r="E31" s="512">
        <f t="shared" ref="E31:E35" si="4">2*0.15</f>
        <v>0.3</v>
      </c>
      <c r="F31" s="512" t="s">
        <v>45</v>
      </c>
      <c r="G31" s="512">
        <v>1</v>
      </c>
      <c r="H31" s="512">
        <v>1</v>
      </c>
      <c r="I31" s="512" t="s">
        <v>46</v>
      </c>
      <c r="J31" s="512">
        <f t="shared" si="3"/>
        <v>0.9</v>
      </c>
    </row>
    <row r="32" spans="1:10" s="140" customFormat="1" ht="19.5" customHeight="1" x14ac:dyDescent="0.2">
      <c r="A32" s="671"/>
      <c r="B32" s="247" t="s">
        <v>941</v>
      </c>
      <c r="C32" s="512">
        <f>0.25*2</f>
        <v>0.5</v>
      </c>
      <c r="D32" s="512" t="s">
        <v>615</v>
      </c>
      <c r="E32" s="512">
        <f>2*0.15</f>
        <v>0.3</v>
      </c>
      <c r="F32" s="512" t="s">
        <v>45</v>
      </c>
      <c r="G32" s="512">
        <v>1</v>
      </c>
      <c r="H32" s="512">
        <v>1</v>
      </c>
      <c r="I32" s="512" t="s">
        <v>46</v>
      </c>
      <c r="J32" s="512">
        <f t="shared" si="3"/>
        <v>0.8</v>
      </c>
    </row>
    <row r="33" spans="1:11" s="140" customFormat="1" ht="19.5" customHeight="1" x14ac:dyDescent="0.2">
      <c r="A33" s="671"/>
      <c r="B33" s="247" t="s">
        <v>949</v>
      </c>
      <c r="C33" s="678">
        <f>2*0.3</f>
        <v>0.6</v>
      </c>
      <c r="D33" s="512" t="s">
        <v>615</v>
      </c>
      <c r="E33" s="512">
        <f t="shared" si="4"/>
        <v>0.3</v>
      </c>
      <c r="F33" s="512" t="s">
        <v>45</v>
      </c>
      <c r="G33" s="512">
        <v>1</v>
      </c>
      <c r="H33" s="512">
        <v>1</v>
      </c>
      <c r="I33" s="512" t="s">
        <v>46</v>
      </c>
      <c r="J33" s="512">
        <f t="shared" si="3"/>
        <v>0.9</v>
      </c>
    </row>
    <row r="34" spans="1:11" s="140" customFormat="1" ht="19.5" customHeight="1" x14ac:dyDescent="0.2">
      <c r="A34" s="671"/>
      <c r="B34" s="247" t="s">
        <v>1111</v>
      </c>
      <c r="C34" s="512">
        <f>0.25*2</f>
        <v>0.5</v>
      </c>
      <c r="D34" s="512" t="s">
        <v>615</v>
      </c>
      <c r="E34" s="512">
        <f>2*0.15</f>
        <v>0.3</v>
      </c>
      <c r="F34" s="512" t="s">
        <v>45</v>
      </c>
      <c r="G34" s="512">
        <v>1</v>
      </c>
      <c r="H34" s="512">
        <v>2</v>
      </c>
      <c r="I34" s="512" t="s">
        <v>46</v>
      </c>
      <c r="J34" s="512">
        <f t="shared" si="3"/>
        <v>1.6</v>
      </c>
    </row>
    <row r="35" spans="1:11" s="140" customFormat="1" ht="19.5" customHeight="1" x14ac:dyDescent="0.2">
      <c r="A35" s="671"/>
      <c r="B35" s="247" t="s">
        <v>959</v>
      </c>
      <c r="C35" s="678">
        <f>2*0.3</f>
        <v>0.6</v>
      </c>
      <c r="D35" s="512" t="s">
        <v>615</v>
      </c>
      <c r="E35" s="512">
        <f t="shared" si="4"/>
        <v>0.3</v>
      </c>
      <c r="F35" s="512" t="s">
        <v>45</v>
      </c>
      <c r="G35" s="512">
        <v>1</v>
      </c>
      <c r="H35" s="512">
        <v>1</v>
      </c>
      <c r="I35" s="512" t="s">
        <v>46</v>
      </c>
      <c r="J35" s="512">
        <f t="shared" si="3"/>
        <v>0.9</v>
      </c>
    </row>
    <row r="36" spans="1:11" s="140" customFormat="1" ht="19.5" customHeight="1" x14ac:dyDescent="0.2">
      <c r="A36" s="671"/>
      <c r="B36" s="247" t="s">
        <v>1112</v>
      </c>
      <c r="C36" s="512">
        <f>0.25*2</f>
        <v>0.5</v>
      </c>
      <c r="D36" s="512" t="s">
        <v>615</v>
      </c>
      <c r="E36" s="512">
        <f>2*0.15</f>
        <v>0.3</v>
      </c>
      <c r="F36" s="512" t="s">
        <v>45</v>
      </c>
      <c r="G36" s="512">
        <v>1</v>
      </c>
      <c r="H36" s="512">
        <v>3</v>
      </c>
      <c r="I36" s="512" t="s">
        <v>46</v>
      </c>
      <c r="J36" s="512">
        <f t="shared" si="3"/>
        <v>2.4</v>
      </c>
    </row>
    <row r="37" spans="1:11" s="140" customFormat="1" ht="19.5" customHeight="1" x14ac:dyDescent="0.2">
      <c r="A37" s="671"/>
      <c r="B37" s="247" t="s">
        <v>908</v>
      </c>
      <c r="C37" s="678">
        <f>2*0.3</f>
        <v>0.6</v>
      </c>
      <c r="D37" s="512" t="s">
        <v>615</v>
      </c>
      <c r="E37" s="512">
        <f t="shared" ref="E37" si="5">2*0.15</f>
        <v>0.3</v>
      </c>
      <c r="F37" s="512" t="s">
        <v>45</v>
      </c>
      <c r="G37" s="512">
        <v>1</v>
      </c>
      <c r="H37" s="512">
        <v>1</v>
      </c>
      <c r="I37" s="512" t="s">
        <v>46</v>
      </c>
      <c r="J37" s="512">
        <f t="shared" si="3"/>
        <v>0.9</v>
      </c>
    </row>
    <row r="38" spans="1:11" s="246" customFormat="1" ht="16.5" customHeight="1" x14ac:dyDescent="0.2">
      <c r="A38" s="225"/>
      <c r="B38" s="1745" t="s">
        <v>1109</v>
      </c>
      <c r="C38" s="1746"/>
      <c r="D38" s="1746"/>
      <c r="E38" s="1746"/>
      <c r="F38" s="1746"/>
      <c r="G38" s="1746"/>
      <c r="H38" s="1746"/>
      <c r="I38" s="1746"/>
      <c r="J38" s="1747"/>
    </row>
    <row r="39" spans="1:11" s="140" customFormat="1" ht="19.5" customHeight="1" x14ac:dyDescent="0.2">
      <c r="A39" s="671"/>
      <c r="B39" s="247" t="s">
        <v>947</v>
      </c>
      <c r="C39" s="45">
        <f>C26</f>
        <v>0.5</v>
      </c>
      <c r="D39" s="45" t="str">
        <f>D26</f>
        <v>+</v>
      </c>
      <c r="E39" s="45">
        <f>E26</f>
        <v>0.3</v>
      </c>
      <c r="F39" s="512" t="s">
        <v>45</v>
      </c>
      <c r="G39" s="512">
        <v>1.6</v>
      </c>
      <c r="H39" s="512">
        <v>1</v>
      </c>
      <c r="I39" s="512" t="s">
        <v>46</v>
      </c>
      <c r="J39" s="512">
        <f>ROUND((C39+E39)*G39*H39,2)</f>
        <v>1.28</v>
      </c>
    </row>
    <row r="40" spans="1:11" s="140" customFormat="1" ht="30" customHeight="1" x14ac:dyDescent="0.2">
      <c r="A40" s="671"/>
      <c r="B40" s="247" t="s">
        <v>1113</v>
      </c>
      <c r="C40" s="45">
        <f>C28</f>
        <v>0.5</v>
      </c>
      <c r="D40" s="45" t="str">
        <f>D28</f>
        <v>+</v>
      </c>
      <c r="E40" s="45">
        <f>E28</f>
        <v>0.3</v>
      </c>
      <c r="F40" s="512" t="s">
        <v>45</v>
      </c>
      <c r="G40" s="512">
        <v>1.6</v>
      </c>
      <c r="H40" s="512">
        <v>5</v>
      </c>
      <c r="I40" s="512" t="s">
        <v>46</v>
      </c>
      <c r="J40" s="512">
        <f>ROUND((C40+E40)*G40*H40,2)</f>
        <v>6.4</v>
      </c>
    </row>
    <row r="41" spans="1:11" s="21" customFormat="1" ht="12" customHeight="1" x14ac:dyDescent="0.2">
      <c r="A41" s="529"/>
      <c r="B41" s="710"/>
      <c r="C41" s="710"/>
      <c r="D41" s="710"/>
      <c r="E41" s="710"/>
      <c r="F41" s="710"/>
      <c r="G41" s="710"/>
      <c r="H41" s="710"/>
      <c r="I41" s="710"/>
    </row>
    <row r="42" spans="1:11" s="140" customFormat="1" ht="15.75" customHeight="1" x14ac:dyDescent="0.2">
      <c r="A42" s="671"/>
      <c r="B42" s="659" t="s">
        <v>47</v>
      </c>
      <c r="C42" s="661">
        <f>ROUND(SUM(J18:J40),2)</f>
        <v>109.18</v>
      </c>
      <c r="D42" s="660" t="s">
        <v>4</v>
      </c>
      <c r="E42" s="672"/>
      <c r="F42" s="672"/>
      <c r="G42" s="672"/>
      <c r="H42" s="672"/>
      <c r="I42" s="672"/>
    </row>
    <row r="43" spans="1:11" s="21" customFormat="1" x14ac:dyDescent="0.2"/>
    <row r="44" spans="1:11" ht="29.25" customHeight="1" x14ac:dyDescent="0.2">
      <c r="B44" s="148" t="str">
        <f>ORÇ!A64</f>
        <v>5.1.2</v>
      </c>
      <c r="C44" s="1748" t="str">
        <f>ORÇ!D64</f>
        <v>ARMAÇÃO DE PILAR OU VIGA DE UMA ESTRUTURA CONVENCIONAL DE CONCRETO ARMADO EM UM EDIFÍCIO DE MÚLTIPLOS PAVIMENTOS UTILIZANDO AÇO CA-60 DE 5,0 MM - MONTAGEM. AF_12/2015</v>
      </c>
      <c r="D44" s="1748"/>
      <c r="E44" s="1748"/>
      <c r="F44" s="1748"/>
      <c r="G44" s="1748"/>
      <c r="H44" s="1748"/>
      <c r="I44" s="1748"/>
      <c r="J44" s="1748"/>
    </row>
    <row r="45" spans="1:11" x14ac:dyDescent="0.2">
      <c r="B45" s="717"/>
      <c r="C45" s="717"/>
      <c r="D45" s="717"/>
      <c r="E45" s="717"/>
      <c r="F45" s="717"/>
      <c r="G45" s="717"/>
      <c r="H45" s="717"/>
      <c r="I45" s="717"/>
    </row>
    <row r="46" spans="1:11" s="602" customFormat="1" ht="22.5" customHeight="1" x14ac:dyDescent="0.2">
      <c r="A46" s="671"/>
      <c r="B46" s="512" t="s">
        <v>616</v>
      </c>
      <c r="C46" s="512" t="s">
        <v>917</v>
      </c>
      <c r="D46" s="512" t="s">
        <v>753</v>
      </c>
      <c r="E46" s="512"/>
      <c r="F46" s="512" t="s">
        <v>590</v>
      </c>
      <c r="G46" s="512"/>
      <c r="H46" s="512" t="s">
        <v>952</v>
      </c>
      <c r="I46" s="512"/>
      <c r="J46" s="512" t="s">
        <v>614</v>
      </c>
      <c r="K46" s="522"/>
    </row>
    <row r="47" spans="1:11" s="246" customFormat="1" ht="16.5" customHeight="1" x14ac:dyDescent="0.2">
      <c r="A47" s="225"/>
      <c r="B47" s="1745" t="s">
        <v>1098</v>
      </c>
      <c r="C47" s="1746"/>
      <c r="D47" s="1746"/>
      <c r="E47" s="1746"/>
      <c r="F47" s="1746"/>
      <c r="G47" s="1746"/>
      <c r="H47" s="1746"/>
      <c r="I47" s="1746"/>
      <c r="J47" s="1747"/>
    </row>
    <row r="48" spans="1:11" s="602" customFormat="1" ht="79.5" customHeight="1" x14ac:dyDescent="0.2">
      <c r="A48" s="671"/>
      <c r="B48" s="247" t="s">
        <v>1121</v>
      </c>
      <c r="C48" s="512" t="s">
        <v>945</v>
      </c>
      <c r="D48" s="512">
        <v>0.68</v>
      </c>
      <c r="E48" s="512" t="s">
        <v>45</v>
      </c>
      <c r="F48" s="512">
        <v>25</v>
      </c>
      <c r="G48" s="512" t="s">
        <v>45</v>
      </c>
      <c r="H48" s="512">
        <v>17</v>
      </c>
      <c r="I48" s="512" t="s">
        <v>46</v>
      </c>
      <c r="J48" s="512">
        <f>ROUND(D48*F48*H48,2)</f>
        <v>289</v>
      </c>
    </row>
    <row r="49" spans="1:12" s="602" customFormat="1" ht="18.75" customHeight="1" x14ac:dyDescent="0.2">
      <c r="A49" s="671"/>
      <c r="B49" s="247" t="s">
        <v>1117</v>
      </c>
      <c r="C49" s="512" t="s">
        <v>945</v>
      </c>
      <c r="D49" s="512">
        <v>0.68</v>
      </c>
      <c r="E49" s="512" t="s">
        <v>45</v>
      </c>
      <c r="F49" s="512">
        <v>20</v>
      </c>
      <c r="G49" s="512" t="s">
        <v>45</v>
      </c>
      <c r="H49" s="512">
        <v>3</v>
      </c>
      <c r="I49" s="512" t="s">
        <v>46</v>
      </c>
      <c r="J49" s="512">
        <f t="shared" ref="J49:J51" si="6">ROUND(D49*F49*H49,2)</f>
        <v>40.799999999999997</v>
      </c>
    </row>
    <row r="50" spans="1:12" s="602" customFormat="1" ht="42" customHeight="1" x14ac:dyDescent="0.2">
      <c r="A50" s="671"/>
      <c r="B50" s="247" t="s">
        <v>1120</v>
      </c>
      <c r="C50" s="512" t="s">
        <v>921</v>
      </c>
      <c r="D50" s="512">
        <v>0.78</v>
      </c>
      <c r="E50" s="512" t="s">
        <v>45</v>
      </c>
      <c r="F50" s="512">
        <v>20</v>
      </c>
      <c r="G50" s="512" t="s">
        <v>45</v>
      </c>
      <c r="H50" s="512">
        <v>8</v>
      </c>
      <c r="I50" s="512" t="s">
        <v>46</v>
      </c>
      <c r="J50" s="512">
        <f t="shared" si="6"/>
        <v>124.8</v>
      </c>
      <c r="L50" s="718"/>
    </row>
    <row r="51" spans="1:12" s="602" customFormat="1" ht="17.25" customHeight="1" x14ac:dyDescent="0.2">
      <c r="A51" s="671"/>
      <c r="B51" s="247" t="s">
        <v>1118</v>
      </c>
      <c r="C51" s="512" t="s">
        <v>922</v>
      </c>
      <c r="D51" s="512">
        <v>0.24</v>
      </c>
      <c r="E51" s="512" t="s">
        <v>45</v>
      </c>
      <c r="F51" s="512">
        <v>20</v>
      </c>
      <c r="G51" s="512" t="s">
        <v>45</v>
      </c>
      <c r="H51" s="512">
        <v>3</v>
      </c>
      <c r="I51" s="512" t="s">
        <v>46</v>
      </c>
      <c r="J51" s="512">
        <f t="shared" si="6"/>
        <v>14.4</v>
      </c>
    </row>
    <row r="52" spans="1:12" s="140" customFormat="1" ht="17.25" customHeight="1" x14ac:dyDescent="0.2">
      <c r="A52" s="671"/>
      <c r="B52" s="1755" t="s">
        <v>949</v>
      </c>
      <c r="C52" s="512" t="s">
        <v>921</v>
      </c>
      <c r="D52" s="512">
        <v>0.78</v>
      </c>
      <c r="E52" s="512" t="s">
        <v>45</v>
      </c>
      <c r="F52" s="512">
        <v>25</v>
      </c>
      <c r="G52" s="512" t="s">
        <v>45</v>
      </c>
      <c r="H52" s="512">
        <v>1</v>
      </c>
      <c r="I52" s="512" t="s">
        <v>46</v>
      </c>
      <c r="J52" s="512">
        <f t="shared" ref="J52" si="7">ROUND(D52*F52*H52,2)</f>
        <v>19.5</v>
      </c>
    </row>
    <row r="53" spans="1:12" s="602" customFormat="1" ht="17.25" customHeight="1" x14ac:dyDescent="0.2">
      <c r="A53" s="671"/>
      <c r="B53" s="1756"/>
      <c r="C53" s="512" t="s">
        <v>922</v>
      </c>
      <c r="D53" s="512">
        <v>0.24</v>
      </c>
      <c r="E53" s="512" t="s">
        <v>45</v>
      </c>
      <c r="F53" s="512">
        <v>25</v>
      </c>
      <c r="G53" s="512" t="s">
        <v>45</v>
      </c>
      <c r="H53" s="512">
        <v>1</v>
      </c>
      <c r="I53" s="512" t="s">
        <v>46</v>
      </c>
      <c r="J53" s="512">
        <f>ROUND(D53*F53*H53,2)</f>
        <v>6</v>
      </c>
    </row>
    <row r="54" spans="1:12" s="602" customFormat="1" ht="27.75" customHeight="1" x14ac:dyDescent="0.2">
      <c r="A54" s="671"/>
      <c r="B54" s="247" t="s">
        <v>1122</v>
      </c>
      <c r="C54" s="512" t="s">
        <v>945</v>
      </c>
      <c r="D54" s="512">
        <v>0.68</v>
      </c>
      <c r="E54" s="512" t="s">
        <v>45</v>
      </c>
      <c r="F54" s="512">
        <v>20</v>
      </c>
      <c r="G54" s="512" t="s">
        <v>45</v>
      </c>
      <c r="H54" s="512">
        <v>4</v>
      </c>
      <c r="I54" s="512" t="s">
        <v>46</v>
      </c>
      <c r="J54" s="512">
        <f>ROUND(D54*F54*H54,2)</f>
        <v>54.4</v>
      </c>
    </row>
    <row r="55" spans="1:12" s="602" customFormat="1" ht="17.25" customHeight="1" x14ac:dyDescent="0.2">
      <c r="A55" s="671"/>
      <c r="B55" s="247" t="s">
        <v>1123</v>
      </c>
      <c r="C55" s="512" t="s">
        <v>945</v>
      </c>
      <c r="D55" s="512">
        <v>0.68</v>
      </c>
      <c r="E55" s="512" t="s">
        <v>45</v>
      </c>
      <c r="F55" s="512">
        <v>25</v>
      </c>
      <c r="G55" s="512" t="s">
        <v>45</v>
      </c>
      <c r="H55" s="512">
        <v>1</v>
      </c>
      <c r="I55" s="512" t="s">
        <v>46</v>
      </c>
      <c r="J55" s="512">
        <f t="shared" ref="J55:J56" si="8">ROUND(D55*F55*H55,2)</f>
        <v>17</v>
      </c>
    </row>
    <row r="56" spans="1:12" s="602" customFormat="1" ht="17.25" customHeight="1" x14ac:dyDescent="0.2">
      <c r="A56" s="671"/>
      <c r="B56" s="247" t="s">
        <v>954</v>
      </c>
      <c r="C56" s="512" t="s">
        <v>945</v>
      </c>
      <c r="D56" s="512">
        <v>0.68</v>
      </c>
      <c r="E56" s="512" t="s">
        <v>45</v>
      </c>
      <c r="F56" s="512">
        <v>20</v>
      </c>
      <c r="G56" s="512" t="s">
        <v>45</v>
      </c>
      <c r="H56" s="512">
        <v>1</v>
      </c>
      <c r="I56" s="512" t="s">
        <v>46</v>
      </c>
      <c r="J56" s="512">
        <f t="shared" si="8"/>
        <v>13.6</v>
      </c>
    </row>
    <row r="57" spans="1:12" s="246" customFormat="1" ht="16.5" customHeight="1" x14ac:dyDescent="0.2">
      <c r="A57" s="225"/>
      <c r="B57" s="1745" t="s">
        <v>1108</v>
      </c>
      <c r="C57" s="1746"/>
      <c r="D57" s="1746"/>
      <c r="E57" s="1746"/>
      <c r="F57" s="1746"/>
      <c r="G57" s="1746"/>
      <c r="H57" s="1746"/>
      <c r="I57" s="1746"/>
      <c r="J57" s="1747"/>
    </row>
    <row r="58" spans="1:12" s="140" customFormat="1" ht="54.75" customHeight="1" x14ac:dyDescent="0.2">
      <c r="A58" s="671"/>
      <c r="B58" s="247" t="s">
        <v>1116</v>
      </c>
      <c r="C58" s="512" t="s">
        <v>945</v>
      </c>
      <c r="D58" s="512">
        <v>0.68</v>
      </c>
      <c r="E58" s="512" t="s">
        <v>45</v>
      </c>
      <c r="F58" s="512">
        <v>9</v>
      </c>
      <c r="G58" s="512" t="s">
        <v>45</v>
      </c>
      <c r="H58" s="512">
        <v>12</v>
      </c>
      <c r="I58" s="512" t="s">
        <v>46</v>
      </c>
      <c r="J58" s="512">
        <f t="shared" ref="J58:J66" si="9">ROUND(D58*F58*H58,2)</f>
        <v>73.44</v>
      </c>
    </row>
    <row r="59" spans="1:12" s="140" customFormat="1" ht="18" customHeight="1" x14ac:dyDescent="0.2">
      <c r="A59" s="671"/>
      <c r="B59" s="247" t="s">
        <v>620</v>
      </c>
      <c r="C59" s="512" t="s">
        <v>945</v>
      </c>
      <c r="D59" s="512">
        <v>0.68</v>
      </c>
      <c r="E59" s="512" t="s">
        <v>45</v>
      </c>
      <c r="F59" s="512">
        <v>7</v>
      </c>
      <c r="G59" s="512" t="s">
        <v>45</v>
      </c>
      <c r="H59" s="512">
        <v>1</v>
      </c>
      <c r="I59" s="512" t="s">
        <v>46</v>
      </c>
      <c r="J59" s="512">
        <f t="shared" ref="J59" si="10">ROUND(D59*F59*H59,2)</f>
        <v>4.76</v>
      </c>
    </row>
    <row r="60" spans="1:12" s="140" customFormat="1" ht="15.75" customHeight="1" x14ac:dyDescent="0.2">
      <c r="A60" s="671"/>
      <c r="B60" s="247" t="s">
        <v>1119</v>
      </c>
      <c r="C60" s="512" t="s">
        <v>921</v>
      </c>
      <c r="D60" s="512">
        <v>0.78</v>
      </c>
      <c r="E60" s="512" t="s">
        <v>45</v>
      </c>
      <c r="F60" s="512">
        <v>7</v>
      </c>
      <c r="G60" s="512" t="s">
        <v>45</v>
      </c>
      <c r="H60" s="512">
        <v>2</v>
      </c>
      <c r="I60" s="512" t="s">
        <v>46</v>
      </c>
      <c r="J60" s="512">
        <f t="shared" si="9"/>
        <v>10.92</v>
      </c>
    </row>
    <row r="61" spans="1:12" s="140" customFormat="1" ht="18" customHeight="1" x14ac:dyDescent="0.2">
      <c r="A61" s="671"/>
      <c r="B61" s="247" t="s">
        <v>949</v>
      </c>
      <c r="C61" s="512" t="s">
        <v>921</v>
      </c>
      <c r="D61" s="512">
        <v>0.78</v>
      </c>
      <c r="E61" s="512" t="s">
        <v>45</v>
      </c>
      <c r="F61" s="512">
        <v>9</v>
      </c>
      <c r="G61" s="512" t="s">
        <v>45</v>
      </c>
      <c r="H61" s="512">
        <f>H32</f>
        <v>1</v>
      </c>
      <c r="I61" s="512" t="s">
        <v>46</v>
      </c>
      <c r="J61" s="512">
        <f t="shared" si="9"/>
        <v>7.02</v>
      </c>
    </row>
    <row r="62" spans="1:12" s="140" customFormat="1" ht="18" customHeight="1" x14ac:dyDescent="0.2">
      <c r="A62" s="671"/>
      <c r="B62" s="247" t="s">
        <v>1123</v>
      </c>
      <c r="C62" s="512" t="s">
        <v>945</v>
      </c>
      <c r="D62" s="512">
        <v>0.68</v>
      </c>
      <c r="E62" s="512" t="s">
        <v>45</v>
      </c>
      <c r="F62" s="512">
        <v>7</v>
      </c>
      <c r="G62" s="512" t="s">
        <v>45</v>
      </c>
      <c r="H62" s="512">
        <v>1</v>
      </c>
      <c r="I62" s="512" t="s">
        <v>46</v>
      </c>
      <c r="J62" s="512">
        <f t="shared" ref="J62" si="11">ROUND(D62*F62*H62,2)</f>
        <v>4.76</v>
      </c>
    </row>
    <row r="63" spans="1:12" s="246" customFormat="1" ht="16.5" customHeight="1" x14ac:dyDescent="0.2">
      <c r="A63" s="225"/>
      <c r="B63" s="1745" t="s">
        <v>1109</v>
      </c>
      <c r="C63" s="1746"/>
      <c r="D63" s="1746"/>
      <c r="E63" s="1746"/>
      <c r="F63" s="1746"/>
      <c r="G63" s="1746"/>
      <c r="H63" s="1746"/>
      <c r="I63" s="1746"/>
      <c r="J63" s="1747"/>
    </row>
    <row r="64" spans="1:12" s="140" customFormat="1" ht="15" customHeight="1" x14ac:dyDescent="0.2">
      <c r="A64" s="671"/>
      <c r="B64" s="247" t="str">
        <f>B39</f>
        <v>P29</v>
      </c>
      <c r="C64" s="512" t="s">
        <v>945</v>
      </c>
      <c r="D64" s="512">
        <v>0.68</v>
      </c>
      <c r="E64" s="512" t="s">
        <v>45</v>
      </c>
      <c r="F64" s="512">
        <v>9</v>
      </c>
      <c r="G64" s="512" t="s">
        <v>45</v>
      </c>
      <c r="H64" s="512">
        <f>H39</f>
        <v>1</v>
      </c>
      <c r="I64" s="512" t="s">
        <v>46</v>
      </c>
      <c r="J64" s="512">
        <f t="shared" si="9"/>
        <v>6.12</v>
      </c>
    </row>
    <row r="65" spans="1:11" s="140" customFormat="1" ht="28.5" customHeight="1" x14ac:dyDescent="0.2">
      <c r="A65" s="671"/>
      <c r="B65" s="247" t="s">
        <v>1122</v>
      </c>
      <c r="C65" s="512" t="s">
        <v>945</v>
      </c>
      <c r="D65" s="512">
        <v>0.68</v>
      </c>
      <c r="E65" s="512" t="s">
        <v>45</v>
      </c>
      <c r="F65" s="512">
        <v>9</v>
      </c>
      <c r="G65" s="512" t="s">
        <v>45</v>
      </c>
      <c r="H65" s="512">
        <v>4</v>
      </c>
      <c r="I65" s="512" t="s">
        <v>46</v>
      </c>
      <c r="J65" s="512">
        <f t="shared" si="9"/>
        <v>24.48</v>
      </c>
    </row>
    <row r="66" spans="1:11" s="140" customFormat="1" ht="15" customHeight="1" x14ac:dyDescent="0.2">
      <c r="A66" s="671"/>
      <c r="B66" s="247" t="s">
        <v>954</v>
      </c>
      <c r="C66" s="512" t="s">
        <v>945</v>
      </c>
      <c r="D66" s="512">
        <v>0.68</v>
      </c>
      <c r="E66" s="512" t="s">
        <v>45</v>
      </c>
      <c r="F66" s="512">
        <v>9</v>
      </c>
      <c r="G66" s="512" t="s">
        <v>45</v>
      </c>
      <c r="H66" s="512">
        <v>1</v>
      </c>
      <c r="I66" s="512" t="s">
        <v>46</v>
      </c>
      <c r="J66" s="512">
        <f t="shared" si="9"/>
        <v>6.12</v>
      </c>
    </row>
    <row r="67" spans="1:11" s="21" customFormat="1" ht="12" customHeight="1" x14ac:dyDescent="0.2">
      <c r="A67" s="529"/>
      <c r="B67" s="710"/>
      <c r="C67" s="710"/>
      <c r="D67" s="710"/>
      <c r="E67" s="710"/>
      <c r="F67" s="710"/>
      <c r="G67" s="710"/>
      <c r="H67" s="710"/>
      <c r="I67" s="710"/>
    </row>
    <row r="68" spans="1:11" s="140" customFormat="1" ht="17.25" customHeight="1" x14ac:dyDescent="0.2">
      <c r="A68" s="671"/>
      <c r="B68" s="672"/>
      <c r="C68" s="512" t="s">
        <v>614</v>
      </c>
      <c r="D68" s="521"/>
      <c r="E68" s="512" t="s">
        <v>928</v>
      </c>
      <c r="F68" s="521"/>
      <c r="G68" s="681" t="s">
        <v>967</v>
      </c>
      <c r="H68" s="672"/>
      <c r="I68" s="672"/>
    </row>
    <row r="69" spans="1:11" s="685" customFormat="1" ht="30" customHeight="1" x14ac:dyDescent="0.2">
      <c r="A69" s="682"/>
      <c r="B69" s="678" t="s">
        <v>970</v>
      </c>
      <c r="C69" s="678">
        <f>ROUND(SUM(J48:J67),2)</f>
        <v>717.12</v>
      </c>
      <c r="D69" s="678" t="s">
        <v>45</v>
      </c>
      <c r="E69" s="683">
        <v>0.154</v>
      </c>
      <c r="F69" s="512" t="s">
        <v>46</v>
      </c>
      <c r="G69" s="681">
        <f>ROUND(C69*E69,2)</f>
        <v>110.44</v>
      </c>
      <c r="H69" s="684"/>
      <c r="I69" s="684"/>
    </row>
    <row r="70" spans="1:11" s="21" customFormat="1" ht="13.5" customHeight="1" x14ac:dyDescent="0.2"/>
    <row r="71" spans="1:11" s="629" customFormat="1" ht="28.5" customHeight="1" x14ac:dyDescent="0.2">
      <c r="B71" s="148" t="str">
        <f>ORÇ!A65</f>
        <v>5.1.3</v>
      </c>
      <c r="C71" s="1759" t="str">
        <f>ORÇ!D65</f>
        <v>ARMAÇÃO DE PILAR OU VIGA DE UMA ESTRUTURA CONVENCIONAL DE CONCRETO ARMADO EM UM EDIFÍCIO DE MÚLTIPLOS PAVIMENTOS UTILIZANDO AÇO CA-50 DE 10,0 MM - MONTAGEM. AF_12/2015</v>
      </c>
      <c r="D71" s="1759"/>
      <c r="E71" s="1759"/>
      <c r="F71" s="1759"/>
      <c r="G71" s="1759"/>
      <c r="H71" s="1759"/>
      <c r="I71" s="1759"/>
      <c r="J71" s="1759"/>
    </row>
    <row r="72" spans="1:11" x14ac:dyDescent="0.2">
      <c r="B72" s="717"/>
      <c r="C72" s="717"/>
      <c r="D72" s="717"/>
      <c r="E72" s="717"/>
      <c r="F72" s="717"/>
      <c r="G72" s="717"/>
      <c r="H72" s="717"/>
      <c r="I72" s="717"/>
      <c r="J72" s="719"/>
    </row>
    <row r="73" spans="1:11" s="602" customFormat="1" ht="21" customHeight="1" x14ac:dyDescent="0.2">
      <c r="A73" s="671"/>
      <c r="B73" s="512" t="s">
        <v>616</v>
      </c>
      <c r="C73" s="512" t="s">
        <v>917</v>
      </c>
      <c r="D73" s="512" t="s">
        <v>753</v>
      </c>
      <c r="E73" s="512"/>
      <c r="F73" s="512" t="s">
        <v>590</v>
      </c>
      <c r="G73" s="512"/>
      <c r="H73" s="512" t="s">
        <v>952</v>
      </c>
      <c r="I73" s="512"/>
      <c r="J73" s="512" t="s">
        <v>614</v>
      </c>
      <c r="K73" s="522"/>
    </row>
    <row r="74" spans="1:11" s="246" customFormat="1" ht="16.5" customHeight="1" x14ac:dyDescent="0.2">
      <c r="A74" s="225"/>
      <c r="B74" s="1745" t="s">
        <v>1098</v>
      </c>
      <c r="C74" s="1746"/>
      <c r="D74" s="1746"/>
      <c r="E74" s="1746"/>
      <c r="F74" s="1746"/>
      <c r="G74" s="1746"/>
      <c r="H74" s="1746"/>
      <c r="I74" s="1746"/>
      <c r="J74" s="1747"/>
    </row>
    <row r="75" spans="1:11" s="602" customFormat="1" ht="15.75" customHeight="1" x14ac:dyDescent="0.2">
      <c r="A75" s="671"/>
      <c r="B75" s="247" t="s">
        <v>619</v>
      </c>
      <c r="C75" s="512" t="s">
        <v>919</v>
      </c>
      <c r="D75" s="512">
        <v>3.38</v>
      </c>
      <c r="E75" s="512" t="s">
        <v>45</v>
      </c>
      <c r="F75" s="512">
        <v>8</v>
      </c>
      <c r="G75" s="512" t="s">
        <v>45</v>
      </c>
      <c r="H75" s="512">
        <v>1</v>
      </c>
      <c r="I75" s="512" t="s">
        <v>46</v>
      </c>
      <c r="J75" s="512">
        <f>ROUND(D75*F75*H75,2)</f>
        <v>27.04</v>
      </c>
    </row>
    <row r="76" spans="1:11" s="602" customFormat="1" ht="18" customHeight="1" x14ac:dyDescent="0.2">
      <c r="A76" s="671"/>
      <c r="B76" s="247" t="s">
        <v>622</v>
      </c>
      <c r="C76" s="512" t="s">
        <v>919</v>
      </c>
      <c r="D76" s="512">
        <v>3.38</v>
      </c>
      <c r="E76" s="512" t="s">
        <v>45</v>
      </c>
      <c r="F76" s="512">
        <v>4</v>
      </c>
      <c r="G76" s="512" t="s">
        <v>45</v>
      </c>
      <c r="H76" s="512">
        <v>1</v>
      </c>
      <c r="I76" s="512" t="s">
        <v>46</v>
      </c>
      <c r="J76" s="512">
        <f t="shared" ref="J76:J81" si="12">ROUND(D76*F76*H76,2)</f>
        <v>13.52</v>
      </c>
    </row>
    <row r="77" spans="1:11" s="602" customFormat="1" ht="18" customHeight="1" x14ac:dyDescent="0.2">
      <c r="A77" s="671"/>
      <c r="B77" s="247" t="s">
        <v>1125</v>
      </c>
      <c r="C77" s="512" t="s">
        <v>926</v>
      </c>
      <c r="D77" s="512">
        <v>3.38</v>
      </c>
      <c r="E77" s="512" t="s">
        <v>45</v>
      </c>
      <c r="F77" s="512">
        <v>4</v>
      </c>
      <c r="G77" s="512" t="s">
        <v>45</v>
      </c>
      <c r="H77" s="512">
        <v>3</v>
      </c>
      <c r="I77" s="512" t="s">
        <v>46</v>
      </c>
      <c r="J77" s="512">
        <f t="shared" si="12"/>
        <v>40.56</v>
      </c>
    </row>
    <row r="78" spans="1:11" s="602" customFormat="1" ht="18" customHeight="1" x14ac:dyDescent="0.2">
      <c r="A78" s="671"/>
      <c r="B78" s="247" t="s">
        <v>1124</v>
      </c>
      <c r="C78" s="512" t="s">
        <v>920</v>
      </c>
      <c r="D78" s="512">
        <v>2.97</v>
      </c>
      <c r="E78" s="512" t="s">
        <v>45</v>
      </c>
      <c r="F78" s="512">
        <v>8</v>
      </c>
      <c r="G78" s="512" t="s">
        <v>45</v>
      </c>
      <c r="H78" s="512">
        <v>1</v>
      </c>
      <c r="I78" s="512" t="s">
        <v>46</v>
      </c>
      <c r="J78" s="512">
        <f t="shared" si="12"/>
        <v>23.76</v>
      </c>
    </row>
    <row r="79" spans="1:11" s="602" customFormat="1" ht="18" customHeight="1" x14ac:dyDescent="0.2">
      <c r="A79" s="671"/>
      <c r="B79" s="247" t="s">
        <v>941</v>
      </c>
      <c r="C79" s="512" t="s">
        <v>919</v>
      </c>
      <c r="D79" s="512">
        <v>2.97</v>
      </c>
      <c r="E79" s="512" t="s">
        <v>45</v>
      </c>
      <c r="F79" s="512">
        <v>6</v>
      </c>
      <c r="G79" s="512" t="s">
        <v>45</v>
      </c>
      <c r="H79" s="512">
        <v>1</v>
      </c>
      <c r="I79" s="512" t="s">
        <v>46</v>
      </c>
      <c r="J79" s="512">
        <f t="shared" si="12"/>
        <v>17.82</v>
      </c>
    </row>
    <row r="80" spans="1:11" s="602" customFormat="1" ht="16.5" customHeight="1" x14ac:dyDescent="0.2">
      <c r="A80" s="671"/>
      <c r="B80" s="247" t="s">
        <v>1126</v>
      </c>
      <c r="C80" s="512" t="s">
        <v>919</v>
      </c>
      <c r="D80" s="512">
        <v>2.97</v>
      </c>
      <c r="E80" s="512" t="s">
        <v>45</v>
      </c>
      <c r="F80" s="512">
        <v>12</v>
      </c>
      <c r="G80" s="512" t="s">
        <v>45</v>
      </c>
      <c r="H80" s="512">
        <v>1</v>
      </c>
      <c r="I80" s="512" t="s">
        <v>46</v>
      </c>
      <c r="J80" s="512">
        <f t="shared" si="12"/>
        <v>35.64</v>
      </c>
    </row>
    <row r="81" spans="1:10" s="140" customFormat="1" ht="29.25" customHeight="1" x14ac:dyDescent="0.2">
      <c r="A81" s="671"/>
      <c r="B81" s="247" t="s">
        <v>1128</v>
      </c>
      <c r="C81" s="512" t="s">
        <v>919</v>
      </c>
      <c r="D81" s="512">
        <v>2.97</v>
      </c>
      <c r="E81" s="512" t="s">
        <v>45</v>
      </c>
      <c r="F81" s="512">
        <v>2</v>
      </c>
      <c r="G81" s="512" t="s">
        <v>45</v>
      </c>
      <c r="H81" s="512">
        <v>4</v>
      </c>
      <c r="I81" s="512" t="s">
        <v>46</v>
      </c>
      <c r="J81" s="512">
        <f t="shared" si="12"/>
        <v>23.76</v>
      </c>
    </row>
    <row r="82" spans="1:10" s="140" customFormat="1" ht="16.5" customHeight="1" x14ac:dyDescent="0.2">
      <c r="A82" s="671"/>
      <c r="B82" s="247" t="s">
        <v>949</v>
      </c>
      <c r="C82" s="512" t="s">
        <v>920</v>
      </c>
      <c r="D82" s="512">
        <v>3.38</v>
      </c>
      <c r="E82" s="512" t="s">
        <v>45</v>
      </c>
      <c r="F82" s="512">
        <v>8</v>
      </c>
      <c r="G82" s="512" t="s">
        <v>45</v>
      </c>
      <c r="H82" s="512">
        <v>1</v>
      </c>
      <c r="I82" s="512" t="s">
        <v>46</v>
      </c>
      <c r="J82" s="512">
        <f t="shared" ref="J82:J91" si="13">ROUND(D82*F82*H82,2)</f>
        <v>27.04</v>
      </c>
    </row>
    <row r="83" spans="1:10" s="140" customFormat="1" ht="16.5" customHeight="1" x14ac:dyDescent="0.2">
      <c r="A83" s="671"/>
      <c r="B83" s="247" t="s">
        <v>1127</v>
      </c>
      <c r="C83" s="512" t="s">
        <v>919</v>
      </c>
      <c r="D83" s="512">
        <v>2.97</v>
      </c>
      <c r="E83" s="512" t="s">
        <v>45</v>
      </c>
      <c r="F83" s="512">
        <v>4</v>
      </c>
      <c r="G83" s="512" t="s">
        <v>45</v>
      </c>
      <c r="H83" s="512">
        <v>1</v>
      </c>
      <c r="I83" s="512" t="s">
        <v>46</v>
      </c>
      <c r="J83" s="512">
        <f t="shared" si="13"/>
        <v>11.88</v>
      </c>
    </row>
    <row r="84" spans="1:10" s="140" customFormat="1" ht="16.5" customHeight="1" x14ac:dyDescent="0.2">
      <c r="A84" s="671"/>
      <c r="B84" s="247" t="s">
        <v>942</v>
      </c>
      <c r="C84" s="512" t="s">
        <v>919</v>
      </c>
      <c r="D84" s="512">
        <v>2.97</v>
      </c>
      <c r="E84" s="512" t="s">
        <v>45</v>
      </c>
      <c r="F84" s="512">
        <v>14</v>
      </c>
      <c r="G84" s="512" t="s">
        <v>45</v>
      </c>
      <c r="H84" s="512">
        <v>1</v>
      </c>
      <c r="I84" s="512" t="s">
        <v>46</v>
      </c>
      <c r="J84" s="512">
        <f t="shared" si="13"/>
        <v>41.58</v>
      </c>
    </row>
    <row r="85" spans="1:10" s="140" customFormat="1" ht="41.25" customHeight="1" x14ac:dyDescent="0.2">
      <c r="A85" s="671"/>
      <c r="B85" s="247" t="s">
        <v>1131</v>
      </c>
      <c r="C85" s="512" t="s">
        <v>920</v>
      </c>
      <c r="D85" s="512">
        <v>3.38</v>
      </c>
      <c r="E85" s="512" t="s">
        <v>45</v>
      </c>
      <c r="F85" s="512">
        <v>4</v>
      </c>
      <c r="G85" s="512" t="s">
        <v>45</v>
      </c>
      <c r="H85" s="512">
        <v>7</v>
      </c>
      <c r="I85" s="512" t="s">
        <v>46</v>
      </c>
      <c r="J85" s="512">
        <f t="shared" si="13"/>
        <v>94.64</v>
      </c>
    </row>
    <row r="86" spans="1:10" s="140" customFormat="1" ht="29.25" customHeight="1" x14ac:dyDescent="0.2">
      <c r="A86" s="671"/>
      <c r="B86" s="247" t="s">
        <v>1130</v>
      </c>
      <c r="C86" s="512" t="s">
        <v>926</v>
      </c>
      <c r="D86" s="512">
        <v>2.97</v>
      </c>
      <c r="E86" s="512" t="s">
        <v>45</v>
      </c>
      <c r="F86" s="512">
        <v>8</v>
      </c>
      <c r="G86" s="512" t="s">
        <v>45</v>
      </c>
      <c r="H86" s="512">
        <v>4</v>
      </c>
      <c r="I86" s="512" t="s">
        <v>46</v>
      </c>
      <c r="J86" s="512">
        <f t="shared" si="13"/>
        <v>95.04</v>
      </c>
    </row>
    <row r="87" spans="1:10" s="140" customFormat="1" ht="16.5" customHeight="1" x14ac:dyDescent="0.2">
      <c r="A87" s="671"/>
      <c r="B87" s="247" t="s">
        <v>1129</v>
      </c>
      <c r="C87" s="512" t="s">
        <v>926</v>
      </c>
      <c r="D87" s="512">
        <v>2.97</v>
      </c>
      <c r="E87" s="512" t="s">
        <v>45</v>
      </c>
      <c r="F87" s="512">
        <v>4</v>
      </c>
      <c r="G87" s="512" t="s">
        <v>45</v>
      </c>
      <c r="H87" s="512">
        <v>1</v>
      </c>
      <c r="I87" s="512" t="s">
        <v>46</v>
      </c>
      <c r="J87" s="512">
        <f t="shared" si="13"/>
        <v>11.88</v>
      </c>
    </row>
    <row r="88" spans="1:10" s="140" customFormat="1" ht="16.5" customHeight="1" x14ac:dyDescent="0.2">
      <c r="A88" s="671"/>
      <c r="B88" s="247" t="s">
        <v>947</v>
      </c>
      <c r="C88" s="512" t="s">
        <v>919</v>
      </c>
      <c r="D88" s="512">
        <v>3.47</v>
      </c>
      <c r="E88" s="512" t="s">
        <v>45</v>
      </c>
      <c r="F88" s="512">
        <v>4</v>
      </c>
      <c r="G88" s="512" t="s">
        <v>45</v>
      </c>
      <c r="H88" s="512">
        <v>1</v>
      </c>
      <c r="I88" s="512" t="s">
        <v>46</v>
      </c>
      <c r="J88" s="512">
        <f t="shared" si="13"/>
        <v>13.88</v>
      </c>
    </row>
    <row r="89" spans="1:10" s="140" customFormat="1" ht="16.5" customHeight="1" x14ac:dyDescent="0.2">
      <c r="A89" s="671"/>
      <c r="B89" s="247" t="s">
        <v>1123</v>
      </c>
      <c r="C89" s="512" t="s">
        <v>922</v>
      </c>
      <c r="D89" s="512">
        <v>3.38</v>
      </c>
      <c r="E89" s="512" t="s">
        <v>45</v>
      </c>
      <c r="F89" s="512">
        <v>4</v>
      </c>
      <c r="G89" s="512" t="s">
        <v>45</v>
      </c>
      <c r="H89" s="512">
        <v>1</v>
      </c>
      <c r="I89" s="512" t="s">
        <v>46</v>
      </c>
      <c r="J89" s="512">
        <f t="shared" si="13"/>
        <v>13.52</v>
      </c>
    </row>
    <row r="90" spans="1:10" s="140" customFormat="1" ht="17.25" customHeight="1" x14ac:dyDescent="0.2">
      <c r="A90" s="671"/>
      <c r="B90" s="1742" t="str">
        <f>B29</f>
        <v>Nível +4,00m</v>
      </c>
      <c r="C90" s="1743"/>
      <c r="D90" s="1743"/>
      <c r="E90" s="1743"/>
      <c r="F90" s="1743"/>
      <c r="G90" s="1743"/>
      <c r="H90" s="1743"/>
      <c r="I90" s="1743"/>
      <c r="J90" s="1744"/>
    </row>
    <row r="91" spans="1:10" s="140" customFormat="1" ht="16.5" customHeight="1" x14ac:dyDescent="0.2">
      <c r="A91" s="671"/>
      <c r="B91" s="247" t="s">
        <v>619</v>
      </c>
      <c r="C91" s="512" t="s">
        <v>920</v>
      </c>
      <c r="D91" s="512">
        <v>0.97</v>
      </c>
      <c r="E91" s="512" t="s">
        <v>45</v>
      </c>
      <c r="F91" s="512">
        <v>8</v>
      </c>
      <c r="G91" s="512" t="s">
        <v>45</v>
      </c>
      <c r="H91" s="512">
        <v>1</v>
      </c>
      <c r="I91" s="512" t="s">
        <v>46</v>
      </c>
      <c r="J91" s="512">
        <f t="shared" si="13"/>
        <v>7.76</v>
      </c>
    </row>
    <row r="92" spans="1:10" s="140" customFormat="1" ht="28.5" customHeight="1" x14ac:dyDescent="0.2">
      <c r="A92" s="671"/>
      <c r="B92" s="247" t="s">
        <v>1132</v>
      </c>
      <c r="C92" s="512" t="s">
        <v>920</v>
      </c>
      <c r="D92" s="512">
        <v>0.97</v>
      </c>
      <c r="E92" s="512" t="s">
        <v>45</v>
      </c>
      <c r="F92" s="512">
        <v>4</v>
      </c>
      <c r="G92" s="512" t="s">
        <v>45</v>
      </c>
      <c r="H92" s="512">
        <v>5</v>
      </c>
      <c r="I92" s="512" t="s">
        <v>46</v>
      </c>
      <c r="J92" s="512">
        <f t="shared" ref="J92:J97" si="14">ROUND(D92*F92*H92,2)</f>
        <v>19.399999999999999</v>
      </c>
    </row>
    <row r="93" spans="1:10" s="140" customFormat="1" ht="16.5" customHeight="1" x14ac:dyDescent="0.2">
      <c r="A93" s="671"/>
      <c r="B93" s="247" t="s">
        <v>1125</v>
      </c>
      <c r="C93" s="512" t="s">
        <v>919</v>
      </c>
      <c r="D93" s="512">
        <v>0.97</v>
      </c>
      <c r="E93" s="512" t="s">
        <v>45</v>
      </c>
      <c r="F93" s="512">
        <v>4</v>
      </c>
      <c r="G93" s="512" t="s">
        <v>45</v>
      </c>
      <c r="H93" s="512">
        <v>3</v>
      </c>
      <c r="I93" s="512" t="s">
        <v>46</v>
      </c>
      <c r="J93" s="512">
        <f t="shared" si="14"/>
        <v>11.64</v>
      </c>
    </row>
    <row r="94" spans="1:10" s="140" customFormat="1" ht="16.5" customHeight="1" x14ac:dyDescent="0.2">
      <c r="A94" s="671"/>
      <c r="B94" s="247" t="s">
        <v>949</v>
      </c>
      <c r="C94" s="512" t="s">
        <v>923</v>
      </c>
      <c r="D94" s="512">
        <v>0.97</v>
      </c>
      <c r="E94" s="512" t="s">
        <v>45</v>
      </c>
      <c r="F94" s="512">
        <v>8</v>
      </c>
      <c r="G94" s="512" t="s">
        <v>45</v>
      </c>
      <c r="H94" s="512">
        <v>1</v>
      </c>
      <c r="I94" s="512" t="s">
        <v>46</v>
      </c>
      <c r="J94" s="512">
        <f t="shared" si="14"/>
        <v>7.76</v>
      </c>
    </row>
    <row r="95" spans="1:10" s="140" customFormat="1" ht="16.5" customHeight="1" x14ac:dyDescent="0.2">
      <c r="A95" s="671"/>
      <c r="B95" s="247" t="s">
        <v>943</v>
      </c>
      <c r="C95" s="512" t="s">
        <v>923</v>
      </c>
      <c r="D95" s="512">
        <v>0.97</v>
      </c>
      <c r="E95" s="512" t="s">
        <v>45</v>
      </c>
      <c r="F95" s="512">
        <v>4</v>
      </c>
      <c r="G95" s="512" t="s">
        <v>45</v>
      </c>
      <c r="H95" s="512">
        <v>3</v>
      </c>
      <c r="I95" s="512" t="s">
        <v>46</v>
      </c>
      <c r="J95" s="512">
        <f t="shared" si="14"/>
        <v>11.64</v>
      </c>
    </row>
    <row r="96" spans="1:10" s="140" customFormat="1" ht="16.5" customHeight="1" x14ac:dyDescent="0.2">
      <c r="A96" s="671"/>
      <c r="B96" s="247" t="s">
        <v>947</v>
      </c>
      <c r="C96" s="512" t="s">
        <v>950</v>
      </c>
      <c r="D96" s="512">
        <v>1.57</v>
      </c>
      <c r="E96" s="512" t="s">
        <v>45</v>
      </c>
      <c r="F96" s="512">
        <v>6</v>
      </c>
      <c r="G96" s="512" t="s">
        <v>45</v>
      </c>
      <c r="H96" s="512">
        <v>1</v>
      </c>
      <c r="I96" s="512" t="s">
        <v>46</v>
      </c>
      <c r="J96" s="512">
        <f t="shared" si="14"/>
        <v>9.42</v>
      </c>
    </row>
    <row r="97" spans="1:11" s="140" customFormat="1" ht="16.5" customHeight="1" x14ac:dyDescent="0.2">
      <c r="A97" s="671"/>
      <c r="B97" s="247" t="s">
        <v>1123</v>
      </c>
      <c r="C97" s="512" t="s">
        <v>926</v>
      </c>
      <c r="D97" s="512">
        <v>0.97</v>
      </c>
      <c r="E97" s="512" t="s">
        <v>45</v>
      </c>
      <c r="F97" s="512">
        <v>4</v>
      </c>
      <c r="G97" s="512" t="s">
        <v>45</v>
      </c>
      <c r="H97" s="512">
        <v>1</v>
      </c>
      <c r="I97" s="512" t="s">
        <v>46</v>
      </c>
      <c r="J97" s="512">
        <f t="shared" si="14"/>
        <v>3.88</v>
      </c>
    </row>
    <row r="98" spans="1:11" s="21" customFormat="1" ht="12" customHeight="1" x14ac:dyDescent="0.2">
      <c r="A98" s="529"/>
      <c r="B98" s="710"/>
      <c r="C98" s="710"/>
      <c r="D98" s="710"/>
      <c r="E98" s="710"/>
      <c r="F98" s="710"/>
      <c r="G98" s="710"/>
      <c r="H98" s="710"/>
      <c r="I98" s="710"/>
    </row>
    <row r="99" spans="1:11" s="140" customFormat="1" ht="17.25" customHeight="1" x14ac:dyDescent="0.2">
      <c r="A99" s="671"/>
      <c r="B99" s="672"/>
      <c r="C99" s="512" t="s">
        <v>614</v>
      </c>
      <c r="D99" s="521"/>
      <c r="E99" s="512" t="s">
        <v>928</v>
      </c>
      <c r="F99" s="521"/>
      <c r="G99" s="681" t="s">
        <v>967</v>
      </c>
      <c r="H99" s="672"/>
      <c r="I99" s="672"/>
    </row>
    <row r="100" spans="1:11" s="685" customFormat="1" ht="30" customHeight="1" x14ac:dyDescent="0.2">
      <c r="A100" s="682"/>
      <c r="B100" s="678" t="s">
        <v>939</v>
      </c>
      <c r="C100" s="678">
        <f>ROUND(SUM(J75:J98),2)</f>
        <v>563.05999999999995</v>
      </c>
      <c r="D100" s="678" t="s">
        <v>45</v>
      </c>
      <c r="E100" s="683">
        <v>0.61699999999999999</v>
      </c>
      <c r="F100" s="512" t="s">
        <v>46</v>
      </c>
      <c r="G100" s="681">
        <f>ROUND(C100*E100,2)</f>
        <v>347.41</v>
      </c>
      <c r="H100" s="684"/>
      <c r="I100" s="684"/>
    </row>
    <row r="101" spans="1:11" x14ac:dyDescent="0.2">
      <c r="B101" s="474"/>
      <c r="C101" s="474"/>
      <c r="D101" s="474"/>
      <c r="E101" s="474"/>
      <c r="F101" s="474"/>
      <c r="G101" s="474"/>
      <c r="H101" s="474"/>
      <c r="I101" s="474"/>
    </row>
    <row r="102" spans="1:11" ht="28.5" customHeight="1" x14ac:dyDescent="0.2">
      <c r="B102" s="148" t="str">
        <f>ORÇ!A66</f>
        <v>5.1.4</v>
      </c>
      <c r="C102" s="1748" t="str">
        <f>ORÇ!D66</f>
        <v>ARMAÇÃO DE PILAR OU VIGA DE UMA ESTRUTURA CONVENCIONAL DE CONCRETO ARMADO EM UM EDIFÍCIO DE MÚLTIPLOS PAVIMENTOS UTILIZANDO AÇO CA-50 DE 12,5 MM - MONTAGEM. AF_12/2015</v>
      </c>
      <c r="D102" s="1748"/>
      <c r="E102" s="1748"/>
      <c r="F102" s="1748"/>
      <c r="G102" s="1748"/>
      <c r="H102" s="1748"/>
      <c r="I102" s="1748"/>
      <c r="J102" s="1748"/>
    </row>
    <row r="103" spans="1:11" x14ac:dyDescent="0.2">
      <c r="B103" s="717"/>
      <c r="C103" s="717"/>
      <c r="D103" s="717"/>
      <c r="E103" s="717"/>
      <c r="F103" s="717"/>
      <c r="G103" s="717"/>
      <c r="H103" s="717"/>
      <c r="I103" s="717"/>
      <c r="J103" s="719"/>
    </row>
    <row r="104" spans="1:11" s="602" customFormat="1" ht="18.75" customHeight="1" x14ac:dyDescent="0.2">
      <c r="A104" s="671"/>
      <c r="B104" s="512" t="s">
        <v>616</v>
      </c>
      <c r="C104" s="512" t="s">
        <v>917</v>
      </c>
      <c r="D104" s="512" t="s">
        <v>753</v>
      </c>
      <c r="E104" s="512"/>
      <c r="F104" s="512" t="s">
        <v>590</v>
      </c>
      <c r="G104" s="512"/>
      <c r="H104" s="512" t="s">
        <v>962</v>
      </c>
      <c r="I104" s="512"/>
      <c r="J104" s="512" t="s">
        <v>614</v>
      </c>
      <c r="K104" s="522"/>
    </row>
    <row r="105" spans="1:11" s="246" customFormat="1" ht="16.5" customHeight="1" x14ac:dyDescent="0.2">
      <c r="A105" s="225"/>
      <c r="B105" s="1745" t="s">
        <v>1098</v>
      </c>
      <c r="C105" s="1746"/>
      <c r="D105" s="1746"/>
      <c r="E105" s="1746"/>
      <c r="F105" s="1746"/>
      <c r="G105" s="1746"/>
      <c r="H105" s="1746"/>
      <c r="I105" s="1746"/>
      <c r="J105" s="1747"/>
    </row>
    <row r="106" spans="1:11" s="140" customFormat="1" ht="17.25" customHeight="1" x14ac:dyDescent="0.2">
      <c r="A106" s="671"/>
      <c r="B106" s="1725" t="s">
        <v>620</v>
      </c>
      <c r="C106" s="512" t="s">
        <v>925</v>
      </c>
      <c r="D106" s="512">
        <v>2.97</v>
      </c>
      <c r="E106" s="512" t="s">
        <v>45</v>
      </c>
      <c r="F106" s="512">
        <v>2</v>
      </c>
      <c r="G106" s="512" t="s">
        <v>45</v>
      </c>
      <c r="H106" s="512">
        <v>1</v>
      </c>
      <c r="I106" s="512" t="s">
        <v>46</v>
      </c>
      <c r="J106" s="512">
        <f t="shared" ref="J106:J122" si="15">ROUND(D106*F106*H106,2)</f>
        <v>5.94</v>
      </c>
    </row>
    <row r="107" spans="1:11" s="140" customFormat="1" ht="17.25" customHeight="1" x14ac:dyDescent="0.2">
      <c r="A107" s="671"/>
      <c r="B107" s="1727"/>
      <c r="C107" s="512" t="s">
        <v>940</v>
      </c>
      <c r="D107" s="512">
        <v>3.47</v>
      </c>
      <c r="E107" s="512" t="s">
        <v>45</v>
      </c>
      <c r="F107" s="512">
        <v>4</v>
      </c>
      <c r="G107" s="512" t="s">
        <v>45</v>
      </c>
      <c r="H107" s="512">
        <v>1</v>
      </c>
      <c r="I107" s="512" t="s">
        <v>46</v>
      </c>
      <c r="J107" s="512">
        <f t="shared" si="15"/>
        <v>13.88</v>
      </c>
    </row>
    <row r="108" spans="1:11" s="140" customFormat="1" ht="17.25" customHeight="1" x14ac:dyDescent="0.2">
      <c r="A108" s="671"/>
      <c r="B108" s="1725" t="s">
        <v>621</v>
      </c>
      <c r="C108" s="512" t="s">
        <v>925</v>
      </c>
      <c r="D108" s="512">
        <v>2.97</v>
      </c>
      <c r="E108" s="512" t="s">
        <v>45</v>
      </c>
      <c r="F108" s="512">
        <v>6</v>
      </c>
      <c r="G108" s="512" t="s">
        <v>45</v>
      </c>
      <c r="H108" s="512">
        <v>1</v>
      </c>
      <c r="I108" s="512" t="s">
        <v>46</v>
      </c>
      <c r="J108" s="512">
        <f t="shared" si="15"/>
        <v>17.82</v>
      </c>
    </row>
    <row r="109" spans="1:11" s="140" customFormat="1" ht="17.25" customHeight="1" x14ac:dyDescent="0.2">
      <c r="A109" s="671"/>
      <c r="B109" s="1727"/>
      <c r="C109" s="512" t="s">
        <v>940</v>
      </c>
      <c r="D109" s="512">
        <v>3.47</v>
      </c>
      <c r="E109" s="512" t="s">
        <v>45</v>
      </c>
      <c r="F109" s="512">
        <v>4</v>
      </c>
      <c r="G109" s="512" t="s">
        <v>45</v>
      </c>
      <c r="H109" s="512">
        <v>1</v>
      </c>
      <c r="I109" s="512" t="s">
        <v>46</v>
      </c>
      <c r="J109" s="512">
        <f t="shared" si="15"/>
        <v>13.88</v>
      </c>
    </row>
    <row r="110" spans="1:11" s="140" customFormat="1" ht="17.25" customHeight="1" x14ac:dyDescent="0.2">
      <c r="A110" s="671"/>
      <c r="B110" s="247" t="s">
        <v>624</v>
      </c>
      <c r="C110" s="512" t="s">
        <v>924</v>
      </c>
      <c r="D110" s="512">
        <v>2.97</v>
      </c>
      <c r="E110" s="512" t="s">
        <v>45</v>
      </c>
      <c r="F110" s="512">
        <v>12</v>
      </c>
      <c r="G110" s="512" t="s">
        <v>45</v>
      </c>
      <c r="H110" s="512">
        <v>1</v>
      </c>
      <c r="I110" s="512" t="s">
        <v>46</v>
      </c>
      <c r="J110" s="512">
        <f t="shared" si="15"/>
        <v>35.64</v>
      </c>
    </row>
    <row r="111" spans="1:11" s="140" customFormat="1" ht="17.25" customHeight="1" x14ac:dyDescent="0.2">
      <c r="A111" s="671"/>
      <c r="B111" s="247" t="s">
        <v>951</v>
      </c>
      <c r="C111" s="512" t="s">
        <v>940</v>
      </c>
      <c r="D111" s="512">
        <v>2.97</v>
      </c>
      <c r="E111" s="512" t="s">
        <v>45</v>
      </c>
      <c r="F111" s="512">
        <v>8</v>
      </c>
      <c r="G111" s="512" t="s">
        <v>45</v>
      </c>
      <c r="H111" s="512">
        <v>1</v>
      </c>
      <c r="I111" s="512" t="s">
        <v>46</v>
      </c>
      <c r="J111" s="512">
        <f t="shared" si="15"/>
        <v>23.76</v>
      </c>
    </row>
    <row r="112" spans="1:11" s="140" customFormat="1" ht="17.25" customHeight="1" x14ac:dyDescent="0.2">
      <c r="A112" s="671"/>
      <c r="B112" s="1725" t="s">
        <v>959</v>
      </c>
      <c r="C112" s="512" t="s">
        <v>925</v>
      </c>
      <c r="D112" s="512">
        <v>2.97</v>
      </c>
      <c r="E112" s="512" t="s">
        <v>45</v>
      </c>
      <c r="F112" s="512">
        <v>6</v>
      </c>
      <c r="G112" s="512" t="s">
        <v>45</v>
      </c>
      <c r="H112" s="512">
        <v>1</v>
      </c>
      <c r="I112" s="512" t="s">
        <v>46</v>
      </c>
      <c r="J112" s="512">
        <f t="shared" si="15"/>
        <v>17.82</v>
      </c>
    </row>
    <row r="113" spans="1:10" s="140" customFormat="1" ht="17.25" customHeight="1" x14ac:dyDescent="0.2">
      <c r="A113" s="671"/>
      <c r="B113" s="1727"/>
      <c r="C113" s="512" t="s">
        <v>940</v>
      </c>
      <c r="D113" s="512">
        <v>3.47</v>
      </c>
      <c r="E113" s="512" t="s">
        <v>45</v>
      </c>
      <c r="F113" s="512">
        <v>4</v>
      </c>
      <c r="G113" s="512" t="s">
        <v>45</v>
      </c>
      <c r="H113" s="512">
        <v>1</v>
      </c>
      <c r="I113" s="512" t="s">
        <v>46</v>
      </c>
      <c r="J113" s="512">
        <f t="shared" si="15"/>
        <v>13.88</v>
      </c>
    </row>
    <row r="114" spans="1:10" s="140" customFormat="1" ht="17.25" customHeight="1" x14ac:dyDescent="0.2">
      <c r="A114" s="671"/>
      <c r="B114" s="247" t="s">
        <v>960</v>
      </c>
      <c r="C114" s="512" t="s">
        <v>924</v>
      </c>
      <c r="D114" s="512">
        <v>2.97</v>
      </c>
      <c r="E114" s="512" t="s">
        <v>45</v>
      </c>
      <c r="F114" s="512">
        <v>12</v>
      </c>
      <c r="G114" s="512" t="s">
        <v>45</v>
      </c>
      <c r="H114" s="512">
        <v>1</v>
      </c>
      <c r="I114" s="512" t="s">
        <v>46</v>
      </c>
      <c r="J114" s="512">
        <f t="shared" si="15"/>
        <v>35.64</v>
      </c>
    </row>
    <row r="115" spans="1:10" s="140" customFormat="1" ht="17.25" customHeight="1" x14ac:dyDescent="0.2">
      <c r="A115" s="671"/>
      <c r="B115" s="1725" t="s">
        <v>908</v>
      </c>
      <c r="C115" s="512" t="s">
        <v>923</v>
      </c>
      <c r="D115" s="512">
        <v>2.97</v>
      </c>
      <c r="E115" s="512" t="s">
        <v>45</v>
      </c>
      <c r="F115" s="512">
        <v>2</v>
      </c>
      <c r="G115" s="512" t="s">
        <v>45</v>
      </c>
      <c r="H115" s="512">
        <v>1</v>
      </c>
      <c r="I115" s="512" t="s">
        <v>46</v>
      </c>
      <c r="J115" s="512">
        <f t="shared" si="15"/>
        <v>5.94</v>
      </c>
    </row>
    <row r="116" spans="1:10" s="140" customFormat="1" ht="17.25" customHeight="1" x14ac:dyDescent="0.2">
      <c r="A116" s="671"/>
      <c r="B116" s="1727"/>
      <c r="C116" s="512" t="s">
        <v>924</v>
      </c>
      <c r="D116" s="512">
        <v>3.47</v>
      </c>
      <c r="E116" s="512" t="s">
        <v>45</v>
      </c>
      <c r="F116" s="512">
        <v>4</v>
      </c>
      <c r="G116" s="512" t="s">
        <v>45</v>
      </c>
      <c r="H116" s="512">
        <v>1</v>
      </c>
      <c r="I116" s="512" t="s">
        <v>46</v>
      </c>
      <c r="J116" s="512">
        <f t="shared" si="15"/>
        <v>13.88</v>
      </c>
    </row>
    <row r="117" spans="1:10" s="140" customFormat="1" ht="27" customHeight="1" x14ac:dyDescent="0.2">
      <c r="A117" s="671"/>
      <c r="B117" s="247" t="s">
        <v>1122</v>
      </c>
      <c r="C117" s="512" t="s">
        <v>924</v>
      </c>
      <c r="D117" s="512">
        <v>3.47</v>
      </c>
      <c r="E117" s="512" t="s">
        <v>45</v>
      </c>
      <c r="F117" s="512">
        <v>6</v>
      </c>
      <c r="G117" s="512" t="s">
        <v>45</v>
      </c>
      <c r="H117" s="512">
        <v>4</v>
      </c>
      <c r="I117" s="512" t="s">
        <v>46</v>
      </c>
      <c r="J117" s="512">
        <f t="shared" ref="J117:J120" si="16">ROUND(D117*F117*H117,2)</f>
        <v>83.28</v>
      </c>
    </row>
    <row r="118" spans="1:10" s="140" customFormat="1" ht="17.25" customHeight="1" x14ac:dyDescent="0.2">
      <c r="A118" s="671"/>
      <c r="B118" s="247" t="s">
        <v>954</v>
      </c>
      <c r="C118" s="512" t="s">
        <v>924</v>
      </c>
      <c r="D118" s="512">
        <v>3.47</v>
      </c>
      <c r="E118" s="512" t="s">
        <v>45</v>
      </c>
      <c r="F118" s="512">
        <v>6</v>
      </c>
      <c r="G118" s="512" t="s">
        <v>45</v>
      </c>
      <c r="H118" s="512">
        <v>1</v>
      </c>
      <c r="I118" s="512" t="s">
        <v>46</v>
      </c>
      <c r="J118" s="512">
        <f t="shared" si="16"/>
        <v>20.82</v>
      </c>
    </row>
    <row r="119" spans="1:10" s="140" customFormat="1" ht="17.25" customHeight="1" x14ac:dyDescent="0.2">
      <c r="A119" s="671"/>
      <c r="B119" s="1745" t="s">
        <v>1108</v>
      </c>
      <c r="C119" s="1746"/>
      <c r="D119" s="1746"/>
      <c r="E119" s="1746"/>
      <c r="F119" s="1746"/>
      <c r="G119" s="1746"/>
      <c r="H119" s="1746"/>
      <c r="I119" s="1746"/>
      <c r="J119" s="1747"/>
    </row>
    <row r="120" spans="1:10" s="140" customFormat="1" ht="29.25" customHeight="1" x14ac:dyDescent="0.2">
      <c r="A120" s="671"/>
      <c r="B120" s="247" t="s">
        <v>1133</v>
      </c>
      <c r="C120" s="512" t="s">
        <v>946</v>
      </c>
      <c r="D120" s="512">
        <v>0.97</v>
      </c>
      <c r="E120" s="512" t="s">
        <v>45</v>
      </c>
      <c r="F120" s="512">
        <v>4</v>
      </c>
      <c r="G120" s="512" t="s">
        <v>45</v>
      </c>
      <c r="H120" s="512">
        <v>4</v>
      </c>
      <c r="I120" s="512" t="s">
        <v>46</v>
      </c>
      <c r="J120" s="512">
        <f t="shared" si="16"/>
        <v>15.52</v>
      </c>
    </row>
    <row r="121" spans="1:10" s="246" customFormat="1" ht="16.5" customHeight="1" x14ac:dyDescent="0.2">
      <c r="A121" s="225"/>
      <c r="B121" s="1745" t="s">
        <v>1109</v>
      </c>
      <c r="C121" s="1746"/>
      <c r="D121" s="1746"/>
      <c r="E121" s="1746"/>
      <c r="F121" s="1746"/>
      <c r="G121" s="1746"/>
      <c r="H121" s="1746"/>
      <c r="I121" s="1746"/>
      <c r="J121" s="1747"/>
    </row>
    <row r="122" spans="1:10" s="140" customFormat="1" ht="32.25" customHeight="1" x14ac:dyDescent="0.2">
      <c r="A122" s="671"/>
      <c r="B122" s="247" t="s">
        <v>1134</v>
      </c>
      <c r="C122" s="512" t="s">
        <v>925</v>
      </c>
      <c r="D122" s="512">
        <v>1.57</v>
      </c>
      <c r="E122" s="512" t="s">
        <v>45</v>
      </c>
      <c r="F122" s="512">
        <v>9</v>
      </c>
      <c r="G122" s="512" t="s">
        <v>45</v>
      </c>
      <c r="H122" s="512">
        <v>5</v>
      </c>
      <c r="I122" s="512" t="s">
        <v>46</v>
      </c>
      <c r="J122" s="512">
        <f t="shared" si="15"/>
        <v>70.650000000000006</v>
      </c>
    </row>
    <row r="123" spans="1:10" s="21" customFormat="1" ht="12" customHeight="1" x14ac:dyDescent="0.2">
      <c r="A123" s="529"/>
      <c r="B123" s="710"/>
      <c r="C123" s="710"/>
      <c r="D123" s="710"/>
      <c r="E123" s="710"/>
      <c r="F123" s="710"/>
      <c r="G123" s="710"/>
      <c r="H123" s="710"/>
      <c r="I123" s="710"/>
    </row>
    <row r="124" spans="1:10" s="140" customFormat="1" ht="17.25" customHeight="1" x14ac:dyDescent="0.2">
      <c r="A124" s="671"/>
      <c r="B124" s="672"/>
      <c r="C124" s="512" t="s">
        <v>614</v>
      </c>
      <c r="D124" s="521"/>
      <c r="E124" s="512" t="s">
        <v>928</v>
      </c>
      <c r="F124" s="521"/>
      <c r="G124" s="681" t="s">
        <v>967</v>
      </c>
      <c r="H124" s="672"/>
      <c r="I124" s="672"/>
    </row>
    <row r="125" spans="1:10" s="685" customFormat="1" ht="30" customHeight="1" x14ac:dyDescent="0.2">
      <c r="A125" s="682"/>
      <c r="B125" s="678" t="s">
        <v>961</v>
      </c>
      <c r="C125" s="678">
        <f>ROUND(SUM(J105:J123),2)</f>
        <v>388.35</v>
      </c>
      <c r="D125" s="678" t="s">
        <v>45</v>
      </c>
      <c r="E125" s="683">
        <v>0.96299999999999997</v>
      </c>
      <c r="F125" s="512" t="s">
        <v>46</v>
      </c>
      <c r="G125" s="681">
        <f>ROUND(C125*E125,2)</f>
        <v>373.98</v>
      </c>
      <c r="H125" s="684"/>
      <c r="I125" s="684"/>
    </row>
    <row r="126" spans="1:10" x14ac:dyDescent="0.2">
      <c r="B126" s="474"/>
      <c r="C126" s="474"/>
      <c r="D126" s="474"/>
      <c r="E126" s="474"/>
      <c r="F126" s="474"/>
      <c r="G126" s="474"/>
      <c r="H126" s="474"/>
      <c r="I126" s="474"/>
    </row>
    <row r="127" spans="1:10" ht="28.5" customHeight="1" x14ac:dyDescent="0.2">
      <c r="B127" s="148" t="str">
        <f>ORÇ!A67</f>
        <v>5.1.5</v>
      </c>
      <c r="C127" s="1748" t="str">
        <f>ORÇ!D67</f>
        <v>ARMAÇÃO DE PILAR OU VIGA DE UMA ESTRUTURA CONVENCIONAL DE CONCRETO ARMADO EM UM EDIFÍCIO DE MÚLTIPLOS PAVIMENTOS UTILIZANDO AÇO CA-50 DE 16,0 MM - MONTAGEM. AF_12/2015</v>
      </c>
      <c r="D127" s="1748"/>
      <c r="E127" s="1748"/>
      <c r="F127" s="1748"/>
      <c r="G127" s="1748"/>
      <c r="H127" s="1748"/>
      <c r="I127" s="1748"/>
      <c r="J127" s="1748"/>
    </row>
    <row r="128" spans="1:10" x14ac:dyDescent="0.2">
      <c r="B128" s="717"/>
      <c r="C128" s="717"/>
      <c r="D128" s="717"/>
      <c r="E128" s="717"/>
      <c r="F128" s="717"/>
      <c r="G128" s="717"/>
      <c r="H128" s="717"/>
      <c r="I128" s="717"/>
      <c r="J128" s="719"/>
    </row>
    <row r="129" spans="1:11" s="602" customFormat="1" ht="17.25" customHeight="1" x14ac:dyDescent="0.2">
      <c r="A129" s="671"/>
      <c r="B129" s="512" t="s">
        <v>616</v>
      </c>
      <c r="C129" s="512" t="s">
        <v>917</v>
      </c>
      <c r="D129" s="512" t="s">
        <v>753</v>
      </c>
      <c r="E129" s="512"/>
      <c r="F129" s="512" t="s">
        <v>590</v>
      </c>
      <c r="G129" s="512"/>
      <c r="H129" s="512" t="s">
        <v>963</v>
      </c>
      <c r="I129" s="512"/>
      <c r="J129" s="512" t="s">
        <v>614</v>
      </c>
      <c r="K129" s="522"/>
    </row>
    <row r="130" spans="1:11" s="246" customFormat="1" ht="16.5" customHeight="1" x14ac:dyDescent="0.2">
      <c r="A130" s="225"/>
      <c r="B130" s="1745" t="s">
        <v>1098</v>
      </c>
      <c r="C130" s="1746"/>
      <c r="D130" s="1746"/>
      <c r="E130" s="1746"/>
      <c r="F130" s="1746"/>
      <c r="G130" s="1746"/>
      <c r="H130" s="1746"/>
      <c r="I130" s="1746"/>
      <c r="J130" s="1747"/>
    </row>
    <row r="131" spans="1:11" s="140" customFormat="1" ht="21.75" customHeight="1" x14ac:dyDescent="0.2">
      <c r="A131" s="671"/>
      <c r="B131" s="247" t="s">
        <v>625</v>
      </c>
      <c r="C131" s="512" t="s">
        <v>940</v>
      </c>
      <c r="D131" s="512">
        <v>2.97</v>
      </c>
      <c r="E131" s="512" t="s">
        <v>45</v>
      </c>
      <c r="F131" s="512">
        <v>6</v>
      </c>
      <c r="G131" s="512" t="s">
        <v>45</v>
      </c>
      <c r="H131" s="512">
        <v>1</v>
      </c>
      <c r="I131" s="512" t="s">
        <v>46</v>
      </c>
      <c r="J131" s="512">
        <f>ROUND(D131*F131*H131,2)</f>
        <v>17.82</v>
      </c>
    </row>
    <row r="132" spans="1:11" s="140" customFormat="1" ht="21.75" customHeight="1" x14ac:dyDescent="0.2">
      <c r="A132" s="671"/>
      <c r="B132" s="247" t="s">
        <v>1135</v>
      </c>
      <c r="C132" s="512" t="s">
        <v>946</v>
      </c>
      <c r="D132" s="512">
        <v>2.97</v>
      </c>
      <c r="E132" s="512" t="s">
        <v>45</v>
      </c>
      <c r="F132" s="512">
        <v>6</v>
      </c>
      <c r="G132" s="512" t="s">
        <v>45</v>
      </c>
      <c r="H132" s="512">
        <v>1</v>
      </c>
      <c r="I132" s="512" t="s">
        <v>46</v>
      </c>
      <c r="J132" s="512">
        <f t="shared" ref="J132:J133" si="17">ROUND(D132*F132*H132,2)</f>
        <v>17.82</v>
      </c>
    </row>
    <row r="133" spans="1:11" s="140" customFormat="1" ht="21.75" customHeight="1" x14ac:dyDescent="0.2">
      <c r="A133" s="671"/>
      <c r="B133" s="247" t="s">
        <v>956</v>
      </c>
      <c r="C133" s="512" t="s">
        <v>946</v>
      </c>
      <c r="D133" s="512">
        <v>2.97</v>
      </c>
      <c r="E133" s="512" t="s">
        <v>45</v>
      </c>
      <c r="F133" s="512">
        <v>4</v>
      </c>
      <c r="G133" s="512" t="s">
        <v>45</v>
      </c>
      <c r="H133" s="512">
        <v>2</v>
      </c>
      <c r="I133" s="512" t="s">
        <v>46</v>
      </c>
      <c r="J133" s="512">
        <f t="shared" si="17"/>
        <v>23.76</v>
      </c>
    </row>
    <row r="134" spans="1:11" s="21" customFormat="1" ht="12" customHeight="1" x14ac:dyDescent="0.2">
      <c r="A134" s="529"/>
      <c r="B134" s="710"/>
      <c r="C134" s="710"/>
      <c r="D134" s="710"/>
      <c r="E134" s="710"/>
      <c r="F134" s="710"/>
      <c r="G134" s="710"/>
      <c r="H134" s="710"/>
      <c r="I134" s="710"/>
    </row>
    <row r="135" spans="1:11" s="140" customFormat="1" ht="17.25" customHeight="1" x14ac:dyDescent="0.2">
      <c r="A135" s="671"/>
      <c r="B135" s="672"/>
      <c r="C135" s="512" t="s">
        <v>614</v>
      </c>
      <c r="D135" s="521"/>
      <c r="E135" s="512" t="s">
        <v>928</v>
      </c>
      <c r="F135" s="521"/>
      <c r="G135" s="681" t="s">
        <v>967</v>
      </c>
      <c r="H135" s="672"/>
      <c r="I135" s="672"/>
    </row>
    <row r="136" spans="1:11" s="685" customFormat="1" ht="30" customHeight="1" x14ac:dyDescent="0.2">
      <c r="A136" s="682"/>
      <c r="B136" s="678" t="s">
        <v>965</v>
      </c>
      <c r="C136" s="678">
        <f>ROUND(SUM(J130:J134),2)</f>
        <v>59.4</v>
      </c>
      <c r="D136" s="678" t="s">
        <v>45</v>
      </c>
      <c r="E136" s="683">
        <v>1.5780000000000001</v>
      </c>
      <c r="F136" s="512" t="s">
        <v>46</v>
      </c>
      <c r="G136" s="681">
        <f>ROUND(C136*E136,2)</f>
        <v>93.73</v>
      </c>
      <c r="H136" s="684"/>
      <c r="I136" s="684"/>
    </row>
    <row r="137" spans="1:11" x14ac:dyDescent="0.2">
      <c r="B137" s="474"/>
      <c r="C137" s="474"/>
      <c r="D137" s="474"/>
      <c r="E137" s="474"/>
      <c r="F137" s="474"/>
      <c r="G137" s="474"/>
      <c r="H137" s="474"/>
      <c r="I137" s="474"/>
    </row>
    <row r="138" spans="1:11" ht="30" customHeight="1" x14ac:dyDescent="0.2">
      <c r="B138" s="148" t="str">
        <f>ORÇ!A68</f>
        <v>5.1.6</v>
      </c>
      <c r="C138" s="1759" t="str">
        <f>ORÇ!D68</f>
        <v>CONCRETO FCK = 25MPA, TRAÇO 1:2,3:2,7 (EM MASSA SECA DE CIMENTO/ AREIA MÉDIA/ BRITA 1) - PREPARO MECÂNICO COM BETONEIRA 400 L. AF_05/2021</v>
      </c>
      <c r="D138" s="1759"/>
      <c r="E138" s="1759"/>
      <c r="F138" s="1759"/>
      <c r="G138" s="1759"/>
      <c r="H138" s="1759"/>
      <c r="I138" s="1759"/>
      <c r="J138" s="1759"/>
    </row>
    <row r="139" spans="1:11" x14ac:dyDescent="0.2">
      <c r="B139" s="717"/>
      <c r="C139" s="717"/>
      <c r="D139" s="717"/>
      <c r="E139" s="717"/>
      <c r="F139" s="717"/>
      <c r="G139" s="717"/>
      <c r="H139" s="717"/>
      <c r="I139" s="717"/>
    </row>
    <row r="140" spans="1:11" s="602" customFormat="1" ht="18.75" customHeight="1" x14ac:dyDescent="0.2">
      <c r="A140" s="671"/>
      <c r="B140" s="512" t="s">
        <v>616</v>
      </c>
      <c r="C140" s="1757" t="s">
        <v>1136</v>
      </c>
      <c r="D140" s="1758"/>
      <c r="E140" s="512"/>
      <c r="F140" s="512" t="s">
        <v>311</v>
      </c>
      <c r="G140" s="512"/>
      <c r="H140" s="512" t="s">
        <v>469</v>
      </c>
      <c r="I140" s="512"/>
      <c r="J140" s="512" t="s">
        <v>312</v>
      </c>
    </row>
    <row r="141" spans="1:11" s="246" customFormat="1" ht="16.5" customHeight="1" x14ac:dyDescent="0.2">
      <c r="A141" s="225"/>
      <c r="B141" s="1745" t="s">
        <v>1098</v>
      </c>
      <c r="C141" s="1746"/>
      <c r="D141" s="1746"/>
      <c r="E141" s="1746"/>
      <c r="F141" s="1746"/>
      <c r="G141" s="1746"/>
      <c r="H141" s="1746"/>
      <c r="I141" s="1746"/>
      <c r="J141" s="1747"/>
    </row>
    <row r="142" spans="1:11" s="602" customFormat="1" ht="121.5" customHeight="1" x14ac:dyDescent="0.2">
      <c r="A142" s="671"/>
      <c r="B142" s="247" t="s">
        <v>1140</v>
      </c>
      <c r="C142" s="512">
        <v>0.25</v>
      </c>
      <c r="D142" s="512">
        <v>0.15</v>
      </c>
      <c r="E142" s="512" t="s">
        <v>45</v>
      </c>
      <c r="F142" s="512">
        <v>3</v>
      </c>
      <c r="G142" s="512" t="s">
        <v>45</v>
      </c>
      <c r="H142" s="512">
        <v>26</v>
      </c>
      <c r="I142" s="512" t="s">
        <v>46</v>
      </c>
      <c r="J142" s="512">
        <f>ROUND(C142*D142*F142*H142,2)</f>
        <v>2.93</v>
      </c>
    </row>
    <row r="143" spans="1:11" s="140" customFormat="1" ht="46.5" customHeight="1" x14ac:dyDescent="0.2">
      <c r="A143" s="671"/>
      <c r="B143" s="247" t="s">
        <v>1137</v>
      </c>
      <c r="C143" s="512">
        <v>0.3</v>
      </c>
      <c r="D143" s="512">
        <v>0.15</v>
      </c>
      <c r="E143" s="512" t="s">
        <v>45</v>
      </c>
      <c r="F143" s="512">
        <v>3</v>
      </c>
      <c r="G143" s="512" t="s">
        <v>45</v>
      </c>
      <c r="H143" s="512">
        <v>9</v>
      </c>
      <c r="I143" s="512" t="s">
        <v>46</v>
      </c>
      <c r="J143" s="512">
        <f t="shared" ref="J143:J148" si="18">ROUND(C143*D143*F143*H143,2)</f>
        <v>1.22</v>
      </c>
    </row>
    <row r="144" spans="1:11" s="140" customFormat="1" ht="17.25" customHeight="1" x14ac:dyDescent="0.2">
      <c r="A144" s="671"/>
      <c r="B144" s="1745" t="s">
        <v>1108</v>
      </c>
      <c r="C144" s="1746"/>
      <c r="D144" s="1746"/>
      <c r="E144" s="1746"/>
      <c r="F144" s="1746"/>
      <c r="G144" s="1746"/>
      <c r="H144" s="1746"/>
      <c r="I144" s="1746"/>
      <c r="J144" s="1747"/>
    </row>
    <row r="145" spans="1:10" s="140" customFormat="1" ht="65.25" customHeight="1" x14ac:dyDescent="0.2">
      <c r="A145" s="671"/>
      <c r="B145" s="247" t="s">
        <v>1139</v>
      </c>
      <c r="C145" s="512">
        <v>0.25</v>
      </c>
      <c r="D145" s="512">
        <v>0.15</v>
      </c>
      <c r="E145" s="512" t="s">
        <v>45</v>
      </c>
      <c r="F145" s="512">
        <v>1</v>
      </c>
      <c r="G145" s="512" t="s">
        <v>45</v>
      </c>
      <c r="H145" s="512">
        <v>14</v>
      </c>
      <c r="I145" s="512" t="s">
        <v>46</v>
      </c>
      <c r="J145" s="512">
        <f t="shared" si="18"/>
        <v>0.53</v>
      </c>
    </row>
    <row r="146" spans="1:10" s="140" customFormat="1" ht="25.5" customHeight="1" x14ac:dyDescent="0.2">
      <c r="A146" s="671"/>
      <c r="B146" s="247" t="s">
        <v>1138</v>
      </c>
      <c r="C146" s="512">
        <v>0.3</v>
      </c>
      <c r="D146" s="512">
        <v>0.15</v>
      </c>
      <c r="E146" s="512" t="s">
        <v>45</v>
      </c>
      <c r="F146" s="512">
        <v>1</v>
      </c>
      <c r="G146" s="512" t="s">
        <v>45</v>
      </c>
      <c r="H146" s="512">
        <v>4</v>
      </c>
      <c r="I146" s="512" t="s">
        <v>46</v>
      </c>
      <c r="J146" s="512">
        <f t="shared" si="18"/>
        <v>0.18</v>
      </c>
    </row>
    <row r="147" spans="1:10" s="246" customFormat="1" ht="16.5" customHeight="1" x14ac:dyDescent="0.2">
      <c r="A147" s="225"/>
      <c r="B147" s="1745" t="s">
        <v>1109</v>
      </c>
      <c r="C147" s="1746"/>
      <c r="D147" s="1746"/>
      <c r="E147" s="1746"/>
      <c r="F147" s="1746"/>
      <c r="G147" s="1746"/>
      <c r="H147" s="1746"/>
      <c r="I147" s="1746"/>
      <c r="J147" s="1747"/>
    </row>
    <row r="148" spans="1:10" s="140" customFormat="1" ht="35.25" customHeight="1" x14ac:dyDescent="0.2">
      <c r="A148" s="671"/>
      <c r="B148" s="247" t="s">
        <v>1134</v>
      </c>
      <c r="C148" s="512">
        <v>0.25</v>
      </c>
      <c r="D148" s="512">
        <v>0.15</v>
      </c>
      <c r="E148" s="512" t="s">
        <v>45</v>
      </c>
      <c r="F148" s="512">
        <v>1.6</v>
      </c>
      <c r="G148" s="512" t="s">
        <v>45</v>
      </c>
      <c r="H148" s="512">
        <v>5</v>
      </c>
      <c r="I148" s="512" t="s">
        <v>46</v>
      </c>
      <c r="J148" s="512">
        <f t="shared" si="18"/>
        <v>0.3</v>
      </c>
    </row>
    <row r="149" spans="1:10" s="21" customFormat="1" ht="12" customHeight="1" x14ac:dyDescent="0.2">
      <c r="A149" s="529"/>
      <c r="B149" s="710"/>
      <c r="C149" s="710"/>
      <c r="D149" s="710"/>
      <c r="E149" s="710"/>
      <c r="F149" s="710"/>
      <c r="G149" s="710"/>
      <c r="H149" s="710"/>
      <c r="I149" s="710"/>
    </row>
    <row r="150" spans="1:10" s="140" customFormat="1" ht="15.75" customHeight="1" x14ac:dyDescent="0.2">
      <c r="A150" s="671"/>
      <c r="B150" s="659" t="s">
        <v>47</v>
      </c>
      <c r="C150" s="661">
        <f>ROUND(SUM(J142:J148),2)</f>
        <v>5.16</v>
      </c>
      <c r="D150" s="660" t="s">
        <v>497</v>
      </c>
      <c r="E150" s="672"/>
      <c r="F150" s="672"/>
      <c r="G150" s="672"/>
      <c r="H150" s="672"/>
      <c r="I150" s="672"/>
    </row>
    <row r="151" spans="1:10" s="21" customFormat="1" ht="12" customHeight="1" x14ac:dyDescent="0.2">
      <c r="A151" s="529"/>
      <c r="B151" s="710"/>
      <c r="C151" s="710"/>
      <c r="D151" s="710"/>
      <c r="E151" s="710"/>
      <c r="F151" s="710"/>
      <c r="G151" s="710"/>
      <c r="H151" s="710"/>
      <c r="I151" s="710"/>
    </row>
    <row r="152" spans="1:10" s="720" customFormat="1" ht="17.25" customHeight="1" x14ac:dyDescent="0.2">
      <c r="B152" s="207" t="str">
        <f>ORÇ!A69</f>
        <v>5.1.7</v>
      </c>
      <c r="C152" s="1740" t="str">
        <f>ORÇ!D69</f>
        <v>LANÇAMENTO COM USO DE BALDES, ADENSAMENTO E ACABAMENTO DE CONCRETO EM ESTRUTURAS. AF_02/2022</v>
      </c>
      <c r="D152" s="1740"/>
      <c r="E152" s="1740"/>
      <c r="F152" s="1740"/>
      <c r="G152" s="1740"/>
      <c r="H152" s="1740"/>
      <c r="I152" s="1740"/>
    </row>
    <row r="153" spans="1:10" s="720" customFormat="1" x14ac:dyDescent="0.2">
      <c r="B153" s="206"/>
      <c r="C153" s="206"/>
      <c r="D153" s="206"/>
      <c r="E153" s="206"/>
      <c r="F153" s="206"/>
      <c r="G153" s="206"/>
      <c r="H153" s="206"/>
      <c r="I153" s="206"/>
    </row>
    <row r="154" spans="1:10" s="21" customFormat="1" ht="12" customHeight="1" x14ac:dyDescent="0.2">
      <c r="A154" s="529"/>
      <c r="B154" s="1731" t="s">
        <v>1097</v>
      </c>
      <c r="C154" s="1731"/>
      <c r="D154" s="1731"/>
      <c r="E154" s="1731"/>
      <c r="F154" s="710"/>
      <c r="G154" s="710"/>
      <c r="H154" s="710"/>
      <c r="I154" s="710"/>
    </row>
    <row r="155" spans="1:10" s="140" customFormat="1" ht="15.75" customHeight="1" x14ac:dyDescent="0.2">
      <c r="A155" s="671"/>
      <c r="B155" s="659" t="s">
        <v>47</v>
      </c>
      <c r="C155" s="661">
        <f>C150</f>
        <v>5.16</v>
      </c>
      <c r="D155" s="660" t="s">
        <v>497</v>
      </c>
      <c r="E155" s="672"/>
      <c r="F155" s="672"/>
      <c r="G155" s="672"/>
      <c r="H155" s="672"/>
      <c r="I155" s="672"/>
    </row>
    <row r="156" spans="1:10" s="21" customFormat="1" x14ac:dyDescent="0.2"/>
    <row r="157" spans="1:10" s="21" customFormat="1" x14ac:dyDescent="0.2"/>
    <row r="158" spans="1:10" s="720" customFormat="1" ht="16.5" customHeight="1" x14ac:dyDescent="0.2">
      <c r="B158" s="207" t="str">
        <f>ORÇ!A70</f>
        <v>5.2</v>
      </c>
      <c r="C158" s="1740" t="str">
        <f>ORÇ!D70</f>
        <v>Vigas Superiores</v>
      </c>
      <c r="D158" s="1740"/>
      <c r="E158" s="206"/>
      <c r="F158" s="206"/>
      <c r="G158" s="206"/>
      <c r="H158" s="206"/>
      <c r="I158" s="206"/>
    </row>
    <row r="159" spans="1:10" s="720" customFormat="1" ht="16.5" customHeight="1" x14ac:dyDescent="0.2">
      <c r="B159" s="207" t="str">
        <f>ORÇ!A71</f>
        <v>5.2.1</v>
      </c>
      <c r="C159" s="1741" t="str">
        <f>ORÇ!D71</f>
        <v>FORMAS PARA CONCRETO EM CHAPA DE MADEIRA COMPENSADA RESINADA E=15MM (REAP 2X)</v>
      </c>
      <c r="D159" s="1741"/>
      <c r="E159" s="1741"/>
      <c r="F159" s="1741"/>
      <c r="G159" s="1741"/>
      <c r="H159" s="1741"/>
      <c r="I159" s="1741"/>
    </row>
    <row r="160" spans="1:10" s="720" customFormat="1" x14ac:dyDescent="0.2">
      <c r="B160" s="207"/>
      <c r="C160" s="705"/>
      <c r="D160" s="705"/>
      <c r="E160" s="206"/>
      <c r="F160" s="206"/>
      <c r="G160" s="206"/>
      <c r="H160" s="206"/>
      <c r="I160" s="206"/>
    </row>
    <row r="161" spans="1:9" s="602" customFormat="1" ht="20.25" customHeight="1" x14ac:dyDescent="0.2">
      <c r="A161" s="671"/>
      <c r="B161" s="512" t="s">
        <v>616</v>
      </c>
      <c r="C161" s="512" t="s">
        <v>753</v>
      </c>
      <c r="D161" s="512"/>
      <c r="E161" s="512" t="s">
        <v>1168</v>
      </c>
      <c r="F161" s="512"/>
      <c r="G161" s="512" t="s">
        <v>469</v>
      </c>
      <c r="H161" s="512"/>
      <c r="I161" s="512" t="s">
        <v>213</v>
      </c>
    </row>
    <row r="162" spans="1:9" s="602" customFormat="1" ht="17.25" customHeight="1" x14ac:dyDescent="0.2">
      <c r="A162" s="671"/>
      <c r="B162" s="247" t="s">
        <v>1141</v>
      </c>
      <c r="C162" s="512">
        <v>15.55</v>
      </c>
      <c r="D162" s="512" t="s">
        <v>45</v>
      </c>
      <c r="E162" s="512">
        <f>(0.3*2)</f>
        <v>0.6</v>
      </c>
      <c r="F162" s="512" t="s">
        <v>45</v>
      </c>
      <c r="G162" s="512">
        <v>2</v>
      </c>
      <c r="H162" s="512" t="s">
        <v>46</v>
      </c>
      <c r="I162" s="512">
        <f>ROUND(C162*E162*G162,2)</f>
        <v>18.66</v>
      </c>
    </row>
    <row r="163" spans="1:9" s="140" customFormat="1" ht="17.25" customHeight="1" x14ac:dyDescent="0.2">
      <c r="A163" s="671"/>
      <c r="B163" s="247" t="s">
        <v>1142</v>
      </c>
      <c r="C163" s="678">
        <v>2.7</v>
      </c>
      <c r="D163" s="512" t="s">
        <v>45</v>
      </c>
      <c r="E163" s="512">
        <f t="shared" ref="E163:E188" si="19">(0.3*2)</f>
        <v>0.6</v>
      </c>
      <c r="F163" s="512" t="s">
        <v>45</v>
      </c>
      <c r="G163" s="512">
        <v>1</v>
      </c>
      <c r="H163" s="512" t="s">
        <v>46</v>
      </c>
      <c r="I163" s="512">
        <f t="shared" ref="I163:I188" si="20">ROUND(C163*E163*G163,2)</f>
        <v>1.62</v>
      </c>
    </row>
    <row r="164" spans="1:9" s="140" customFormat="1" ht="17.25" customHeight="1" x14ac:dyDescent="0.2">
      <c r="A164" s="671"/>
      <c r="B164" s="247" t="s">
        <v>1143</v>
      </c>
      <c r="C164" s="678">
        <v>5.2</v>
      </c>
      <c r="D164" s="512" t="s">
        <v>45</v>
      </c>
      <c r="E164" s="512">
        <f t="shared" si="19"/>
        <v>0.6</v>
      </c>
      <c r="F164" s="512" t="s">
        <v>45</v>
      </c>
      <c r="G164" s="512">
        <v>1</v>
      </c>
      <c r="H164" s="512" t="s">
        <v>46</v>
      </c>
      <c r="I164" s="512">
        <f t="shared" si="20"/>
        <v>3.12</v>
      </c>
    </row>
    <row r="165" spans="1:9" s="140" customFormat="1" ht="17.25" customHeight="1" x14ac:dyDescent="0.2">
      <c r="A165" s="671"/>
      <c r="B165" s="247" t="s">
        <v>1144</v>
      </c>
      <c r="C165" s="678">
        <v>4.3499999999999996</v>
      </c>
      <c r="D165" s="512" t="s">
        <v>45</v>
      </c>
      <c r="E165" s="512">
        <f t="shared" si="19"/>
        <v>0.6</v>
      </c>
      <c r="F165" s="512" t="s">
        <v>45</v>
      </c>
      <c r="G165" s="512">
        <v>2</v>
      </c>
      <c r="H165" s="512" t="s">
        <v>46</v>
      </c>
      <c r="I165" s="512">
        <f t="shared" si="20"/>
        <v>5.22</v>
      </c>
    </row>
    <row r="166" spans="1:9" s="140" customFormat="1" ht="17.25" customHeight="1" x14ac:dyDescent="0.2">
      <c r="A166" s="671"/>
      <c r="B166" s="247" t="s">
        <v>1145</v>
      </c>
      <c r="C166" s="678">
        <v>5</v>
      </c>
      <c r="D166" s="512" t="s">
        <v>45</v>
      </c>
      <c r="E166" s="512">
        <f t="shared" si="19"/>
        <v>0.6</v>
      </c>
      <c r="F166" s="512" t="s">
        <v>45</v>
      </c>
      <c r="G166" s="512">
        <v>1</v>
      </c>
      <c r="H166" s="512" t="s">
        <v>46</v>
      </c>
      <c r="I166" s="512">
        <f t="shared" si="20"/>
        <v>3</v>
      </c>
    </row>
    <row r="167" spans="1:9" s="140" customFormat="1" ht="17.25" customHeight="1" x14ac:dyDescent="0.2">
      <c r="A167" s="671"/>
      <c r="B167" s="247" t="s">
        <v>1146</v>
      </c>
      <c r="C167" s="678">
        <v>5.3</v>
      </c>
      <c r="D167" s="512" t="s">
        <v>45</v>
      </c>
      <c r="E167" s="512">
        <f t="shared" si="19"/>
        <v>0.6</v>
      </c>
      <c r="F167" s="512" t="s">
        <v>45</v>
      </c>
      <c r="G167" s="512">
        <v>1</v>
      </c>
      <c r="H167" s="512" t="s">
        <v>46</v>
      </c>
      <c r="I167" s="512">
        <f t="shared" si="20"/>
        <v>3.18</v>
      </c>
    </row>
    <row r="168" spans="1:9" s="140" customFormat="1" ht="17.25" customHeight="1" x14ac:dyDescent="0.2">
      <c r="A168" s="671"/>
      <c r="B168" s="247" t="s">
        <v>1147</v>
      </c>
      <c r="C168" s="678">
        <v>5.3</v>
      </c>
      <c r="D168" s="512" t="s">
        <v>45</v>
      </c>
      <c r="E168" s="512">
        <f t="shared" si="19"/>
        <v>0.6</v>
      </c>
      <c r="F168" s="512" t="s">
        <v>45</v>
      </c>
      <c r="G168" s="512">
        <v>1</v>
      </c>
      <c r="H168" s="512" t="s">
        <v>46</v>
      </c>
      <c r="I168" s="512">
        <f t="shared" si="20"/>
        <v>3.18</v>
      </c>
    </row>
    <row r="169" spans="1:9" s="140" customFormat="1" ht="20.25" customHeight="1" x14ac:dyDescent="0.2">
      <c r="A169" s="671"/>
      <c r="B169" s="247" t="s">
        <v>1148</v>
      </c>
      <c r="C169" s="678">
        <v>5.3</v>
      </c>
      <c r="D169" s="512" t="s">
        <v>45</v>
      </c>
      <c r="E169" s="512">
        <f t="shared" si="19"/>
        <v>0.6</v>
      </c>
      <c r="F169" s="512" t="s">
        <v>45</v>
      </c>
      <c r="G169" s="512">
        <v>2</v>
      </c>
      <c r="H169" s="512" t="s">
        <v>46</v>
      </c>
      <c r="I169" s="512">
        <f t="shared" si="20"/>
        <v>6.36</v>
      </c>
    </row>
    <row r="170" spans="1:9" s="140" customFormat="1" ht="17.25" customHeight="1" x14ac:dyDescent="0.2">
      <c r="A170" s="671"/>
      <c r="B170" s="247" t="s">
        <v>1149</v>
      </c>
      <c r="C170" s="678">
        <f>4.3+3.95</f>
        <v>8.25</v>
      </c>
      <c r="D170" s="512" t="s">
        <v>45</v>
      </c>
      <c r="E170" s="512">
        <f t="shared" si="19"/>
        <v>0.6</v>
      </c>
      <c r="F170" s="512" t="s">
        <v>45</v>
      </c>
      <c r="G170" s="512">
        <v>1</v>
      </c>
      <c r="H170" s="512" t="s">
        <v>46</v>
      </c>
      <c r="I170" s="512">
        <f t="shared" si="20"/>
        <v>4.95</v>
      </c>
    </row>
    <row r="171" spans="1:9" s="140" customFormat="1" ht="17.25" customHeight="1" x14ac:dyDescent="0.2">
      <c r="A171" s="671"/>
      <c r="B171" s="247" t="s">
        <v>1150</v>
      </c>
      <c r="C171" s="678">
        <v>5.3</v>
      </c>
      <c r="D171" s="512" t="s">
        <v>45</v>
      </c>
      <c r="E171" s="512">
        <f t="shared" si="19"/>
        <v>0.6</v>
      </c>
      <c r="F171" s="512" t="s">
        <v>45</v>
      </c>
      <c r="G171" s="512">
        <v>1</v>
      </c>
      <c r="H171" s="512" t="s">
        <v>46</v>
      </c>
      <c r="I171" s="512">
        <f t="shared" si="20"/>
        <v>3.18</v>
      </c>
    </row>
    <row r="172" spans="1:9" s="140" customFormat="1" ht="17.25" customHeight="1" x14ac:dyDescent="0.2">
      <c r="A172" s="671"/>
      <c r="B172" s="247" t="s">
        <v>1151</v>
      </c>
      <c r="C172" s="678">
        <v>5</v>
      </c>
      <c r="D172" s="512" t="s">
        <v>45</v>
      </c>
      <c r="E172" s="512">
        <f t="shared" si="19"/>
        <v>0.6</v>
      </c>
      <c r="F172" s="512" t="s">
        <v>45</v>
      </c>
      <c r="G172" s="512">
        <v>1</v>
      </c>
      <c r="H172" s="512" t="s">
        <v>46</v>
      </c>
      <c r="I172" s="512">
        <f t="shared" si="20"/>
        <v>3</v>
      </c>
    </row>
    <row r="173" spans="1:9" s="140" customFormat="1" ht="17.25" customHeight="1" x14ac:dyDescent="0.2">
      <c r="A173" s="671"/>
      <c r="B173" s="247" t="s">
        <v>1152</v>
      </c>
      <c r="C173" s="678">
        <v>5.3</v>
      </c>
      <c r="D173" s="512" t="s">
        <v>45</v>
      </c>
      <c r="E173" s="512">
        <f t="shared" si="19"/>
        <v>0.6</v>
      </c>
      <c r="F173" s="512" t="s">
        <v>45</v>
      </c>
      <c r="G173" s="512">
        <v>1</v>
      </c>
      <c r="H173" s="512" t="s">
        <v>46</v>
      </c>
      <c r="I173" s="512">
        <f t="shared" si="20"/>
        <v>3.18</v>
      </c>
    </row>
    <row r="174" spans="1:9" s="140" customFormat="1" ht="17.25" customHeight="1" x14ac:dyDescent="0.2">
      <c r="A174" s="671"/>
      <c r="B174" s="247" t="s">
        <v>1153</v>
      </c>
      <c r="C174" s="678">
        <f>4.9+2.45+4.2+4</f>
        <v>15.55</v>
      </c>
      <c r="D174" s="512" t="s">
        <v>45</v>
      </c>
      <c r="E174" s="512">
        <f t="shared" si="19"/>
        <v>0.6</v>
      </c>
      <c r="F174" s="512" t="s">
        <v>45</v>
      </c>
      <c r="G174" s="512">
        <v>1</v>
      </c>
      <c r="H174" s="512" t="s">
        <v>46</v>
      </c>
      <c r="I174" s="512">
        <f t="shared" si="20"/>
        <v>9.33</v>
      </c>
    </row>
    <row r="175" spans="1:9" s="140" customFormat="1" ht="17.25" customHeight="1" x14ac:dyDescent="0.2">
      <c r="A175" s="671"/>
      <c r="B175" s="247" t="s">
        <v>1154</v>
      </c>
      <c r="C175" s="678">
        <f>3.55+4.15</f>
        <v>7.7</v>
      </c>
      <c r="D175" s="512" t="s">
        <v>45</v>
      </c>
      <c r="E175" s="512">
        <f t="shared" si="19"/>
        <v>0.6</v>
      </c>
      <c r="F175" s="512" t="s">
        <v>45</v>
      </c>
      <c r="G175" s="512">
        <v>1</v>
      </c>
      <c r="H175" s="512" t="s">
        <v>46</v>
      </c>
      <c r="I175" s="512">
        <f t="shared" si="20"/>
        <v>4.62</v>
      </c>
    </row>
    <row r="176" spans="1:9" s="140" customFormat="1" ht="17.25" customHeight="1" x14ac:dyDescent="0.2">
      <c r="A176" s="671"/>
      <c r="B176" s="247" t="s">
        <v>1155</v>
      </c>
      <c r="C176" s="678">
        <v>4</v>
      </c>
      <c r="D176" s="512" t="s">
        <v>45</v>
      </c>
      <c r="E176" s="512">
        <f t="shared" si="19"/>
        <v>0.6</v>
      </c>
      <c r="F176" s="512" t="s">
        <v>45</v>
      </c>
      <c r="G176" s="512">
        <v>1</v>
      </c>
      <c r="H176" s="512" t="s">
        <v>46</v>
      </c>
      <c r="I176" s="512">
        <f t="shared" si="20"/>
        <v>2.4</v>
      </c>
    </row>
    <row r="177" spans="1:10" s="140" customFormat="1" ht="17.25" customHeight="1" x14ac:dyDescent="0.2">
      <c r="A177" s="671"/>
      <c r="B177" s="247" t="s">
        <v>1156</v>
      </c>
      <c r="C177" s="678">
        <v>2.1</v>
      </c>
      <c r="D177" s="512" t="s">
        <v>45</v>
      </c>
      <c r="E177" s="512">
        <f t="shared" si="19"/>
        <v>0.6</v>
      </c>
      <c r="F177" s="512" t="s">
        <v>45</v>
      </c>
      <c r="G177" s="512">
        <v>1</v>
      </c>
      <c r="H177" s="512" t="s">
        <v>46</v>
      </c>
      <c r="I177" s="512">
        <f t="shared" si="20"/>
        <v>1.26</v>
      </c>
    </row>
    <row r="178" spans="1:10" s="140" customFormat="1" ht="17.25" customHeight="1" x14ac:dyDescent="0.2">
      <c r="A178" s="671"/>
      <c r="B178" s="247" t="s">
        <v>1157</v>
      </c>
      <c r="C178" s="678">
        <v>2.09</v>
      </c>
      <c r="D178" s="512" t="s">
        <v>45</v>
      </c>
      <c r="E178" s="512">
        <f t="shared" si="19"/>
        <v>0.6</v>
      </c>
      <c r="F178" s="512" t="s">
        <v>45</v>
      </c>
      <c r="G178" s="512">
        <v>1</v>
      </c>
      <c r="H178" s="512" t="s">
        <v>46</v>
      </c>
      <c r="I178" s="512">
        <f t="shared" si="20"/>
        <v>1.25</v>
      </c>
    </row>
    <row r="179" spans="1:10" s="140" customFormat="1" ht="17.25" customHeight="1" x14ac:dyDescent="0.2">
      <c r="A179" s="671"/>
      <c r="B179" s="247" t="s">
        <v>1158</v>
      </c>
      <c r="C179" s="678">
        <v>1.95</v>
      </c>
      <c r="D179" s="512" t="s">
        <v>45</v>
      </c>
      <c r="E179" s="512">
        <f t="shared" si="19"/>
        <v>0.6</v>
      </c>
      <c r="F179" s="512" t="s">
        <v>45</v>
      </c>
      <c r="G179" s="512">
        <v>1</v>
      </c>
      <c r="H179" s="512" t="s">
        <v>46</v>
      </c>
      <c r="I179" s="512">
        <f t="shared" si="20"/>
        <v>1.17</v>
      </c>
    </row>
    <row r="180" spans="1:10" s="140" customFormat="1" ht="17.25" customHeight="1" x14ac:dyDescent="0.2">
      <c r="A180" s="671"/>
      <c r="B180" s="247" t="s">
        <v>1159</v>
      </c>
      <c r="C180" s="678">
        <f>4.3+5.05+2.8+2.95</f>
        <v>15.099999999999998</v>
      </c>
      <c r="D180" s="512" t="s">
        <v>45</v>
      </c>
      <c r="E180" s="512">
        <f t="shared" si="19"/>
        <v>0.6</v>
      </c>
      <c r="F180" s="512" t="s">
        <v>45</v>
      </c>
      <c r="G180" s="512">
        <v>1</v>
      </c>
      <c r="H180" s="512" t="s">
        <v>46</v>
      </c>
      <c r="I180" s="512">
        <f t="shared" si="20"/>
        <v>9.06</v>
      </c>
    </row>
    <row r="181" spans="1:10" s="140" customFormat="1" ht="17.25" customHeight="1" x14ac:dyDescent="0.2">
      <c r="A181" s="671"/>
      <c r="B181" s="247" t="s">
        <v>1160</v>
      </c>
      <c r="C181" s="678">
        <v>3.15</v>
      </c>
      <c r="D181" s="512" t="s">
        <v>45</v>
      </c>
      <c r="E181" s="512">
        <f t="shared" si="19"/>
        <v>0.6</v>
      </c>
      <c r="F181" s="512" t="s">
        <v>45</v>
      </c>
      <c r="G181" s="512">
        <v>1</v>
      </c>
      <c r="H181" s="512" t="s">
        <v>46</v>
      </c>
      <c r="I181" s="512">
        <f t="shared" si="20"/>
        <v>1.89</v>
      </c>
    </row>
    <row r="182" spans="1:10" s="140" customFormat="1" ht="17.25" customHeight="1" x14ac:dyDescent="0.2">
      <c r="A182" s="671"/>
      <c r="B182" s="247" t="s">
        <v>1161</v>
      </c>
      <c r="C182" s="678">
        <v>3.05</v>
      </c>
      <c r="D182" s="512" t="s">
        <v>45</v>
      </c>
      <c r="E182" s="512">
        <f t="shared" si="19"/>
        <v>0.6</v>
      </c>
      <c r="F182" s="512" t="s">
        <v>45</v>
      </c>
      <c r="G182" s="512">
        <v>1</v>
      </c>
      <c r="H182" s="512" t="s">
        <v>46</v>
      </c>
      <c r="I182" s="512">
        <f t="shared" si="20"/>
        <v>1.83</v>
      </c>
    </row>
    <row r="183" spans="1:10" s="140" customFormat="1" ht="17.25" customHeight="1" x14ac:dyDescent="0.2">
      <c r="A183" s="671"/>
      <c r="B183" s="247" t="s">
        <v>1162</v>
      </c>
      <c r="C183" s="678">
        <v>5.45</v>
      </c>
      <c r="D183" s="512" t="s">
        <v>45</v>
      </c>
      <c r="E183" s="512">
        <f t="shared" si="19"/>
        <v>0.6</v>
      </c>
      <c r="F183" s="512" t="s">
        <v>45</v>
      </c>
      <c r="G183" s="512">
        <v>1</v>
      </c>
      <c r="H183" s="512" t="s">
        <v>46</v>
      </c>
      <c r="I183" s="512">
        <f t="shared" si="20"/>
        <v>3.27</v>
      </c>
    </row>
    <row r="184" spans="1:10" s="140" customFormat="1" ht="17.25" customHeight="1" x14ac:dyDescent="0.2">
      <c r="A184" s="671"/>
      <c r="B184" s="247" t="s">
        <v>1163</v>
      </c>
      <c r="C184" s="678">
        <v>8.1999999999999993</v>
      </c>
      <c r="D184" s="512" t="s">
        <v>45</v>
      </c>
      <c r="E184" s="512">
        <f t="shared" si="19"/>
        <v>0.6</v>
      </c>
      <c r="F184" s="512" t="s">
        <v>45</v>
      </c>
      <c r="G184" s="512">
        <v>1</v>
      </c>
      <c r="H184" s="512" t="s">
        <v>46</v>
      </c>
      <c r="I184" s="512">
        <f t="shared" si="20"/>
        <v>4.92</v>
      </c>
    </row>
    <row r="185" spans="1:10" s="140" customFormat="1" ht="18" customHeight="1" x14ac:dyDescent="0.2">
      <c r="A185" s="671"/>
      <c r="B185" s="247" t="s">
        <v>1164</v>
      </c>
      <c r="C185" s="678">
        <f>4.25+5.05+2.85+2.9+5.2+2.85</f>
        <v>23.1</v>
      </c>
      <c r="D185" s="512" t="s">
        <v>45</v>
      </c>
      <c r="E185" s="512">
        <f t="shared" si="19"/>
        <v>0.6</v>
      </c>
      <c r="F185" s="512" t="s">
        <v>45</v>
      </c>
      <c r="G185" s="512">
        <v>3</v>
      </c>
      <c r="H185" s="512" t="s">
        <v>46</v>
      </c>
      <c r="I185" s="512">
        <f t="shared" si="20"/>
        <v>41.58</v>
      </c>
    </row>
    <row r="186" spans="1:10" s="140" customFormat="1" ht="17.25" customHeight="1" x14ac:dyDescent="0.2">
      <c r="A186" s="671"/>
      <c r="B186" s="247" t="s">
        <v>1165</v>
      </c>
      <c r="C186" s="678">
        <v>3.45</v>
      </c>
      <c r="D186" s="512" t="s">
        <v>45</v>
      </c>
      <c r="E186" s="512">
        <f t="shared" si="19"/>
        <v>0.6</v>
      </c>
      <c r="F186" s="512" t="s">
        <v>45</v>
      </c>
      <c r="G186" s="512">
        <v>1</v>
      </c>
      <c r="H186" s="512" t="s">
        <v>46</v>
      </c>
      <c r="I186" s="512">
        <f t="shared" si="20"/>
        <v>2.0699999999999998</v>
      </c>
    </row>
    <row r="187" spans="1:10" s="140" customFormat="1" ht="17.25" customHeight="1" x14ac:dyDescent="0.2">
      <c r="A187" s="671"/>
      <c r="B187" s="247" t="s">
        <v>1166</v>
      </c>
      <c r="C187" s="678">
        <v>4.2</v>
      </c>
      <c r="D187" s="512" t="s">
        <v>45</v>
      </c>
      <c r="E187" s="512">
        <f t="shared" si="19"/>
        <v>0.6</v>
      </c>
      <c r="F187" s="512" t="s">
        <v>45</v>
      </c>
      <c r="G187" s="512">
        <v>1</v>
      </c>
      <c r="H187" s="512" t="s">
        <v>46</v>
      </c>
      <c r="I187" s="512">
        <f t="shared" si="20"/>
        <v>2.52</v>
      </c>
    </row>
    <row r="188" spans="1:10" s="140" customFormat="1" ht="17.25" customHeight="1" x14ac:dyDescent="0.2">
      <c r="A188" s="671"/>
      <c r="B188" s="247" t="s">
        <v>1167</v>
      </c>
      <c r="C188" s="678">
        <v>2.8</v>
      </c>
      <c r="D188" s="512" t="s">
        <v>45</v>
      </c>
      <c r="E188" s="512">
        <f t="shared" si="19"/>
        <v>0.6</v>
      </c>
      <c r="F188" s="512" t="s">
        <v>45</v>
      </c>
      <c r="G188" s="512">
        <v>1</v>
      </c>
      <c r="H188" s="512" t="s">
        <v>46</v>
      </c>
      <c r="I188" s="512">
        <f t="shared" si="20"/>
        <v>1.68</v>
      </c>
    </row>
    <row r="189" spans="1:10" s="21" customFormat="1" ht="12" customHeight="1" x14ac:dyDescent="0.2">
      <c r="A189" s="529"/>
      <c r="B189" s="710"/>
      <c r="C189" s="710"/>
      <c r="D189" s="710"/>
      <c r="E189" s="710"/>
      <c r="F189" s="710"/>
      <c r="G189" s="710"/>
      <c r="H189" s="710"/>
      <c r="I189" s="710"/>
    </row>
    <row r="190" spans="1:10" s="140" customFormat="1" ht="15.75" customHeight="1" x14ac:dyDescent="0.2">
      <c r="A190" s="671"/>
      <c r="B190" s="659" t="s">
        <v>47</v>
      </c>
      <c r="C190" s="661">
        <f>ROUND(SUM(I162:I189),2)</f>
        <v>147.5</v>
      </c>
      <c r="D190" s="660" t="s">
        <v>4</v>
      </c>
      <c r="E190" s="672"/>
      <c r="F190" s="755"/>
      <c r="G190" s="672"/>
      <c r="H190" s="672"/>
      <c r="I190" s="672"/>
    </row>
    <row r="191" spans="1:10" s="720" customFormat="1" x14ac:dyDescent="0.2">
      <c r="B191" s="207"/>
      <c r="C191" s="705"/>
      <c r="D191" s="705"/>
      <c r="E191" s="206"/>
      <c r="F191" s="206"/>
      <c r="G191" s="206"/>
      <c r="H191" s="206"/>
      <c r="I191" s="206"/>
    </row>
    <row r="192" spans="1:10" s="720" customFormat="1" ht="30" customHeight="1" x14ac:dyDescent="0.2">
      <c r="B192" s="207" t="str">
        <f>ORÇ!A72</f>
        <v>5.2.2</v>
      </c>
      <c r="C192" s="1741" t="str">
        <f>ORÇ!D72</f>
        <v>ARMAÇÃO DE PILAR OU VIGA DE UMA ESTRUTURA CONVENCIONAL DE CONCRETO ARMADO EM UM EDIFÍCIO DE MÚLTIPLOS PAVIMENTOS UTILIZANDO AÇO CA-60 DE 5,0 MM - MONTAGEM. AF_12/2015</v>
      </c>
      <c r="D192" s="1741"/>
      <c r="E192" s="1741"/>
      <c r="F192" s="1741"/>
      <c r="G192" s="1741"/>
      <c r="H192" s="1741"/>
      <c r="I192" s="1741"/>
      <c r="J192" s="298"/>
    </row>
    <row r="193" spans="1:11" s="720" customFormat="1" x14ac:dyDescent="0.2">
      <c r="B193" s="207"/>
      <c r="C193" s="705"/>
      <c r="D193" s="196"/>
      <c r="E193" s="196"/>
      <c r="F193" s="206"/>
      <c r="G193" s="206"/>
      <c r="H193" s="206"/>
      <c r="I193" s="206"/>
    </row>
    <row r="194" spans="1:11" s="602" customFormat="1" ht="20.25" customHeight="1" x14ac:dyDescent="0.2">
      <c r="A194" s="671"/>
      <c r="B194" s="512" t="s">
        <v>616</v>
      </c>
      <c r="C194" s="512" t="s">
        <v>917</v>
      </c>
      <c r="D194" s="512" t="s">
        <v>753</v>
      </c>
      <c r="E194" s="512"/>
      <c r="F194" s="512" t="s">
        <v>590</v>
      </c>
      <c r="G194" s="512"/>
      <c r="H194" s="512" t="s">
        <v>1022</v>
      </c>
      <c r="I194" s="512"/>
      <c r="J194" s="512" t="s">
        <v>614</v>
      </c>
      <c r="K194" s="522"/>
    </row>
    <row r="195" spans="1:11" s="140" customFormat="1" ht="16.5" customHeight="1" x14ac:dyDescent="0.2">
      <c r="A195" s="671"/>
      <c r="B195" s="247" t="s">
        <v>1174</v>
      </c>
      <c r="C195" s="512" t="s">
        <v>945</v>
      </c>
      <c r="D195" s="512">
        <v>0.78</v>
      </c>
      <c r="E195" s="512" t="s">
        <v>45</v>
      </c>
      <c r="F195" s="512">
        <v>104</v>
      </c>
      <c r="G195" s="512" t="s">
        <v>45</v>
      </c>
      <c r="H195" s="512">
        <v>1</v>
      </c>
      <c r="I195" s="512" t="s">
        <v>46</v>
      </c>
      <c r="J195" s="512">
        <f>ROUND(D195*F195*H195,2)</f>
        <v>81.12</v>
      </c>
      <c r="K195" s="757"/>
    </row>
    <row r="196" spans="1:11" s="140" customFormat="1" ht="16.5" customHeight="1" x14ac:dyDescent="0.2">
      <c r="A196" s="671"/>
      <c r="B196" s="247" t="s">
        <v>1184</v>
      </c>
      <c r="C196" s="512" t="s">
        <v>945</v>
      </c>
      <c r="D196" s="512">
        <v>0.78</v>
      </c>
      <c r="E196" s="512" t="s">
        <v>45</v>
      </c>
      <c r="F196" s="512">
        <v>17</v>
      </c>
      <c r="G196" s="512" t="s">
        <v>45</v>
      </c>
      <c r="H196" s="512">
        <v>2</v>
      </c>
      <c r="I196" s="512" t="s">
        <v>46</v>
      </c>
      <c r="J196" s="512">
        <f t="shared" ref="J196:J205" si="21">ROUND(D196*F196*H196,2)</f>
        <v>26.52</v>
      </c>
      <c r="K196" s="757"/>
    </row>
    <row r="197" spans="1:11" s="140" customFormat="1" ht="32.25" customHeight="1" x14ac:dyDescent="0.2">
      <c r="A197" s="671"/>
      <c r="B197" s="247" t="s">
        <v>1176</v>
      </c>
      <c r="C197" s="512" t="s">
        <v>945</v>
      </c>
      <c r="D197" s="512">
        <v>0.78</v>
      </c>
      <c r="E197" s="512" t="s">
        <v>45</v>
      </c>
      <c r="F197" s="512">
        <v>34</v>
      </c>
      <c r="G197" s="512" t="s">
        <v>45</v>
      </c>
      <c r="H197" s="512">
        <v>5</v>
      </c>
      <c r="I197" s="512" t="s">
        <v>46</v>
      </c>
      <c r="J197" s="512">
        <f t="shared" si="21"/>
        <v>132.6</v>
      </c>
      <c r="K197" s="757"/>
    </row>
    <row r="198" spans="1:11" s="140" customFormat="1" ht="16.5" customHeight="1" x14ac:dyDescent="0.2">
      <c r="A198" s="671"/>
      <c r="B198" s="1725" t="s">
        <v>1175</v>
      </c>
      <c r="C198" s="512" t="s">
        <v>945</v>
      </c>
      <c r="D198" s="512">
        <v>0.78</v>
      </c>
      <c r="E198" s="512" t="s">
        <v>45</v>
      </c>
      <c r="F198" s="512">
        <v>27</v>
      </c>
      <c r="G198" s="512" t="s">
        <v>45</v>
      </c>
      <c r="H198" s="512">
        <v>2</v>
      </c>
      <c r="I198" s="512" t="s">
        <v>46</v>
      </c>
      <c r="J198" s="512">
        <f t="shared" si="21"/>
        <v>42.12</v>
      </c>
      <c r="K198" s="757"/>
    </row>
    <row r="199" spans="1:11" s="140" customFormat="1" ht="16.5" customHeight="1" x14ac:dyDescent="0.2">
      <c r="A199" s="671"/>
      <c r="B199" s="1727"/>
      <c r="C199" s="512" t="s">
        <v>921</v>
      </c>
      <c r="D199" s="512">
        <v>3.2</v>
      </c>
      <c r="E199" s="512" t="s">
        <v>45</v>
      </c>
      <c r="F199" s="512">
        <v>2</v>
      </c>
      <c r="G199" s="512" t="s">
        <v>45</v>
      </c>
      <c r="H199" s="512">
        <v>2</v>
      </c>
      <c r="I199" s="512" t="s">
        <v>46</v>
      </c>
      <c r="J199" s="512">
        <f t="shared" si="21"/>
        <v>12.8</v>
      </c>
      <c r="K199" s="757"/>
    </row>
    <row r="200" spans="1:11" s="140" customFormat="1" ht="16.5" customHeight="1" x14ac:dyDescent="0.2">
      <c r="A200" s="671"/>
      <c r="B200" s="1725" t="s">
        <v>1146</v>
      </c>
      <c r="C200" s="512" t="s">
        <v>945</v>
      </c>
      <c r="D200" s="512">
        <v>0.78</v>
      </c>
      <c r="E200" s="512" t="s">
        <v>45</v>
      </c>
      <c r="F200" s="512">
        <v>34</v>
      </c>
      <c r="G200" s="512" t="s">
        <v>45</v>
      </c>
      <c r="H200" s="512">
        <v>1</v>
      </c>
      <c r="I200" s="512" t="s">
        <v>46</v>
      </c>
      <c r="J200" s="512">
        <f t="shared" si="21"/>
        <v>26.52</v>
      </c>
      <c r="K200" s="757"/>
    </row>
    <row r="201" spans="1:11" s="140" customFormat="1" ht="16.5" customHeight="1" x14ac:dyDescent="0.2">
      <c r="A201" s="671"/>
      <c r="B201" s="1727"/>
      <c r="C201" s="512" t="s">
        <v>922</v>
      </c>
      <c r="D201" s="512">
        <v>4.1500000000000004</v>
      </c>
      <c r="E201" s="512" t="s">
        <v>45</v>
      </c>
      <c r="F201" s="512">
        <v>2</v>
      </c>
      <c r="G201" s="512" t="s">
        <v>45</v>
      </c>
      <c r="H201" s="512">
        <v>1</v>
      </c>
      <c r="I201" s="512" t="s">
        <v>46</v>
      </c>
      <c r="J201" s="512">
        <f t="shared" si="21"/>
        <v>8.3000000000000007</v>
      </c>
      <c r="K201" s="757"/>
    </row>
    <row r="202" spans="1:11" s="140" customFormat="1" ht="16.5" customHeight="1" x14ac:dyDescent="0.2">
      <c r="A202" s="671"/>
      <c r="B202" s="247" t="s">
        <v>1178</v>
      </c>
      <c r="C202" s="512" t="s">
        <v>945</v>
      </c>
      <c r="D202" s="512">
        <v>0.78</v>
      </c>
      <c r="E202" s="512" t="s">
        <v>45</v>
      </c>
      <c r="F202" s="512">
        <v>105</v>
      </c>
      <c r="G202" s="512" t="s">
        <v>45</v>
      </c>
      <c r="H202" s="512">
        <v>2</v>
      </c>
      <c r="I202" s="512" t="s">
        <v>46</v>
      </c>
      <c r="J202" s="512">
        <f t="shared" si="21"/>
        <v>163.80000000000001</v>
      </c>
      <c r="K202" s="757"/>
    </row>
    <row r="203" spans="1:11" s="140" customFormat="1" ht="16.5" customHeight="1" x14ac:dyDescent="0.2">
      <c r="A203" s="671"/>
      <c r="B203" s="247" t="s">
        <v>1177</v>
      </c>
      <c r="C203" s="512" t="s">
        <v>926</v>
      </c>
      <c r="D203" s="512">
        <v>4.05</v>
      </c>
      <c r="E203" s="512" t="s">
        <v>45</v>
      </c>
      <c r="F203" s="512">
        <v>2</v>
      </c>
      <c r="G203" s="512" t="s">
        <v>45</v>
      </c>
      <c r="H203" s="512">
        <v>3</v>
      </c>
      <c r="I203" s="512" t="s">
        <v>46</v>
      </c>
      <c r="J203" s="512">
        <f t="shared" si="21"/>
        <v>24.3</v>
      </c>
      <c r="K203" s="757"/>
    </row>
    <row r="204" spans="1:11" s="140" customFormat="1" ht="16.5" customHeight="1" x14ac:dyDescent="0.2">
      <c r="A204" s="671"/>
      <c r="B204" s="247" t="s">
        <v>1182</v>
      </c>
      <c r="C204" s="512" t="s">
        <v>945</v>
      </c>
      <c r="D204" s="512">
        <v>0.78</v>
      </c>
      <c r="E204" s="512" t="s">
        <v>45</v>
      </c>
      <c r="F204" s="512">
        <v>56</v>
      </c>
      <c r="G204" s="512" t="s">
        <v>45</v>
      </c>
      <c r="H204" s="512">
        <v>2</v>
      </c>
      <c r="I204" s="512" t="s">
        <v>46</v>
      </c>
      <c r="J204" s="512">
        <f t="shared" si="21"/>
        <v>87.36</v>
      </c>
      <c r="K204" s="757"/>
    </row>
    <row r="205" spans="1:11" s="140" customFormat="1" ht="16.5" customHeight="1" x14ac:dyDescent="0.2">
      <c r="A205" s="671"/>
      <c r="B205" s="247" t="s">
        <v>1150</v>
      </c>
      <c r="C205" s="512" t="s">
        <v>922</v>
      </c>
      <c r="D205" s="512">
        <v>4.1500000000000004</v>
      </c>
      <c r="E205" s="512" t="s">
        <v>45</v>
      </c>
      <c r="F205" s="512">
        <v>2</v>
      </c>
      <c r="G205" s="512" t="s">
        <v>45</v>
      </c>
      <c r="H205" s="512">
        <v>1</v>
      </c>
      <c r="I205" s="512" t="s">
        <v>46</v>
      </c>
      <c r="J205" s="512">
        <f t="shared" si="21"/>
        <v>8.3000000000000007</v>
      </c>
      <c r="K205" s="757"/>
    </row>
    <row r="206" spans="1:11" s="140" customFormat="1" ht="16.5" customHeight="1" x14ac:dyDescent="0.2">
      <c r="A206" s="671"/>
      <c r="B206" s="247" t="s">
        <v>1152</v>
      </c>
      <c r="C206" s="512" t="s">
        <v>945</v>
      </c>
      <c r="D206" s="512">
        <v>0.78</v>
      </c>
      <c r="E206" s="512" t="s">
        <v>45</v>
      </c>
      <c r="F206" s="512">
        <v>36</v>
      </c>
      <c r="G206" s="512" t="s">
        <v>45</v>
      </c>
      <c r="H206" s="512">
        <v>1</v>
      </c>
      <c r="I206" s="512" t="s">
        <v>46</v>
      </c>
      <c r="J206" s="512">
        <f t="shared" ref="J206:J218" si="22">ROUND(D206*F206*H206,2)</f>
        <v>28.08</v>
      </c>
      <c r="K206" s="757"/>
    </row>
    <row r="207" spans="1:11" s="140" customFormat="1" ht="16.5" customHeight="1" x14ac:dyDescent="0.2">
      <c r="A207" s="671"/>
      <c r="B207" s="247" t="s">
        <v>1154</v>
      </c>
      <c r="C207" s="512" t="s">
        <v>945</v>
      </c>
      <c r="D207" s="512">
        <v>0.78</v>
      </c>
      <c r="E207" s="512" t="s">
        <v>45</v>
      </c>
      <c r="F207" s="512">
        <v>52</v>
      </c>
      <c r="G207" s="512" t="s">
        <v>45</v>
      </c>
      <c r="H207" s="512">
        <v>1</v>
      </c>
      <c r="I207" s="512" t="s">
        <v>46</v>
      </c>
      <c r="J207" s="512">
        <f t="shared" ref="J207:J215" si="23">ROUND(D207*F207*H207,2)</f>
        <v>40.56</v>
      </c>
    </row>
    <row r="208" spans="1:11" s="140" customFormat="1" ht="16.5" customHeight="1" x14ac:dyDescent="0.2">
      <c r="A208" s="671"/>
      <c r="B208" s="1725" t="s">
        <v>1179</v>
      </c>
      <c r="C208" s="512" t="s">
        <v>945</v>
      </c>
      <c r="D208" s="512">
        <v>0.78</v>
      </c>
      <c r="E208" s="512" t="s">
        <v>45</v>
      </c>
      <c r="F208" s="512">
        <v>159</v>
      </c>
      <c r="G208" s="512" t="s">
        <v>45</v>
      </c>
      <c r="H208" s="512">
        <v>2</v>
      </c>
      <c r="I208" s="512" t="s">
        <v>46</v>
      </c>
      <c r="J208" s="512">
        <f t="shared" si="23"/>
        <v>248.04</v>
      </c>
    </row>
    <row r="209" spans="1:10" s="140" customFormat="1" ht="16.5" customHeight="1" x14ac:dyDescent="0.2">
      <c r="A209" s="671"/>
      <c r="B209" s="1726"/>
      <c r="C209" s="512" t="s">
        <v>921</v>
      </c>
      <c r="D209" s="512">
        <v>1.83</v>
      </c>
      <c r="E209" s="512" t="s">
        <v>45</v>
      </c>
      <c r="F209" s="512">
        <v>2</v>
      </c>
      <c r="G209" s="512" t="s">
        <v>45</v>
      </c>
      <c r="H209" s="512">
        <v>2</v>
      </c>
      <c r="I209" s="512" t="s">
        <v>46</v>
      </c>
      <c r="J209" s="512">
        <f t="shared" si="23"/>
        <v>7.32</v>
      </c>
    </row>
    <row r="210" spans="1:10" s="140" customFormat="1" ht="16.5" customHeight="1" x14ac:dyDescent="0.2">
      <c r="A210" s="671"/>
      <c r="B210" s="1727"/>
      <c r="C210" s="512" t="s">
        <v>922</v>
      </c>
      <c r="D210" s="512">
        <v>1</v>
      </c>
      <c r="E210" s="512" t="s">
        <v>45</v>
      </c>
      <c r="F210" s="512">
        <v>2</v>
      </c>
      <c r="G210" s="512" t="s">
        <v>45</v>
      </c>
      <c r="H210" s="512">
        <v>2</v>
      </c>
      <c r="I210" s="512" t="s">
        <v>46</v>
      </c>
      <c r="J210" s="512">
        <f t="shared" si="23"/>
        <v>4</v>
      </c>
    </row>
    <row r="211" spans="1:10" s="140" customFormat="1" ht="16.5" customHeight="1" x14ac:dyDescent="0.2">
      <c r="A211" s="671"/>
      <c r="B211" s="247" t="s">
        <v>1156</v>
      </c>
      <c r="C211" s="512" t="s">
        <v>945</v>
      </c>
      <c r="D211" s="512">
        <v>0.78</v>
      </c>
      <c r="E211" s="512" t="s">
        <v>45</v>
      </c>
      <c r="F211" s="512">
        <v>13</v>
      </c>
      <c r="G211" s="512" t="s">
        <v>45</v>
      </c>
      <c r="H211" s="512">
        <v>1</v>
      </c>
      <c r="I211" s="512" t="s">
        <v>46</v>
      </c>
      <c r="J211" s="512">
        <f t="shared" si="23"/>
        <v>10.14</v>
      </c>
    </row>
    <row r="212" spans="1:10" s="140" customFormat="1" ht="16.5" customHeight="1" x14ac:dyDescent="0.2">
      <c r="A212" s="671"/>
      <c r="B212" s="247" t="s">
        <v>1180</v>
      </c>
      <c r="C212" s="512" t="s">
        <v>945</v>
      </c>
      <c r="D212" s="512">
        <v>0.78</v>
      </c>
      <c r="E212" s="512" t="s">
        <v>45</v>
      </c>
      <c r="F212" s="512">
        <v>12</v>
      </c>
      <c r="G212" s="512" t="s">
        <v>45</v>
      </c>
      <c r="H212" s="512">
        <v>2</v>
      </c>
      <c r="I212" s="512" t="s">
        <v>46</v>
      </c>
      <c r="J212" s="512">
        <f t="shared" si="23"/>
        <v>18.72</v>
      </c>
    </row>
    <row r="213" spans="1:10" s="140" customFormat="1" ht="16.5" customHeight="1" x14ac:dyDescent="0.2">
      <c r="A213" s="671"/>
      <c r="B213" s="247" t="s">
        <v>1159</v>
      </c>
      <c r="C213" s="512" t="s">
        <v>945</v>
      </c>
      <c r="D213" s="512">
        <v>0.78</v>
      </c>
      <c r="E213" s="512" t="s">
        <v>45</v>
      </c>
      <c r="F213" s="512">
        <v>102</v>
      </c>
      <c r="G213" s="512" t="s">
        <v>45</v>
      </c>
      <c r="H213" s="512">
        <v>1</v>
      </c>
      <c r="I213" s="512" t="s">
        <v>46</v>
      </c>
      <c r="J213" s="512">
        <f t="shared" si="23"/>
        <v>79.56</v>
      </c>
    </row>
    <row r="214" spans="1:10" s="140" customFormat="1" ht="16.5" customHeight="1" x14ac:dyDescent="0.2">
      <c r="A214" s="671"/>
      <c r="B214" s="247" t="s">
        <v>1181</v>
      </c>
      <c r="C214" s="512" t="s">
        <v>945</v>
      </c>
      <c r="D214" s="512">
        <v>0.78</v>
      </c>
      <c r="E214" s="512" t="s">
        <v>45</v>
      </c>
      <c r="F214" s="512">
        <v>20</v>
      </c>
      <c r="G214" s="512" t="s">
        <v>45</v>
      </c>
      <c r="H214" s="512">
        <v>2</v>
      </c>
      <c r="I214" s="512" t="s">
        <v>46</v>
      </c>
      <c r="J214" s="512">
        <f t="shared" si="23"/>
        <v>31.2</v>
      </c>
    </row>
    <row r="215" spans="1:10" s="140" customFormat="1" ht="16.5" customHeight="1" x14ac:dyDescent="0.2">
      <c r="A215" s="671"/>
      <c r="B215" s="247" t="s">
        <v>1162</v>
      </c>
      <c r="C215" s="512" t="s">
        <v>945</v>
      </c>
      <c r="D215" s="512">
        <v>0.78</v>
      </c>
      <c r="E215" s="512" t="s">
        <v>45</v>
      </c>
      <c r="F215" s="512">
        <v>37</v>
      </c>
      <c r="G215" s="512" t="s">
        <v>45</v>
      </c>
      <c r="H215" s="512">
        <v>1</v>
      </c>
      <c r="I215" s="512" t="s">
        <v>46</v>
      </c>
      <c r="J215" s="512">
        <f t="shared" si="23"/>
        <v>28.86</v>
      </c>
    </row>
    <row r="216" spans="1:10" s="140" customFormat="1" ht="16.5" customHeight="1" x14ac:dyDescent="0.2">
      <c r="A216" s="671"/>
      <c r="B216" s="247" t="s">
        <v>1183</v>
      </c>
      <c r="C216" s="512" t="s">
        <v>945</v>
      </c>
      <c r="D216" s="512">
        <v>0.78</v>
      </c>
      <c r="E216" s="512" t="s">
        <v>45</v>
      </c>
      <c r="F216" s="512">
        <v>157</v>
      </c>
      <c r="G216" s="512" t="s">
        <v>45</v>
      </c>
      <c r="H216" s="512">
        <v>1</v>
      </c>
      <c r="I216" s="512" t="s">
        <v>46</v>
      </c>
      <c r="J216" s="512">
        <f t="shared" si="22"/>
        <v>122.46</v>
      </c>
    </row>
    <row r="217" spans="1:10" s="140" customFormat="1" ht="16.5" customHeight="1" x14ac:dyDescent="0.2">
      <c r="A217" s="671"/>
      <c r="B217" s="247" t="s">
        <v>1166</v>
      </c>
      <c r="C217" s="512" t="s">
        <v>945</v>
      </c>
      <c r="D217" s="512">
        <v>0.78</v>
      </c>
      <c r="E217" s="512" t="s">
        <v>45</v>
      </c>
      <c r="F217" s="512">
        <v>28</v>
      </c>
      <c r="G217" s="512" t="s">
        <v>45</v>
      </c>
      <c r="H217" s="512">
        <v>1</v>
      </c>
      <c r="I217" s="512" t="s">
        <v>46</v>
      </c>
      <c r="J217" s="512">
        <f t="shared" si="22"/>
        <v>21.84</v>
      </c>
    </row>
    <row r="218" spans="1:10" s="140" customFormat="1" ht="16.5" customHeight="1" x14ac:dyDescent="0.2">
      <c r="A218" s="671"/>
      <c r="B218" s="247" t="s">
        <v>1167</v>
      </c>
      <c r="C218" s="512" t="s">
        <v>945</v>
      </c>
      <c r="D218" s="512">
        <v>0.78</v>
      </c>
      <c r="E218" s="512" t="s">
        <v>45</v>
      </c>
      <c r="F218" s="512">
        <v>19</v>
      </c>
      <c r="G218" s="512" t="s">
        <v>45</v>
      </c>
      <c r="H218" s="512">
        <v>1</v>
      </c>
      <c r="I218" s="512" t="s">
        <v>46</v>
      </c>
      <c r="J218" s="512">
        <f t="shared" si="22"/>
        <v>14.82</v>
      </c>
    </row>
    <row r="219" spans="1:10" s="88" customFormat="1" ht="12" customHeight="1" x14ac:dyDescent="0.2">
      <c r="A219" s="185"/>
      <c r="B219" s="689"/>
      <c r="C219" s="518"/>
      <c r="D219" s="518"/>
      <c r="E219" s="518"/>
      <c r="F219" s="518"/>
      <c r="G219" s="518"/>
      <c r="H219" s="518"/>
      <c r="I219" s="518"/>
    </row>
    <row r="220" spans="1:10" s="140" customFormat="1" ht="17.25" customHeight="1" x14ac:dyDescent="0.2">
      <c r="A220" s="671"/>
      <c r="B220" s="689"/>
      <c r="C220" s="512" t="s">
        <v>614</v>
      </c>
      <c r="D220" s="521"/>
      <c r="E220" s="512" t="s">
        <v>928</v>
      </c>
      <c r="F220" s="521"/>
      <c r="G220" s="681" t="s">
        <v>967</v>
      </c>
      <c r="H220" s="755"/>
      <c r="I220" s="672"/>
    </row>
    <row r="221" spans="1:10" s="685" customFormat="1" ht="30" customHeight="1" x14ac:dyDescent="0.2">
      <c r="A221" s="682"/>
      <c r="B221" s="686" t="s">
        <v>1025</v>
      </c>
      <c r="C221" s="678">
        <f>ROUND(SUM(J195:J219),2)</f>
        <v>1269.3399999999999</v>
      </c>
      <c r="D221" s="678" t="s">
        <v>45</v>
      </c>
      <c r="E221" s="683">
        <v>0.154</v>
      </c>
      <c r="F221" s="512" t="s">
        <v>46</v>
      </c>
      <c r="G221" s="681">
        <f>ROUND(C221*E221,2)</f>
        <v>195.48</v>
      </c>
      <c r="H221" s="755"/>
      <c r="I221" s="684"/>
    </row>
    <row r="222" spans="1:10" s="21" customFormat="1" x14ac:dyDescent="0.2"/>
    <row r="223" spans="1:10" s="720" customFormat="1" ht="30" customHeight="1" x14ac:dyDescent="0.2">
      <c r="B223" s="207" t="str">
        <f>ORÇ!A73</f>
        <v>5.2.3</v>
      </c>
      <c r="C223" s="1741" t="str">
        <f>ORÇ!D73</f>
        <v>ARMAÇÃO DE PILAR OU VIGA DE UMA ESTRUTURA CONVENCIONAL DE CONCRETO ARMADO EM UM EDIFÍCIO DE MÚLTIPLOS PAVIMENTOS UTILIZANDO AÇO CA-50 DE 8,0 MM - MONTAGEM. AF_12/2015</v>
      </c>
      <c r="D223" s="1741"/>
      <c r="E223" s="1741"/>
      <c r="F223" s="1741"/>
      <c r="G223" s="1741"/>
      <c r="H223" s="1741"/>
      <c r="I223" s="1741"/>
    </row>
    <row r="224" spans="1:10" s="720" customFormat="1" x14ac:dyDescent="0.2">
      <c r="B224" s="207"/>
      <c r="C224" s="705"/>
      <c r="D224" s="196"/>
      <c r="E224" s="196"/>
      <c r="F224" s="206"/>
      <c r="G224" s="206"/>
      <c r="H224" s="206"/>
      <c r="I224" s="206"/>
    </row>
    <row r="225" spans="1:11" s="602" customFormat="1" ht="21.75" customHeight="1" x14ac:dyDescent="0.2">
      <c r="A225" s="671"/>
      <c r="B225" s="512" t="s">
        <v>616</v>
      </c>
      <c r="C225" s="512" t="s">
        <v>917</v>
      </c>
      <c r="D225" s="512" t="s">
        <v>753</v>
      </c>
      <c r="E225" s="512"/>
      <c r="F225" s="512" t="s">
        <v>590</v>
      </c>
      <c r="G225" s="512"/>
      <c r="H225" s="512" t="s">
        <v>1022</v>
      </c>
      <c r="I225" s="512"/>
      <c r="J225" s="512" t="s">
        <v>614</v>
      </c>
      <c r="K225" s="522"/>
    </row>
    <row r="226" spans="1:11" s="140" customFormat="1" ht="18" customHeight="1" x14ac:dyDescent="0.2">
      <c r="A226" s="671"/>
      <c r="B226" s="1725" t="s">
        <v>1174</v>
      </c>
      <c r="C226" s="512" t="s">
        <v>919</v>
      </c>
      <c r="D226" s="512">
        <v>5.58</v>
      </c>
      <c r="E226" s="512" t="s">
        <v>45</v>
      </c>
      <c r="F226" s="512">
        <v>2</v>
      </c>
      <c r="G226" s="512" t="s">
        <v>45</v>
      </c>
      <c r="H226" s="512">
        <v>1</v>
      </c>
      <c r="I226" s="512" t="s">
        <v>46</v>
      </c>
      <c r="J226" s="512">
        <f t="shared" ref="J226:J284" si="24">ROUND(D226*F226*H226,2)</f>
        <v>11.16</v>
      </c>
    </row>
    <row r="227" spans="1:11" s="140" customFormat="1" ht="18" customHeight="1" x14ac:dyDescent="0.2">
      <c r="A227" s="671"/>
      <c r="B227" s="1726"/>
      <c r="C227" s="512" t="s">
        <v>920</v>
      </c>
      <c r="D227" s="512">
        <v>3.28</v>
      </c>
      <c r="E227" s="512" t="s">
        <v>45</v>
      </c>
      <c r="F227" s="512">
        <v>2</v>
      </c>
      <c r="G227" s="512" t="s">
        <v>45</v>
      </c>
      <c r="H227" s="512">
        <v>1</v>
      </c>
      <c r="I227" s="512" t="s">
        <v>46</v>
      </c>
      <c r="J227" s="512">
        <f t="shared" si="24"/>
        <v>6.56</v>
      </c>
    </row>
    <row r="228" spans="1:11" s="140" customFormat="1" ht="18" customHeight="1" x14ac:dyDescent="0.2">
      <c r="A228" s="671"/>
      <c r="B228" s="1726"/>
      <c r="C228" s="512" t="s">
        <v>923</v>
      </c>
      <c r="D228" s="512">
        <v>1.73</v>
      </c>
      <c r="E228" s="512" t="s">
        <v>45</v>
      </c>
      <c r="F228" s="512">
        <v>1</v>
      </c>
      <c r="G228" s="512" t="s">
        <v>45</v>
      </c>
      <c r="H228" s="512">
        <v>1</v>
      </c>
      <c r="I228" s="512" t="s">
        <v>46</v>
      </c>
      <c r="J228" s="512">
        <f t="shared" si="24"/>
        <v>1.73</v>
      </c>
    </row>
    <row r="229" spans="1:11" s="140" customFormat="1" ht="18" customHeight="1" x14ac:dyDescent="0.2">
      <c r="A229" s="671"/>
      <c r="B229" s="1727"/>
      <c r="C229" s="512" t="s">
        <v>924</v>
      </c>
      <c r="D229" s="512">
        <v>4.75</v>
      </c>
      <c r="E229" s="512" t="s">
        <v>45</v>
      </c>
      <c r="F229" s="512">
        <v>2</v>
      </c>
      <c r="G229" s="512" t="s">
        <v>45</v>
      </c>
      <c r="H229" s="512">
        <v>1</v>
      </c>
      <c r="I229" s="512" t="s">
        <v>46</v>
      </c>
      <c r="J229" s="512">
        <f t="shared" si="24"/>
        <v>9.5</v>
      </c>
    </row>
    <row r="230" spans="1:11" s="140" customFormat="1" ht="18" customHeight="1" x14ac:dyDescent="0.2">
      <c r="A230" s="671"/>
      <c r="B230" s="756" t="s">
        <v>1194</v>
      </c>
      <c r="C230" s="512" t="s">
        <v>925</v>
      </c>
      <c r="D230" s="512">
        <v>4.22</v>
      </c>
      <c r="E230" s="512" t="s">
        <v>45</v>
      </c>
      <c r="F230" s="512">
        <v>2</v>
      </c>
      <c r="G230" s="512" t="s">
        <v>45</v>
      </c>
      <c r="H230" s="512">
        <v>2</v>
      </c>
      <c r="I230" s="512" t="s">
        <v>46</v>
      </c>
      <c r="J230" s="512">
        <f t="shared" si="24"/>
        <v>16.88</v>
      </c>
    </row>
    <row r="231" spans="1:11" s="140" customFormat="1" ht="18" customHeight="1" x14ac:dyDescent="0.2">
      <c r="A231" s="671"/>
      <c r="B231" s="1725" t="s">
        <v>1142</v>
      </c>
      <c r="C231" s="512" t="s">
        <v>940</v>
      </c>
      <c r="D231" s="512">
        <v>2.72</v>
      </c>
      <c r="E231" s="512" t="s">
        <v>45</v>
      </c>
      <c r="F231" s="512">
        <v>2</v>
      </c>
      <c r="G231" s="512" t="s">
        <v>45</v>
      </c>
      <c r="H231" s="512">
        <v>1</v>
      </c>
      <c r="I231" s="512" t="s">
        <v>46</v>
      </c>
      <c r="J231" s="512">
        <f t="shared" si="24"/>
        <v>5.44</v>
      </c>
    </row>
    <row r="232" spans="1:11" s="140" customFormat="1" ht="18" customHeight="1" x14ac:dyDescent="0.2">
      <c r="A232" s="671"/>
      <c r="B232" s="1727"/>
      <c r="C232" s="512" t="s">
        <v>946</v>
      </c>
      <c r="D232" s="512">
        <v>3.04</v>
      </c>
      <c r="E232" s="512" t="s">
        <v>45</v>
      </c>
      <c r="F232" s="512">
        <v>2</v>
      </c>
      <c r="G232" s="512" t="s">
        <v>45</v>
      </c>
      <c r="H232" s="512">
        <v>1</v>
      </c>
      <c r="I232" s="512" t="s">
        <v>46</v>
      </c>
      <c r="J232" s="512">
        <f t="shared" si="24"/>
        <v>6.08</v>
      </c>
    </row>
    <row r="233" spans="1:11" s="140" customFormat="1" ht="18" customHeight="1" x14ac:dyDescent="0.2">
      <c r="A233" s="671"/>
      <c r="B233" s="1725" t="s">
        <v>1143</v>
      </c>
      <c r="C233" s="512" t="s">
        <v>950</v>
      </c>
      <c r="D233" s="512">
        <v>1.26</v>
      </c>
      <c r="E233" s="512" t="s">
        <v>45</v>
      </c>
      <c r="F233" s="512">
        <v>1</v>
      </c>
      <c r="G233" s="512" t="s">
        <v>45</v>
      </c>
      <c r="H233" s="512">
        <v>1</v>
      </c>
      <c r="I233" s="512" t="s">
        <v>46</v>
      </c>
      <c r="J233" s="512">
        <f t="shared" si="24"/>
        <v>1.26</v>
      </c>
    </row>
    <row r="234" spans="1:11" s="140" customFormat="1" ht="18" customHeight="1" x14ac:dyDescent="0.2">
      <c r="A234" s="671"/>
      <c r="B234" s="1726"/>
      <c r="C234" s="512" t="s">
        <v>931</v>
      </c>
      <c r="D234" s="512">
        <v>1.3</v>
      </c>
      <c r="E234" s="512" t="s">
        <v>45</v>
      </c>
      <c r="F234" s="512">
        <v>1</v>
      </c>
      <c r="G234" s="512" t="s">
        <v>45</v>
      </c>
      <c r="H234" s="512">
        <v>1</v>
      </c>
      <c r="I234" s="512" t="s">
        <v>46</v>
      </c>
      <c r="J234" s="512">
        <f t="shared" si="24"/>
        <v>1.3</v>
      </c>
    </row>
    <row r="235" spans="1:11" s="140" customFormat="1" ht="18" customHeight="1" x14ac:dyDescent="0.2">
      <c r="A235" s="671"/>
      <c r="B235" s="1727"/>
      <c r="C235" s="512" t="s">
        <v>932</v>
      </c>
      <c r="D235" s="512">
        <v>5.72</v>
      </c>
      <c r="E235" s="512" t="s">
        <v>45</v>
      </c>
      <c r="F235" s="512">
        <v>2</v>
      </c>
      <c r="G235" s="512" t="s">
        <v>45</v>
      </c>
      <c r="H235" s="512">
        <v>1</v>
      </c>
      <c r="I235" s="512" t="s">
        <v>46</v>
      </c>
      <c r="J235" s="512">
        <f t="shared" si="24"/>
        <v>11.44</v>
      </c>
    </row>
    <row r="236" spans="1:11" s="140" customFormat="1" ht="18" customHeight="1" x14ac:dyDescent="0.2">
      <c r="A236" s="671"/>
      <c r="B236" s="756" t="s">
        <v>1145</v>
      </c>
      <c r="C236" s="512" t="s">
        <v>957</v>
      </c>
      <c r="D236" s="512">
        <v>3.05</v>
      </c>
      <c r="E236" s="512" t="s">
        <v>45</v>
      </c>
      <c r="F236" s="512">
        <v>1</v>
      </c>
      <c r="G236" s="512" t="s">
        <v>45</v>
      </c>
      <c r="H236" s="512">
        <v>1</v>
      </c>
      <c r="I236" s="512" t="s">
        <v>46</v>
      </c>
      <c r="J236" s="512">
        <f t="shared" si="24"/>
        <v>3.05</v>
      </c>
    </row>
    <row r="237" spans="1:11" s="140" customFormat="1" ht="30" customHeight="1" x14ac:dyDescent="0.2">
      <c r="A237" s="671"/>
      <c r="B237" s="756" t="s">
        <v>1191</v>
      </c>
      <c r="C237" s="512" t="s">
        <v>955</v>
      </c>
      <c r="D237" s="512">
        <v>5.24</v>
      </c>
      <c r="E237" s="512" t="s">
        <v>45</v>
      </c>
      <c r="F237" s="512">
        <v>2</v>
      </c>
      <c r="G237" s="512" t="s">
        <v>45</v>
      </c>
      <c r="H237" s="512">
        <v>6</v>
      </c>
      <c r="I237" s="512" t="s">
        <v>46</v>
      </c>
      <c r="J237" s="512">
        <f t="shared" si="24"/>
        <v>62.88</v>
      </c>
    </row>
    <row r="238" spans="1:11" s="140" customFormat="1" ht="18" customHeight="1" x14ac:dyDescent="0.2">
      <c r="A238" s="671"/>
      <c r="B238" s="756" t="s">
        <v>1145</v>
      </c>
      <c r="C238" s="512" t="s">
        <v>958</v>
      </c>
      <c r="D238" s="512">
        <v>1.73</v>
      </c>
      <c r="E238" s="512" t="s">
        <v>45</v>
      </c>
      <c r="F238" s="512">
        <v>1</v>
      </c>
      <c r="G238" s="512" t="s">
        <v>45</v>
      </c>
      <c r="H238" s="512">
        <v>1</v>
      </c>
      <c r="I238" s="512" t="s">
        <v>46</v>
      </c>
      <c r="J238" s="512">
        <f t="shared" si="24"/>
        <v>1.73</v>
      </c>
    </row>
    <row r="239" spans="1:11" s="140" customFormat="1" ht="18" customHeight="1" x14ac:dyDescent="0.2">
      <c r="A239" s="671"/>
      <c r="B239" s="756" t="s">
        <v>1145</v>
      </c>
      <c r="C239" s="512" t="s">
        <v>966</v>
      </c>
      <c r="D239" s="512">
        <v>5.75</v>
      </c>
      <c r="E239" s="512" t="s">
        <v>45</v>
      </c>
      <c r="F239" s="512">
        <v>2</v>
      </c>
      <c r="G239" s="512" t="s">
        <v>45</v>
      </c>
      <c r="H239" s="512">
        <v>1</v>
      </c>
      <c r="I239" s="512" t="s">
        <v>46</v>
      </c>
      <c r="J239" s="512">
        <f t="shared" si="24"/>
        <v>11.5</v>
      </c>
    </row>
    <row r="240" spans="1:11" s="140" customFormat="1" ht="18" customHeight="1" x14ac:dyDescent="0.2">
      <c r="A240" s="671"/>
      <c r="B240" s="756" t="s">
        <v>1175</v>
      </c>
      <c r="C240" s="512" t="s">
        <v>964</v>
      </c>
      <c r="D240" s="512">
        <v>2.8</v>
      </c>
      <c r="E240" s="512" t="s">
        <v>45</v>
      </c>
      <c r="F240" s="512">
        <v>1</v>
      </c>
      <c r="G240" s="512" t="s">
        <v>45</v>
      </c>
      <c r="H240" s="512">
        <v>2</v>
      </c>
      <c r="I240" s="512" t="s">
        <v>46</v>
      </c>
      <c r="J240" s="512">
        <f t="shared" si="24"/>
        <v>5.6</v>
      </c>
    </row>
    <row r="241" spans="1:10" s="140" customFormat="1" ht="18" customHeight="1" x14ac:dyDescent="0.2">
      <c r="A241" s="671"/>
      <c r="B241" s="756" t="s">
        <v>1175</v>
      </c>
      <c r="C241" s="512" t="s">
        <v>1026</v>
      </c>
      <c r="D241" s="512">
        <v>4.29</v>
      </c>
      <c r="E241" s="512" t="s">
        <v>45</v>
      </c>
      <c r="F241" s="512">
        <v>2</v>
      </c>
      <c r="G241" s="512" t="s">
        <v>45</v>
      </c>
      <c r="H241" s="512">
        <v>2</v>
      </c>
      <c r="I241" s="512" t="s">
        <v>46</v>
      </c>
      <c r="J241" s="512">
        <f t="shared" si="24"/>
        <v>17.16</v>
      </c>
    </row>
    <row r="242" spans="1:10" s="140" customFormat="1" ht="33.75" customHeight="1" x14ac:dyDescent="0.2">
      <c r="A242" s="671"/>
      <c r="B242" s="756" t="s">
        <v>1188</v>
      </c>
      <c r="C242" s="512" t="s">
        <v>1027</v>
      </c>
      <c r="D242" s="512">
        <v>0.83</v>
      </c>
      <c r="E242" s="512" t="s">
        <v>45</v>
      </c>
      <c r="F242" s="512">
        <v>4</v>
      </c>
      <c r="G242" s="512" t="s">
        <v>45</v>
      </c>
      <c r="H242" s="512">
        <v>4</v>
      </c>
      <c r="I242" s="512" t="s">
        <v>46</v>
      </c>
      <c r="J242" s="512">
        <f t="shared" si="24"/>
        <v>13.28</v>
      </c>
    </row>
    <row r="243" spans="1:10" s="140" customFormat="1" ht="18" customHeight="1" x14ac:dyDescent="0.2">
      <c r="A243" s="671"/>
      <c r="B243" s="756" t="s">
        <v>1189</v>
      </c>
      <c r="C243" s="512" t="s">
        <v>1028</v>
      </c>
      <c r="D243" s="512">
        <v>2.95</v>
      </c>
      <c r="E243" s="512" t="s">
        <v>45</v>
      </c>
      <c r="F243" s="512">
        <v>1</v>
      </c>
      <c r="G243" s="512" t="s">
        <v>45</v>
      </c>
      <c r="H243" s="512">
        <v>2</v>
      </c>
      <c r="I243" s="512" t="s">
        <v>46</v>
      </c>
      <c r="J243" s="512">
        <f t="shared" si="24"/>
        <v>5.9</v>
      </c>
    </row>
    <row r="244" spans="1:10" s="140" customFormat="1" ht="18" customHeight="1" x14ac:dyDescent="0.2">
      <c r="A244" s="671"/>
      <c r="B244" s="756" t="s">
        <v>1146</v>
      </c>
      <c r="C244" s="512" t="s">
        <v>1029</v>
      </c>
      <c r="D244" s="512">
        <v>3.95</v>
      </c>
      <c r="E244" s="512" t="s">
        <v>45</v>
      </c>
      <c r="F244" s="512">
        <v>1</v>
      </c>
      <c r="G244" s="512" t="s">
        <v>45</v>
      </c>
      <c r="H244" s="512">
        <v>1</v>
      </c>
      <c r="I244" s="512" t="s">
        <v>46</v>
      </c>
      <c r="J244" s="512">
        <f t="shared" si="24"/>
        <v>3.95</v>
      </c>
    </row>
    <row r="245" spans="1:10" s="140" customFormat="1" ht="19.5" customHeight="1" x14ac:dyDescent="0.2">
      <c r="A245" s="671"/>
      <c r="B245" s="1725" t="s">
        <v>1185</v>
      </c>
      <c r="C245" s="512" t="s">
        <v>1030</v>
      </c>
      <c r="D245" s="512">
        <v>2.33</v>
      </c>
      <c r="E245" s="512" t="s">
        <v>45</v>
      </c>
      <c r="F245" s="512">
        <v>1</v>
      </c>
      <c r="G245" s="512" t="s">
        <v>45</v>
      </c>
      <c r="H245" s="512">
        <v>1</v>
      </c>
      <c r="I245" s="512" t="s">
        <v>46</v>
      </c>
      <c r="J245" s="512">
        <f t="shared" si="24"/>
        <v>2.33</v>
      </c>
    </row>
    <row r="246" spans="1:10" s="140" customFormat="1" ht="18" customHeight="1" x14ac:dyDescent="0.2">
      <c r="A246" s="671"/>
      <c r="B246" s="1726"/>
      <c r="C246" s="512" t="s">
        <v>1031</v>
      </c>
      <c r="D246" s="512">
        <v>5.22</v>
      </c>
      <c r="E246" s="512" t="s">
        <v>45</v>
      </c>
      <c r="F246" s="512">
        <v>2</v>
      </c>
      <c r="G246" s="512" t="s">
        <v>45</v>
      </c>
      <c r="H246" s="512">
        <v>1</v>
      </c>
      <c r="I246" s="512" t="s">
        <v>46</v>
      </c>
      <c r="J246" s="512">
        <f t="shared" si="24"/>
        <v>10.44</v>
      </c>
    </row>
    <row r="247" spans="1:10" s="140" customFormat="1" ht="18" customHeight="1" x14ac:dyDescent="0.2">
      <c r="A247" s="671"/>
      <c r="B247" s="1727"/>
      <c r="C247" s="512" t="s">
        <v>1032</v>
      </c>
      <c r="D247" s="512">
        <v>3.03</v>
      </c>
      <c r="E247" s="512" t="s">
        <v>45</v>
      </c>
      <c r="F247" s="512">
        <v>2</v>
      </c>
      <c r="G247" s="512" t="s">
        <v>45</v>
      </c>
      <c r="H247" s="512">
        <v>1</v>
      </c>
      <c r="I247" s="512" t="s">
        <v>46</v>
      </c>
      <c r="J247" s="512">
        <f t="shared" si="24"/>
        <v>6.06</v>
      </c>
    </row>
    <row r="248" spans="1:10" s="140" customFormat="1" ht="18" customHeight="1" x14ac:dyDescent="0.2">
      <c r="A248" s="671"/>
      <c r="B248" s="756" t="s">
        <v>1178</v>
      </c>
      <c r="C248" s="512" t="s">
        <v>1033</v>
      </c>
      <c r="D248" s="512">
        <v>4.7300000000000004</v>
      </c>
      <c r="E248" s="512" t="s">
        <v>45</v>
      </c>
      <c r="F248" s="512">
        <v>2</v>
      </c>
      <c r="G248" s="512" t="s">
        <v>45</v>
      </c>
      <c r="H248" s="512">
        <v>2</v>
      </c>
      <c r="I248" s="512" t="s">
        <v>46</v>
      </c>
      <c r="J248" s="512">
        <f t="shared" si="24"/>
        <v>18.920000000000002</v>
      </c>
    </row>
    <row r="249" spans="1:10" s="140" customFormat="1" ht="18" customHeight="1" x14ac:dyDescent="0.2">
      <c r="A249" s="671"/>
      <c r="B249" s="756" t="s">
        <v>1185</v>
      </c>
      <c r="C249" s="512" t="s">
        <v>1034</v>
      </c>
      <c r="D249" s="512">
        <v>4.3</v>
      </c>
      <c r="E249" s="512" t="s">
        <v>45</v>
      </c>
      <c r="F249" s="512">
        <v>2</v>
      </c>
      <c r="G249" s="512" t="s">
        <v>45</v>
      </c>
      <c r="H249" s="512">
        <v>1</v>
      </c>
      <c r="I249" s="512" t="s">
        <v>46</v>
      </c>
      <c r="J249" s="512">
        <f t="shared" si="24"/>
        <v>8.6</v>
      </c>
    </row>
    <row r="250" spans="1:10" s="140" customFormat="1" ht="18" customHeight="1" x14ac:dyDescent="0.2">
      <c r="A250" s="671"/>
      <c r="B250" s="247" t="s">
        <v>1177</v>
      </c>
      <c r="C250" s="512" t="s">
        <v>1035</v>
      </c>
      <c r="D250" s="512">
        <v>0.88</v>
      </c>
      <c r="E250" s="512" t="s">
        <v>45</v>
      </c>
      <c r="F250" s="512">
        <v>4</v>
      </c>
      <c r="G250" s="512" t="s">
        <v>45</v>
      </c>
      <c r="H250" s="512">
        <v>3</v>
      </c>
      <c r="I250" s="512" t="s">
        <v>46</v>
      </c>
      <c r="J250" s="512">
        <f t="shared" si="24"/>
        <v>10.56</v>
      </c>
    </row>
    <row r="251" spans="1:10" s="140" customFormat="1" ht="18" customHeight="1" x14ac:dyDescent="0.2">
      <c r="A251" s="671"/>
      <c r="B251" s="756" t="s">
        <v>1192</v>
      </c>
      <c r="C251" s="512" t="s">
        <v>1036</v>
      </c>
      <c r="D251" s="512">
        <v>2.15</v>
      </c>
      <c r="E251" s="512" t="s">
        <v>45</v>
      </c>
      <c r="F251" s="512">
        <v>1</v>
      </c>
      <c r="G251" s="512" t="s">
        <v>45</v>
      </c>
      <c r="H251" s="512">
        <v>2</v>
      </c>
      <c r="I251" s="512" t="s">
        <v>46</v>
      </c>
      <c r="J251" s="512">
        <f t="shared" si="24"/>
        <v>4.3</v>
      </c>
    </row>
    <row r="252" spans="1:10" s="140" customFormat="1" ht="18" customHeight="1" x14ac:dyDescent="0.2">
      <c r="A252" s="671"/>
      <c r="B252" s="1725" t="s">
        <v>1186</v>
      </c>
      <c r="C252" s="512" t="s">
        <v>1037</v>
      </c>
      <c r="D252" s="512">
        <v>3.15</v>
      </c>
      <c r="E252" s="512" t="s">
        <v>45</v>
      </c>
      <c r="F252" s="512">
        <v>1</v>
      </c>
      <c r="G252" s="512" t="s">
        <v>45</v>
      </c>
      <c r="H252" s="512">
        <v>1</v>
      </c>
      <c r="I252" s="512" t="s">
        <v>46</v>
      </c>
      <c r="J252" s="512">
        <f t="shared" si="24"/>
        <v>3.15</v>
      </c>
    </row>
    <row r="253" spans="1:10" s="140" customFormat="1" ht="18" customHeight="1" x14ac:dyDescent="0.2">
      <c r="A253" s="671"/>
      <c r="B253" s="1726"/>
      <c r="C253" s="512" t="s">
        <v>1038</v>
      </c>
      <c r="D253" s="512">
        <v>3.85</v>
      </c>
      <c r="E253" s="512" t="s">
        <v>45</v>
      </c>
      <c r="F253" s="512">
        <v>1</v>
      </c>
      <c r="G253" s="512" t="s">
        <v>45</v>
      </c>
      <c r="H253" s="512">
        <v>1</v>
      </c>
      <c r="I253" s="512" t="s">
        <v>46</v>
      </c>
      <c r="J253" s="512">
        <f t="shared" si="24"/>
        <v>3.85</v>
      </c>
    </row>
    <row r="254" spans="1:10" s="140" customFormat="1" ht="18" customHeight="1" x14ac:dyDescent="0.2">
      <c r="A254" s="671"/>
      <c r="B254" s="1727"/>
      <c r="C254" s="512" t="s">
        <v>1039</v>
      </c>
      <c r="D254" s="512">
        <v>4.55</v>
      </c>
      <c r="E254" s="512" t="s">
        <v>45</v>
      </c>
      <c r="F254" s="512">
        <v>1</v>
      </c>
      <c r="G254" s="512" t="s">
        <v>45</v>
      </c>
      <c r="H254" s="512">
        <v>1</v>
      </c>
      <c r="I254" s="512" t="s">
        <v>46</v>
      </c>
      <c r="J254" s="512">
        <f t="shared" si="24"/>
        <v>4.55</v>
      </c>
    </row>
    <row r="255" spans="1:10" s="140" customFormat="1" ht="18" customHeight="1" x14ac:dyDescent="0.2">
      <c r="A255" s="671"/>
      <c r="B255" s="756" t="s">
        <v>1190</v>
      </c>
      <c r="C255" s="512" t="s">
        <v>1040</v>
      </c>
      <c r="D255" s="512">
        <v>2.2000000000000002</v>
      </c>
      <c r="E255" s="512" t="s">
        <v>45</v>
      </c>
      <c r="F255" s="512">
        <v>1</v>
      </c>
      <c r="G255" s="512" t="s">
        <v>45</v>
      </c>
      <c r="H255" s="512">
        <v>2</v>
      </c>
      <c r="I255" s="512" t="s">
        <v>46</v>
      </c>
      <c r="J255" s="512">
        <f t="shared" si="24"/>
        <v>4.4000000000000004</v>
      </c>
    </row>
    <row r="256" spans="1:10" s="140" customFormat="1" ht="18" customHeight="1" x14ac:dyDescent="0.2">
      <c r="A256" s="671"/>
      <c r="B256" s="756" t="s">
        <v>1187</v>
      </c>
      <c r="C256" s="512" t="s">
        <v>1041</v>
      </c>
      <c r="D256" s="512">
        <v>3.3</v>
      </c>
      <c r="E256" s="512" t="s">
        <v>45</v>
      </c>
      <c r="F256" s="512">
        <v>1</v>
      </c>
      <c r="G256" s="512" t="s">
        <v>45</v>
      </c>
      <c r="H256" s="512">
        <v>1</v>
      </c>
      <c r="I256" s="512" t="s">
        <v>46</v>
      </c>
      <c r="J256" s="512">
        <f t="shared" si="24"/>
        <v>3.3</v>
      </c>
    </row>
    <row r="257" spans="1:10" s="140" customFormat="1" ht="18" customHeight="1" x14ac:dyDescent="0.2">
      <c r="A257" s="671"/>
      <c r="B257" s="1725" t="s">
        <v>1149</v>
      </c>
      <c r="C257" s="512" t="s">
        <v>1042</v>
      </c>
      <c r="D257" s="512">
        <v>4.5999999999999996</v>
      </c>
      <c r="E257" s="512" t="s">
        <v>45</v>
      </c>
      <c r="F257" s="512">
        <v>2</v>
      </c>
      <c r="G257" s="512" t="s">
        <v>45</v>
      </c>
      <c r="H257" s="512">
        <v>1</v>
      </c>
      <c r="I257" s="512" t="s">
        <v>46</v>
      </c>
      <c r="J257" s="512">
        <f t="shared" si="24"/>
        <v>9.1999999999999993</v>
      </c>
    </row>
    <row r="258" spans="1:10" s="140" customFormat="1" ht="18" customHeight="1" x14ac:dyDescent="0.2">
      <c r="A258" s="671"/>
      <c r="B258" s="1727"/>
      <c r="C258" s="512" t="s">
        <v>1043</v>
      </c>
      <c r="D258" s="512">
        <v>4.25</v>
      </c>
      <c r="E258" s="512" t="s">
        <v>45</v>
      </c>
      <c r="F258" s="512">
        <v>2</v>
      </c>
      <c r="G258" s="512" t="s">
        <v>45</v>
      </c>
      <c r="H258" s="512">
        <v>1</v>
      </c>
      <c r="I258" s="512" t="s">
        <v>46</v>
      </c>
      <c r="J258" s="512">
        <f t="shared" si="24"/>
        <v>8.5</v>
      </c>
    </row>
    <row r="259" spans="1:10" s="140" customFormat="1" ht="18" customHeight="1" x14ac:dyDescent="0.2">
      <c r="A259" s="671"/>
      <c r="B259" s="247" t="s">
        <v>1150</v>
      </c>
      <c r="C259" s="512" t="s">
        <v>1044</v>
      </c>
      <c r="D259" s="512">
        <v>4.05</v>
      </c>
      <c r="E259" s="512" t="s">
        <v>45</v>
      </c>
      <c r="F259" s="512">
        <v>1</v>
      </c>
      <c r="G259" s="512" t="s">
        <v>45</v>
      </c>
      <c r="H259" s="512">
        <v>1</v>
      </c>
      <c r="I259" s="512" t="s">
        <v>46</v>
      </c>
      <c r="J259" s="512">
        <f t="shared" si="24"/>
        <v>4.05</v>
      </c>
    </row>
    <row r="260" spans="1:10" s="140" customFormat="1" ht="18" customHeight="1" x14ac:dyDescent="0.2">
      <c r="A260" s="671"/>
      <c r="B260" s="247" t="s">
        <v>1151</v>
      </c>
      <c r="C260" s="512" t="s">
        <v>1045</v>
      </c>
      <c r="D260" s="512">
        <v>3.25</v>
      </c>
      <c r="E260" s="512" t="s">
        <v>45</v>
      </c>
      <c r="F260" s="512">
        <v>1</v>
      </c>
      <c r="G260" s="512" t="s">
        <v>45</v>
      </c>
      <c r="H260" s="512">
        <v>1</v>
      </c>
      <c r="I260" s="512" t="s">
        <v>46</v>
      </c>
      <c r="J260" s="512">
        <f t="shared" si="24"/>
        <v>3.25</v>
      </c>
    </row>
    <row r="261" spans="1:10" s="140" customFormat="1" ht="18" customHeight="1" x14ac:dyDescent="0.2">
      <c r="A261" s="671"/>
      <c r="B261" s="1725" t="s">
        <v>1152</v>
      </c>
      <c r="C261" s="512" t="s">
        <v>1046</v>
      </c>
      <c r="D261" s="512">
        <v>3.1</v>
      </c>
      <c r="E261" s="512" t="s">
        <v>45</v>
      </c>
      <c r="F261" s="512">
        <v>1</v>
      </c>
      <c r="G261" s="512" t="s">
        <v>45</v>
      </c>
      <c r="H261" s="512">
        <v>1</v>
      </c>
      <c r="I261" s="512" t="s">
        <v>46</v>
      </c>
      <c r="J261" s="512">
        <f t="shared" si="24"/>
        <v>3.1</v>
      </c>
    </row>
    <row r="262" spans="1:10" s="140" customFormat="1" ht="18" customHeight="1" x14ac:dyDescent="0.2">
      <c r="A262" s="671"/>
      <c r="B262" s="1727"/>
      <c r="C262" s="512" t="s">
        <v>1193</v>
      </c>
      <c r="D262" s="512">
        <v>4.45</v>
      </c>
      <c r="E262" s="512" t="s">
        <v>45</v>
      </c>
      <c r="F262" s="512">
        <v>2</v>
      </c>
      <c r="G262" s="512" t="s">
        <v>45</v>
      </c>
      <c r="H262" s="512">
        <v>1</v>
      </c>
      <c r="I262" s="512" t="s">
        <v>46</v>
      </c>
      <c r="J262" s="512">
        <f t="shared" si="24"/>
        <v>8.9</v>
      </c>
    </row>
    <row r="263" spans="1:10" s="140" customFormat="1" ht="18" customHeight="1" x14ac:dyDescent="0.2">
      <c r="A263" s="671"/>
      <c r="B263" s="1725" t="s">
        <v>1153</v>
      </c>
      <c r="C263" s="512" t="s">
        <v>1047</v>
      </c>
      <c r="D263" s="512">
        <v>1.78</v>
      </c>
      <c r="E263" s="512" t="s">
        <v>45</v>
      </c>
      <c r="F263" s="512">
        <v>1</v>
      </c>
      <c r="G263" s="512" t="s">
        <v>45</v>
      </c>
      <c r="H263" s="512">
        <v>1</v>
      </c>
      <c r="I263" s="512" t="s">
        <v>46</v>
      </c>
      <c r="J263" s="512">
        <f t="shared" si="24"/>
        <v>1.78</v>
      </c>
    </row>
    <row r="264" spans="1:10" s="140" customFormat="1" ht="18" customHeight="1" x14ac:dyDescent="0.2">
      <c r="A264" s="671"/>
      <c r="B264" s="1726"/>
      <c r="C264" s="512" t="s">
        <v>1048</v>
      </c>
      <c r="D264" s="512">
        <v>2.73</v>
      </c>
      <c r="E264" s="512" t="s">
        <v>45</v>
      </c>
      <c r="F264" s="512">
        <v>1</v>
      </c>
      <c r="G264" s="512" t="s">
        <v>45</v>
      </c>
      <c r="H264" s="512">
        <v>1</v>
      </c>
      <c r="I264" s="512" t="s">
        <v>46</v>
      </c>
      <c r="J264" s="512">
        <f t="shared" si="24"/>
        <v>2.73</v>
      </c>
    </row>
    <row r="265" spans="1:10" s="140" customFormat="1" ht="18" customHeight="1" x14ac:dyDescent="0.2">
      <c r="A265" s="671"/>
      <c r="B265" s="1726"/>
      <c r="C265" s="512" t="s">
        <v>1049</v>
      </c>
      <c r="D265" s="512">
        <v>5.12</v>
      </c>
      <c r="E265" s="512" t="s">
        <v>45</v>
      </c>
      <c r="F265" s="512">
        <v>2</v>
      </c>
      <c r="G265" s="512" t="s">
        <v>45</v>
      </c>
      <c r="H265" s="512">
        <v>1</v>
      </c>
      <c r="I265" s="512" t="s">
        <v>46</v>
      </c>
      <c r="J265" s="512">
        <f t="shared" si="24"/>
        <v>10.24</v>
      </c>
    </row>
    <row r="266" spans="1:10" s="140" customFormat="1" ht="18" customHeight="1" x14ac:dyDescent="0.2">
      <c r="A266" s="671"/>
      <c r="B266" s="1727"/>
      <c r="C266" s="512" t="s">
        <v>1050</v>
      </c>
      <c r="D266" s="512">
        <v>2.98</v>
      </c>
      <c r="E266" s="512" t="s">
        <v>45</v>
      </c>
      <c r="F266" s="512">
        <v>2</v>
      </c>
      <c r="G266" s="512" t="s">
        <v>45</v>
      </c>
      <c r="H266" s="512">
        <v>1</v>
      </c>
      <c r="I266" s="512" t="s">
        <v>46</v>
      </c>
      <c r="J266" s="512">
        <f t="shared" si="24"/>
        <v>5.96</v>
      </c>
    </row>
    <row r="267" spans="1:10" s="140" customFormat="1" ht="18" customHeight="1" x14ac:dyDescent="0.2">
      <c r="A267" s="671"/>
      <c r="B267" s="1725" t="s">
        <v>1154</v>
      </c>
      <c r="C267" s="512" t="s">
        <v>926</v>
      </c>
      <c r="D267" s="512">
        <v>3.97</v>
      </c>
      <c r="E267" s="512" t="s">
        <v>45</v>
      </c>
      <c r="F267" s="512">
        <v>2</v>
      </c>
      <c r="G267" s="512" t="s">
        <v>45</v>
      </c>
      <c r="H267" s="512">
        <v>1</v>
      </c>
      <c r="I267" s="512" t="s">
        <v>46</v>
      </c>
      <c r="J267" s="512">
        <f t="shared" si="24"/>
        <v>7.94</v>
      </c>
    </row>
    <row r="268" spans="1:10" s="140" customFormat="1" ht="18" customHeight="1" x14ac:dyDescent="0.2">
      <c r="A268" s="671"/>
      <c r="B268" s="1726"/>
      <c r="C268" s="512" t="s">
        <v>919</v>
      </c>
      <c r="D268" s="512">
        <v>4.47</v>
      </c>
      <c r="E268" s="512" t="s">
        <v>45</v>
      </c>
      <c r="F268" s="512">
        <v>2</v>
      </c>
      <c r="G268" s="512" t="s">
        <v>45</v>
      </c>
      <c r="H268" s="512">
        <v>1</v>
      </c>
      <c r="I268" s="512" t="s">
        <v>46</v>
      </c>
      <c r="J268" s="512">
        <f t="shared" si="24"/>
        <v>8.94</v>
      </c>
    </row>
    <row r="269" spans="1:10" s="140" customFormat="1" ht="18" customHeight="1" x14ac:dyDescent="0.2">
      <c r="A269" s="671"/>
      <c r="B269" s="1726"/>
      <c r="C269" s="512" t="s">
        <v>920</v>
      </c>
      <c r="D269" s="512">
        <v>5.25</v>
      </c>
      <c r="E269" s="512" t="s">
        <v>45</v>
      </c>
      <c r="F269" s="512">
        <v>1</v>
      </c>
      <c r="G269" s="512" t="s">
        <v>45</v>
      </c>
      <c r="H269" s="512">
        <v>1</v>
      </c>
      <c r="I269" s="512" t="s">
        <v>46</v>
      </c>
      <c r="J269" s="512">
        <f t="shared" si="24"/>
        <v>5.25</v>
      </c>
    </row>
    <row r="270" spans="1:10" s="140" customFormat="1" ht="18" customHeight="1" x14ac:dyDescent="0.2">
      <c r="A270" s="671"/>
      <c r="B270" s="1727"/>
      <c r="C270" s="512" t="s">
        <v>923</v>
      </c>
      <c r="D270" s="512">
        <v>8.6199999999999992</v>
      </c>
      <c r="E270" s="512" t="s">
        <v>45</v>
      </c>
      <c r="F270" s="512">
        <v>2</v>
      </c>
      <c r="G270" s="512" t="s">
        <v>45</v>
      </c>
      <c r="H270" s="512">
        <v>1</v>
      </c>
      <c r="I270" s="512" t="s">
        <v>46</v>
      </c>
      <c r="J270" s="512">
        <f t="shared" si="24"/>
        <v>17.239999999999998</v>
      </c>
    </row>
    <row r="271" spans="1:10" s="140" customFormat="1" ht="18" customHeight="1" x14ac:dyDescent="0.2">
      <c r="A271" s="671"/>
      <c r="B271" s="1725" t="s">
        <v>1179</v>
      </c>
      <c r="C271" s="512" t="s">
        <v>924</v>
      </c>
      <c r="D271" s="512">
        <v>3.8</v>
      </c>
      <c r="E271" s="512" t="s">
        <v>45</v>
      </c>
      <c r="F271" s="512">
        <v>2</v>
      </c>
      <c r="G271" s="512" t="s">
        <v>45</v>
      </c>
      <c r="H271" s="512">
        <v>1</v>
      </c>
      <c r="I271" s="512" t="s">
        <v>46</v>
      </c>
      <c r="J271" s="512">
        <f t="shared" si="24"/>
        <v>7.6</v>
      </c>
    </row>
    <row r="272" spans="1:10" s="140" customFormat="1" ht="18" customHeight="1" x14ac:dyDescent="0.2">
      <c r="A272" s="671"/>
      <c r="B272" s="1726"/>
      <c r="C272" s="512" t="s">
        <v>925</v>
      </c>
      <c r="D272" s="512">
        <v>4.82</v>
      </c>
      <c r="E272" s="512" t="s">
        <v>45</v>
      </c>
      <c r="F272" s="512">
        <v>2</v>
      </c>
      <c r="G272" s="512" t="s">
        <v>45</v>
      </c>
      <c r="H272" s="512">
        <v>1</v>
      </c>
      <c r="I272" s="512" t="s">
        <v>46</v>
      </c>
      <c r="J272" s="512">
        <f t="shared" si="24"/>
        <v>9.64</v>
      </c>
    </row>
    <row r="273" spans="1:10" s="140" customFormat="1" ht="18" customHeight="1" x14ac:dyDescent="0.2">
      <c r="A273" s="671"/>
      <c r="B273" s="1726"/>
      <c r="C273" s="512" t="s">
        <v>940</v>
      </c>
      <c r="D273" s="512">
        <v>1.7</v>
      </c>
      <c r="E273" s="512" t="s">
        <v>45</v>
      </c>
      <c r="F273" s="512">
        <v>1</v>
      </c>
      <c r="G273" s="512" t="s">
        <v>45</v>
      </c>
      <c r="H273" s="512">
        <v>1</v>
      </c>
      <c r="I273" s="512" t="s">
        <v>46</v>
      </c>
      <c r="J273" s="512">
        <f t="shared" si="24"/>
        <v>1.7</v>
      </c>
    </row>
    <row r="274" spans="1:10" s="140" customFormat="1" ht="18" customHeight="1" x14ac:dyDescent="0.2">
      <c r="A274" s="671"/>
      <c r="B274" s="1727"/>
      <c r="C274" s="512" t="s">
        <v>946</v>
      </c>
      <c r="D274" s="512">
        <v>6.33</v>
      </c>
      <c r="E274" s="512" t="s">
        <v>45</v>
      </c>
      <c r="F274" s="512">
        <v>2</v>
      </c>
      <c r="G274" s="512" t="s">
        <v>45</v>
      </c>
      <c r="H274" s="512">
        <v>1</v>
      </c>
      <c r="I274" s="512" t="s">
        <v>46</v>
      </c>
      <c r="J274" s="512">
        <f t="shared" si="24"/>
        <v>12.66</v>
      </c>
    </row>
    <row r="275" spans="1:10" s="140" customFormat="1" ht="18" customHeight="1" x14ac:dyDescent="0.2">
      <c r="A275" s="671"/>
      <c r="B275" s="1725" t="s">
        <v>1155</v>
      </c>
      <c r="C275" s="512" t="s">
        <v>950</v>
      </c>
      <c r="D275" s="512">
        <v>1.98</v>
      </c>
      <c r="E275" s="512" t="s">
        <v>45</v>
      </c>
      <c r="F275" s="512">
        <v>1</v>
      </c>
      <c r="G275" s="512" t="s">
        <v>45</v>
      </c>
      <c r="H275" s="512">
        <v>1</v>
      </c>
      <c r="I275" s="512" t="s">
        <v>46</v>
      </c>
      <c r="J275" s="512">
        <f t="shared" si="24"/>
        <v>1.98</v>
      </c>
    </row>
    <row r="276" spans="1:10" s="140" customFormat="1" ht="18" customHeight="1" x14ac:dyDescent="0.2">
      <c r="A276" s="671"/>
      <c r="B276" s="1726"/>
      <c r="C276" s="512" t="s">
        <v>931</v>
      </c>
      <c r="D276" s="512">
        <v>4.24</v>
      </c>
      <c r="E276" s="512" t="s">
        <v>45</v>
      </c>
      <c r="F276" s="512">
        <v>2</v>
      </c>
      <c r="G276" s="512" t="s">
        <v>45</v>
      </c>
      <c r="H276" s="512">
        <v>1</v>
      </c>
      <c r="I276" s="512" t="s">
        <v>46</v>
      </c>
      <c r="J276" s="512">
        <f t="shared" si="24"/>
        <v>8.48</v>
      </c>
    </row>
    <row r="277" spans="1:10" s="140" customFormat="1" ht="18" customHeight="1" x14ac:dyDescent="0.2">
      <c r="A277" s="671"/>
      <c r="B277" s="1726"/>
      <c r="C277" s="512" t="s">
        <v>932</v>
      </c>
      <c r="D277" s="512">
        <v>1.67</v>
      </c>
      <c r="E277" s="512" t="s">
        <v>45</v>
      </c>
      <c r="F277" s="512">
        <v>2</v>
      </c>
      <c r="G277" s="512" t="s">
        <v>45</v>
      </c>
      <c r="H277" s="512">
        <v>1</v>
      </c>
      <c r="I277" s="512" t="s">
        <v>46</v>
      </c>
      <c r="J277" s="512">
        <f t="shared" si="24"/>
        <v>3.34</v>
      </c>
    </row>
    <row r="278" spans="1:10" s="140" customFormat="1" ht="18" customHeight="1" x14ac:dyDescent="0.2">
      <c r="A278" s="671"/>
      <c r="B278" s="1727"/>
      <c r="C278" s="512" t="s">
        <v>957</v>
      </c>
      <c r="D278" s="512">
        <v>4.42</v>
      </c>
      <c r="E278" s="512" t="s">
        <v>45</v>
      </c>
      <c r="F278" s="512">
        <v>2</v>
      </c>
      <c r="G278" s="512" t="s">
        <v>45</v>
      </c>
      <c r="H278" s="512">
        <v>1</v>
      </c>
      <c r="I278" s="512" t="s">
        <v>46</v>
      </c>
      <c r="J278" s="512">
        <f t="shared" si="24"/>
        <v>8.84</v>
      </c>
    </row>
    <row r="279" spans="1:10" s="140" customFormat="1" ht="15" customHeight="1" x14ac:dyDescent="0.2">
      <c r="A279" s="671"/>
      <c r="B279" s="1725" t="s">
        <v>1195</v>
      </c>
      <c r="C279" s="512" t="s">
        <v>955</v>
      </c>
      <c r="D279" s="512">
        <v>2.12</v>
      </c>
      <c r="E279" s="512" t="s">
        <v>45</v>
      </c>
      <c r="F279" s="512">
        <v>2</v>
      </c>
      <c r="G279" s="512" t="s">
        <v>45</v>
      </c>
      <c r="H279" s="512">
        <v>1</v>
      </c>
      <c r="I279" s="512" t="s">
        <v>46</v>
      </c>
      <c r="J279" s="512">
        <f t="shared" si="24"/>
        <v>4.24</v>
      </c>
    </row>
    <row r="280" spans="1:10" s="140" customFormat="1" ht="15" customHeight="1" x14ac:dyDescent="0.2">
      <c r="A280" s="671"/>
      <c r="B280" s="1727"/>
      <c r="C280" s="512" t="s">
        <v>958</v>
      </c>
      <c r="D280" s="512">
        <v>2.44</v>
      </c>
      <c r="E280" s="512" t="s">
        <v>45</v>
      </c>
      <c r="F280" s="512">
        <v>2</v>
      </c>
      <c r="G280" s="512" t="s">
        <v>45</v>
      </c>
      <c r="H280" s="512">
        <v>1</v>
      </c>
      <c r="I280" s="512" t="s">
        <v>46</v>
      </c>
      <c r="J280" s="512">
        <f t="shared" si="24"/>
        <v>4.88</v>
      </c>
    </row>
    <row r="281" spans="1:10" s="140" customFormat="1" ht="15" customHeight="1" x14ac:dyDescent="0.2">
      <c r="A281" s="671"/>
      <c r="B281" s="1725" t="s">
        <v>1158</v>
      </c>
      <c r="C281" s="512" t="s">
        <v>966</v>
      </c>
      <c r="D281" s="512">
        <v>1.97</v>
      </c>
      <c r="E281" s="512" t="s">
        <v>45</v>
      </c>
      <c r="F281" s="512">
        <v>2</v>
      </c>
      <c r="G281" s="512" t="s">
        <v>45</v>
      </c>
      <c r="H281" s="512">
        <v>1</v>
      </c>
      <c r="I281" s="512" t="s">
        <v>46</v>
      </c>
      <c r="J281" s="512">
        <f t="shared" si="24"/>
        <v>3.94</v>
      </c>
    </row>
    <row r="282" spans="1:10" s="140" customFormat="1" ht="15" customHeight="1" x14ac:dyDescent="0.2">
      <c r="A282" s="671"/>
      <c r="B282" s="1727"/>
      <c r="C282" s="512" t="s">
        <v>964</v>
      </c>
      <c r="D282" s="512">
        <v>2.29</v>
      </c>
      <c r="E282" s="512" t="s">
        <v>45</v>
      </c>
      <c r="F282" s="512">
        <v>2</v>
      </c>
      <c r="G282" s="512" t="s">
        <v>45</v>
      </c>
      <c r="H282" s="512">
        <v>1</v>
      </c>
      <c r="I282" s="512" t="s">
        <v>46</v>
      </c>
      <c r="J282" s="512">
        <f t="shared" si="24"/>
        <v>4.58</v>
      </c>
    </row>
    <row r="283" spans="1:10" s="140" customFormat="1" ht="15" customHeight="1" x14ac:dyDescent="0.2">
      <c r="A283" s="671"/>
      <c r="B283" s="1725" t="s">
        <v>1159</v>
      </c>
      <c r="C283" s="512" t="s">
        <v>1026</v>
      </c>
      <c r="D283" s="512">
        <v>4.5199999999999996</v>
      </c>
      <c r="E283" s="512" t="s">
        <v>45</v>
      </c>
      <c r="F283" s="512">
        <v>2</v>
      </c>
      <c r="G283" s="512" t="s">
        <v>45</v>
      </c>
      <c r="H283" s="512">
        <v>1</v>
      </c>
      <c r="I283" s="512" t="s">
        <v>46</v>
      </c>
      <c r="J283" s="512">
        <f t="shared" si="24"/>
        <v>9.0399999999999991</v>
      </c>
    </row>
    <row r="284" spans="1:10" s="140" customFormat="1" ht="18" customHeight="1" x14ac:dyDescent="0.2">
      <c r="A284" s="671"/>
      <c r="B284" s="1726"/>
      <c r="C284" s="512" t="s">
        <v>1027</v>
      </c>
      <c r="D284" s="512">
        <v>5.25</v>
      </c>
      <c r="E284" s="512" t="s">
        <v>45</v>
      </c>
      <c r="F284" s="512">
        <v>2</v>
      </c>
      <c r="G284" s="512" t="s">
        <v>45</v>
      </c>
      <c r="H284" s="512">
        <v>1</v>
      </c>
      <c r="I284" s="512" t="s">
        <v>46</v>
      </c>
      <c r="J284" s="512">
        <f t="shared" si="24"/>
        <v>10.5</v>
      </c>
    </row>
    <row r="285" spans="1:10" s="140" customFormat="1" ht="18" customHeight="1" x14ac:dyDescent="0.2">
      <c r="A285" s="671"/>
      <c r="B285" s="1726"/>
      <c r="C285" s="512" t="s">
        <v>1028</v>
      </c>
      <c r="D285" s="512">
        <v>3</v>
      </c>
      <c r="E285" s="512" t="s">
        <v>45</v>
      </c>
      <c r="F285" s="512">
        <v>2</v>
      </c>
      <c r="G285" s="512" t="s">
        <v>45</v>
      </c>
      <c r="H285" s="512">
        <v>1</v>
      </c>
      <c r="I285" s="512" t="s">
        <v>46</v>
      </c>
      <c r="J285" s="512">
        <f>ROUND(D285*F285*H285,2)</f>
        <v>6</v>
      </c>
    </row>
    <row r="286" spans="1:10" s="140" customFormat="1" ht="18" customHeight="1" x14ac:dyDescent="0.2">
      <c r="A286" s="671"/>
      <c r="B286" s="1727"/>
      <c r="C286" s="512" t="s">
        <v>1029</v>
      </c>
      <c r="D286" s="512">
        <v>3.17</v>
      </c>
      <c r="E286" s="512" t="s">
        <v>45</v>
      </c>
      <c r="F286" s="512">
        <v>2</v>
      </c>
      <c r="G286" s="512" t="s">
        <v>45</v>
      </c>
      <c r="H286" s="512">
        <v>1</v>
      </c>
      <c r="I286" s="512" t="s">
        <v>46</v>
      </c>
      <c r="J286" s="512">
        <f>ROUND(D286*F286*H286,2)</f>
        <v>6.34</v>
      </c>
    </row>
    <row r="287" spans="1:10" s="140" customFormat="1" ht="18" customHeight="1" x14ac:dyDescent="0.2">
      <c r="A287" s="671"/>
      <c r="B287" s="247" t="s">
        <v>1160</v>
      </c>
      <c r="C287" s="512" t="s">
        <v>1030</v>
      </c>
      <c r="D287" s="512">
        <v>3.32</v>
      </c>
      <c r="E287" s="512" t="s">
        <v>45</v>
      </c>
      <c r="F287" s="512">
        <v>2</v>
      </c>
      <c r="G287" s="512" t="s">
        <v>45</v>
      </c>
      <c r="H287" s="512">
        <v>1</v>
      </c>
      <c r="I287" s="512" t="s">
        <v>46</v>
      </c>
      <c r="J287" s="512">
        <f t="shared" ref="J287" si="25">ROUND(D287*F287*H287,2)</f>
        <v>6.64</v>
      </c>
    </row>
    <row r="288" spans="1:10" s="140" customFormat="1" ht="18" customHeight="1" x14ac:dyDescent="0.2">
      <c r="A288" s="671"/>
      <c r="B288" s="1725" t="s">
        <v>1161</v>
      </c>
      <c r="C288" s="512" t="s">
        <v>1031</v>
      </c>
      <c r="D288" s="512">
        <v>3.37</v>
      </c>
      <c r="E288" s="512" t="s">
        <v>45</v>
      </c>
      <c r="F288" s="512">
        <v>2</v>
      </c>
      <c r="G288" s="512" t="s">
        <v>45</v>
      </c>
      <c r="H288" s="512">
        <v>1</v>
      </c>
      <c r="I288" s="512" t="s">
        <v>46</v>
      </c>
      <c r="J288" s="512">
        <f>ROUND(D288*F288*H288,2)</f>
        <v>6.74</v>
      </c>
    </row>
    <row r="289" spans="1:10" s="140" customFormat="1" ht="18" customHeight="1" x14ac:dyDescent="0.2">
      <c r="A289" s="671"/>
      <c r="B289" s="1727"/>
      <c r="C289" s="512" t="s">
        <v>1032</v>
      </c>
      <c r="D289" s="512">
        <v>3.72</v>
      </c>
      <c r="E289" s="512" t="s">
        <v>45</v>
      </c>
      <c r="F289" s="512">
        <v>3</v>
      </c>
      <c r="G289" s="512" t="s">
        <v>45</v>
      </c>
      <c r="H289" s="512">
        <v>1</v>
      </c>
      <c r="I289" s="512" t="s">
        <v>46</v>
      </c>
      <c r="J289" s="512">
        <f>ROUND(D289*F289*H289,2)</f>
        <v>11.16</v>
      </c>
    </row>
    <row r="290" spans="1:10" s="140" customFormat="1" ht="18" customHeight="1" x14ac:dyDescent="0.2">
      <c r="A290" s="671"/>
      <c r="B290" s="1725" t="s">
        <v>1162</v>
      </c>
      <c r="C290" s="512" t="s">
        <v>1033</v>
      </c>
      <c r="D290" s="512">
        <v>2.65</v>
      </c>
      <c r="E290" s="512" t="s">
        <v>45</v>
      </c>
      <c r="F290" s="512">
        <v>1</v>
      </c>
      <c r="G290" s="512" t="s">
        <v>45</v>
      </c>
      <c r="H290" s="512">
        <v>1</v>
      </c>
      <c r="I290" s="512" t="s">
        <v>46</v>
      </c>
      <c r="J290" s="512">
        <f>ROUND(D290*F290*H290,2)</f>
        <v>2.65</v>
      </c>
    </row>
    <row r="291" spans="1:10" s="140" customFormat="1" ht="18" customHeight="1" x14ac:dyDescent="0.2">
      <c r="A291" s="671"/>
      <c r="B291" s="1726"/>
      <c r="C291" s="512" t="s">
        <v>1034</v>
      </c>
      <c r="D291" s="512">
        <v>5.85</v>
      </c>
      <c r="E291" s="512" t="s">
        <v>45</v>
      </c>
      <c r="F291" s="512">
        <v>2</v>
      </c>
      <c r="G291" s="512" t="s">
        <v>45</v>
      </c>
      <c r="H291" s="512">
        <v>1</v>
      </c>
      <c r="I291" s="512" t="s">
        <v>46</v>
      </c>
      <c r="J291" s="512">
        <f t="shared" ref="J291" si="26">ROUND(D291*F291*H291,2)</f>
        <v>11.7</v>
      </c>
    </row>
    <row r="292" spans="1:10" s="140" customFormat="1" ht="18" customHeight="1" x14ac:dyDescent="0.2">
      <c r="A292" s="671"/>
      <c r="B292" s="1726"/>
      <c r="C292" s="512" t="s">
        <v>1035</v>
      </c>
      <c r="D292" s="512">
        <v>1.2</v>
      </c>
      <c r="E292" s="512" t="s">
        <v>45</v>
      </c>
      <c r="F292" s="512">
        <v>2</v>
      </c>
      <c r="G292" s="512" t="s">
        <v>45</v>
      </c>
      <c r="H292" s="512">
        <v>1</v>
      </c>
      <c r="I292" s="512" t="s">
        <v>46</v>
      </c>
      <c r="J292" s="512">
        <f>ROUND(D292*F292*H292,2)</f>
        <v>2.4</v>
      </c>
    </row>
    <row r="293" spans="1:10" s="140" customFormat="1" ht="18" customHeight="1" x14ac:dyDescent="0.2">
      <c r="A293" s="671"/>
      <c r="B293" s="1727"/>
      <c r="C293" s="512" t="s">
        <v>1036</v>
      </c>
      <c r="D293" s="512">
        <v>6.19</v>
      </c>
      <c r="E293" s="512" t="s">
        <v>45</v>
      </c>
      <c r="F293" s="512">
        <v>3</v>
      </c>
      <c r="G293" s="512" t="s">
        <v>45</v>
      </c>
      <c r="H293" s="512">
        <v>1</v>
      </c>
      <c r="I293" s="512" t="s">
        <v>46</v>
      </c>
      <c r="J293" s="512">
        <f>ROUND(D293*F293*H293,2)</f>
        <v>18.57</v>
      </c>
    </row>
    <row r="294" spans="1:10" s="140" customFormat="1" ht="18" customHeight="1" x14ac:dyDescent="0.2">
      <c r="A294" s="671"/>
      <c r="B294" s="1725" t="s">
        <v>1163</v>
      </c>
      <c r="C294" s="512" t="s">
        <v>1027</v>
      </c>
      <c r="D294" s="512">
        <v>3.17</v>
      </c>
      <c r="E294" s="512" t="s">
        <v>45</v>
      </c>
      <c r="F294" s="512">
        <v>2</v>
      </c>
      <c r="G294" s="512" t="s">
        <v>45</v>
      </c>
      <c r="H294" s="512">
        <v>1</v>
      </c>
      <c r="I294" s="512" t="s">
        <v>46</v>
      </c>
      <c r="J294" s="512">
        <f>ROUND(D294*F294*H294,2)</f>
        <v>6.34</v>
      </c>
    </row>
    <row r="295" spans="1:10" s="140" customFormat="1" ht="18" customHeight="1" x14ac:dyDescent="0.2">
      <c r="A295" s="671"/>
      <c r="B295" s="1727"/>
      <c r="C295" s="512" t="s">
        <v>1028</v>
      </c>
      <c r="D295" s="512">
        <v>5.47</v>
      </c>
      <c r="E295" s="512" t="s">
        <v>45</v>
      </c>
      <c r="F295" s="512">
        <v>2</v>
      </c>
      <c r="G295" s="512" t="s">
        <v>45</v>
      </c>
      <c r="H295" s="512">
        <v>1</v>
      </c>
      <c r="I295" s="512" t="s">
        <v>46</v>
      </c>
      <c r="J295" s="512">
        <f t="shared" ref="J295" si="27">ROUND(D295*F295*H295,2)</f>
        <v>10.94</v>
      </c>
    </row>
    <row r="296" spans="1:10" s="140" customFormat="1" ht="18" customHeight="1" x14ac:dyDescent="0.2">
      <c r="A296" s="671"/>
      <c r="B296" s="1725" t="s">
        <v>1183</v>
      </c>
      <c r="C296" s="512" t="s">
        <v>1037</v>
      </c>
      <c r="D296" s="512">
        <v>4.57</v>
      </c>
      <c r="E296" s="512" t="s">
        <v>45</v>
      </c>
      <c r="F296" s="512">
        <v>2</v>
      </c>
      <c r="G296" s="512" t="s">
        <v>45</v>
      </c>
      <c r="H296" s="512">
        <v>1</v>
      </c>
      <c r="I296" s="512" t="s">
        <v>46</v>
      </c>
      <c r="J296" s="512">
        <f>ROUND(D296*F296*H296,2)</f>
        <v>9.14</v>
      </c>
    </row>
    <row r="297" spans="1:10" s="140" customFormat="1" ht="18" customHeight="1" x14ac:dyDescent="0.2">
      <c r="A297" s="671"/>
      <c r="B297" s="1726"/>
      <c r="C297" s="512" t="s">
        <v>1027</v>
      </c>
      <c r="D297" s="512">
        <v>5.25</v>
      </c>
      <c r="E297" s="512" t="s">
        <v>45</v>
      </c>
      <c r="F297" s="512">
        <v>2</v>
      </c>
      <c r="G297" s="512" t="s">
        <v>45</v>
      </c>
      <c r="H297" s="512">
        <v>1</v>
      </c>
      <c r="I297" s="512" t="s">
        <v>46</v>
      </c>
      <c r="J297" s="512">
        <f>ROUND(D297*F297*H297,2)</f>
        <v>10.5</v>
      </c>
    </row>
    <row r="298" spans="1:10" s="140" customFormat="1" ht="18" customHeight="1" x14ac:dyDescent="0.2">
      <c r="A298" s="671"/>
      <c r="B298" s="1726"/>
      <c r="C298" s="512" t="s">
        <v>1038</v>
      </c>
      <c r="D298" s="512">
        <v>3.05</v>
      </c>
      <c r="E298" s="512" t="s">
        <v>45</v>
      </c>
      <c r="F298" s="512">
        <v>2</v>
      </c>
      <c r="G298" s="512" t="s">
        <v>45</v>
      </c>
      <c r="H298" s="512">
        <v>1</v>
      </c>
      <c r="I298" s="512" t="s">
        <v>46</v>
      </c>
      <c r="J298" s="512">
        <f>ROUND(D298*F298*H298,2)</f>
        <v>6.1</v>
      </c>
    </row>
    <row r="299" spans="1:10" s="140" customFormat="1" ht="18" customHeight="1" x14ac:dyDescent="0.2">
      <c r="A299" s="671"/>
      <c r="B299" s="1726"/>
      <c r="C299" s="512" t="s">
        <v>1039</v>
      </c>
      <c r="D299" s="512">
        <v>3.1</v>
      </c>
      <c r="E299" s="512" t="s">
        <v>45</v>
      </c>
      <c r="F299" s="512">
        <v>2</v>
      </c>
      <c r="G299" s="512" t="s">
        <v>45</v>
      </c>
      <c r="H299" s="512">
        <v>1</v>
      </c>
      <c r="I299" s="512" t="s">
        <v>46</v>
      </c>
      <c r="J299" s="512">
        <f t="shared" ref="J299" si="28">ROUND(D299*F299*H299,2)</f>
        <v>6.2</v>
      </c>
    </row>
    <row r="300" spans="1:10" s="140" customFormat="1" ht="18" customHeight="1" x14ac:dyDescent="0.2">
      <c r="A300" s="671"/>
      <c r="B300" s="1726"/>
      <c r="C300" s="512" t="s">
        <v>1040</v>
      </c>
      <c r="D300" s="512">
        <v>1.65</v>
      </c>
      <c r="E300" s="512" t="s">
        <v>45</v>
      </c>
      <c r="F300" s="512">
        <v>1</v>
      </c>
      <c r="G300" s="512" t="s">
        <v>45</v>
      </c>
      <c r="H300" s="512">
        <v>1</v>
      </c>
      <c r="I300" s="512" t="s">
        <v>46</v>
      </c>
      <c r="J300" s="512">
        <f>ROUND(D300*F300*H300,2)</f>
        <v>1.65</v>
      </c>
    </row>
    <row r="301" spans="1:10" s="140" customFormat="1" ht="18" customHeight="1" x14ac:dyDescent="0.2">
      <c r="A301" s="671"/>
      <c r="B301" s="1726"/>
      <c r="C301" s="512" t="s">
        <v>1041</v>
      </c>
      <c r="D301" s="512">
        <v>2.4500000000000002</v>
      </c>
      <c r="E301" s="512" t="s">
        <v>45</v>
      </c>
      <c r="F301" s="512">
        <v>1</v>
      </c>
      <c r="G301" s="512" t="s">
        <v>45</v>
      </c>
      <c r="H301" s="512">
        <v>1</v>
      </c>
      <c r="I301" s="512" t="s">
        <v>46</v>
      </c>
      <c r="J301" s="512">
        <f>ROUND(D301*F301*H301,2)</f>
        <v>2.4500000000000002</v>
      </c>
    </row>
    <row r="302" spans="1:10" s="140" customFormat="1" ht="18" customHeight="1" x14ac:dyDescent="0.2">
      <c r="A302" s="671"/>
      <c r="B302" s="1726"/>
      <c r="C302" s="512" t="s">
        <v>1042</v>
      </c>
      <c r="D302" s="512">
        <v>5.4</v>
      </c>
      <c r="E302" s="512" t="s">
        <v>45</v>
      </c>
      <c r="F302" s="512">
        <v>2</v>
      </c>
      <c r="G302" s="512" t="s">
        <v>45</v>
      </c>
      <c r="H302" s="512">
        <v>1</v>
      </c>
      <c r="I302" s="512" t="s">
        <v>46</v>
      </c>
      <c r="J302" s="512">
        <f>ROUND(D302*F302*H302,2)</f>
        <v>10.8</v>
      </c>
    </row>
    <row r="303" spans="1:10" s="140" customFormat="1" ht="18" customHeight="1" x14ac:dyDescent="0.2">
      <c r="A303" s="671"/>
      <c r="B303" s="1726"/>
      <c r="C303" s="512" t="s">
        <v>1029</v>
      </c>
      <c r="D303" s="512">
        <v>3.17</v>
      </c>
      <c r="E303" s="512" t="s">
        <v>45</v>
      </c>
      <c r="F303" s="512">
        <v>2</v>
      </c>
      <c r="G303" s="512" t="s">
        <v>45</v>
      </c>
      <c r="H303" s="512">
        <v>1</v>
      </c>
      <c r="I303" s="512" t="s">
        <v>46</v>
      </c>
      <c r="J303" s="512">
        <f t="shared" ref="J303" si="29">ROUND(D303*F303*H303,2)</f>
        <v>6.34</v>
      </c>
    </row>
    <row r="304" spans="1:10" s="140" customFormat="1" ht="18" customHeight="1" x14ac:dyDescent="0.2">
      <c r="A304" s="671"/>
      <c r="B304" s="1726"/>
      <c r="C304" s="512" t="s">
        <v>1043</v>
      </c>
      <c r="D304" s="512">
        <v>1.6</v>
      </c>
      <c r="E304" s="512" t="s">
        <v>45</v>
      </c>
      <c r="F304" s="512">
        <v>2</v>
      </c>
      <c r="G304" s="512" t="s">
        <v>45</v>
      </c>
      <c r="H304" s="512">
        <v>1</v>
      </c>
      <c r="I304" s="512" t="s">
        <v>46</v>
      </c>
      <c r="J304" s="512">
        <f>ROUND(D304*F304*H304,2)</f>
        <v>3.2</v>
      </c>
    </row>
    <row r="305" spans="1:10" s="140" customFormat="1" ht="18" customHeight="1" x14ac:dyDescent="0.2">
      <c r="A305" s="671"/>
      <c r="B305" s="1726"/>
      <c r="C305" s="512" t="s">
        <v>1044</v>
      </c>
      <c r="D305" s="512">
        <v>2.0499999999999998</v>
      </c>
      <c r="E305" s="512" t="s">
        <v>45</v>
      </c>
      <c r="F305" s="512">
        <v>1</v>
      </c>
      <c r="G305" s="512" t="s">
        <v>45</v>
      </c>
      <c r="H305" s="512">
        <v>1</v>
      </c>
      <c r="I305" s="512" t="s">
        <v>46</v>
      </c>
      <c r="J305" s="512">
        <f>ROUND(D305*F305*H305,2)</f>
        <v>2.0499999999999998</v>
      </c>
    </row>
    <row r="306" spans="1:10" s="140" customFormat="1" ht="18" customHeight="1" x14ac:dyDescent="0.2">
      <c r="A306" s="671"/>
      <c r="B306" s="1726"/>
      <c r="C306" s="512" t="s">
        <v>1045</v>
      </c>
      <c r="D306" s="512">
        <v>1.45</v>
      </c>
      <c r="E306" s="512" t="s">
        <v>45</v>
      </c>
      <c r="F306" s="512">
        <v>1</v>
      </c>
      <c r="G306" s="512" t="s">
        <v>45</v>
      </c>
      <c r="H306" s="512">
        <v>1</v>
      </c>
      <c r="I306" s="512" t="s">
        <v>46</v>
      </c>
      <c r="J306" s="512">
        <f>ROUND(D306*F306*H306,2)</f>
        <v>1.45</v>
      </c>
    </row>
    <row r="307" spans="1:10" s="140" customFormat="1" ht="18" customHeight="1" x14ac:dyDescent="0.2">
      <c r="A307" s="671"/>
      <c r="B307" s="1726"/>
      <c r="C307" s="512" t="s">
        <v>1046</v>
      </c>
      <c r="D307" s="512">
        <v>6.65</v>
      </c>
      <c r="E307" s="512" t="s">
        <v>45</v>
      </c>
      <c r="F307" s="512">
        <v>2</v>
      </c>
      <c r="G307" s="512" t="s">
        <v>45</v>
      </c>
      <c r="H307" s="512">
        <v>1</v>
      </c>
      <c r="I307" s="512" t="s">
        <v>46</v>
      </c>
      <c r="J307" s="512">
        <f t="shared" ref="J307" si="30">ROUND(D307*F307*H307,2)</f>
        <v>13.3</v>
      </c>
    </row>
    <row r="308" spans="1:10" s="140" customFormat="1" ht="18" customHeight="1" x14ac:dyDescent="0.2">
      <c r="A308" s="671"/>
      <c r="B308" s="1726"/>
      <c r="C308" s="512" t="s">
        <v>1193</v>
      </c>
      <c r="D308" s="512">
        <v>11.98</v>
      </c>
      <c r="E308" s="512" t="s">
        <v>45</v>
      </c>
      <c r="F308" s="512">
        <v>2</v>
      </c>
      <c r="G308" s="512" t="s">
        <v>45</v>
      </c>
      <c r="H308" s="512">
        <v>1</v>
      </c>
      <c r="I308" s="512" t="s">
        <v>46</v>
      </c>
      <c r="J308" s="512">
        <f>ROUND(D308*F308*H308,2)</f>
        <v>23.96</v>
      </c>
    </row>
    <row r="309" spans="1:10" s="140" customFormat="1" ht="18" customHeight="1" x14ac:dyDescent="0.2">
      <c r="A309" s="671"/>
      <c r="B309" s="1726"/>
      <c r="C309" s="512" t="s">
        <v>1047</v>
      </c>
      <c r="D309" s="512">
        <v>12</v>
      </c>
      <c r="E309" s="512" t="s">
        <v>45</v>
      </c>
      <c r="F309" s="512">
        <v>2</v>
      </c>
      <c r="G309" s="512" t="s">
        <v>45</v>
      </c>
      <c r="H309" s="512">
        <v>1</v>
      </c>
      <c r="I309" s="512" t="s">
        <v>46</v>
      </c>
      <c r="J309" s="512">
        <f>ROUND(D309*F309*H309,2)</f>
        <v>24</v>
      </c>
    </row>
    <row r="310" spans="1:10" s="140" customFormat="1" ht="18" customHeight="1" x14ac:dyDescent="0.2">
      <c r="A310" s="671"/>
      <c r="B310" s="1727"/>
      <c r="C310" s="512" t="s">
        <v>1048</v>
      </c>
      <c r="D310" s="512">
        <v>2.16</v>
      </c>
      <c r="E310" s="512" t="s">
        <v>45</v>
      </c>
      <c r="F310" s="512">
        <v>2</v>
      </c>
      <c r="G310" s="512" t="s">
        <v>45</v>
      </c>
      <c r="H310" s="512">
        <v>1</v>
      </c>
      <c r="I310" s="512" t="s">
        <v>46</v>
      </c>
      <c r="J310" s="512">
        <f>ROUND(D310*F310*H310,2)</f>
        <v>4.32</v>
      </c>
    </row>
    <row r="311" spans="1:10" s="140" customFormat="1" ht="18" customHeight="1" x14ac:dyDescent="0.2">
      <c r="A311" s="671"/>
      <c r="B311" s="1725" t="s">
        <v>1165</v>
      </c>
      <c r="C311" s="512" t="s">
        <v>924</v>
      </c>
      <c r="D311" s="512">
        <v>3.69</v>
      </c>
      <c r="E311" s="512" t="s">
        <v>45</v>
      </c>
      <c r="F311" s="512">
        <v>2</v>
      </c>
      <c r="G311" s="512" t="s">
        <v>45</v>
      </c>
      <c r="H311" s="512">
        <v>1</v>
      </c>
      <c r="I311" s="512" t="s">
        <v>46</v>
      </c>
      <c r="J311" s="512">
        <f t="shared" ref="J311" si="31">ROUND(D311*F311*H311,2)</f>
        <v>7.38</v>
      </c>
    </row>
    <row r="312" spans="1:10" s="140" customFormat="1" ht="18" customHeight="1" x14ac:dyDescent="0.2">
      <c r="A312" s="671"/>
      <c r="B312" s="1727"/>
      <c r="C312" s="512" t="s">
        <v>925</v>
      </c>
      <c r="D312" s="512">
        <v>4.07</v>
      </c>
      <c r="E312" s="512" t="s">
        <v>45</v>
      </c>
      <c r="F312" s="512">
        <v>2</v>
      </c>
      <c r="G312" s="512" t="s">
        <v>45</v>
      </c>
      <c r="H312" s="512">
        <v>1</v>
      </c>
      <c r="I312" s="512" t="s">
        <v>46</v>
      </c>
      <c r="J312" s="512">
        <f>ROUND(D312*F312*H312,2)</f>
        <v>8.14</v>
      </c>
    </row>
    <row r="313" spans="1:10" s="140" customFormat="1" ht="18" customHeight="1" x14ac:dyDescent="0.2">
      <c r="A313" s="671"/>
      <c r="B313" s="247" t="s">
        <v>1166</v>
      </c>
      <c r="C313" s="512" t="s">
        <v>1049</v>
      </c>
      <c r="D313" s="512">
        <v>4.4400000000000004</v>
      </c>
      <c r="E313" s="512" t="s">
        <v>45</v>
      </c>
      <c r="F313" s="512">
        <v>2</v>
      </c>
      <c r="G313" s="512" t="s">
        <v>45</v>
      </c>
      <c r="H313" s="512">
        <v>1</v>
      </c>
      <c r="I313" s="512" t="s">
        <v>46</v>
      </c>
      <c r="J313" s="512">
        <f>ROUND(D313*F313*H313,2)</f>
        <v>8.8800000000000008</v>
      </c>
    </row>
    <row r="314" spans="1:10" s="140" customFormat="1" ht="18" customHeight="1" x14ac:dyDescent="0.2">
      <c r="A314" s="671"/>
      <c r="B314" s="1725" t="s">
        <v>1167</v>
      </c>
      <c r="C314" s="512" t="s">
        <v>1050</v>
      </c>
      <c r="D314" s="512">
        <v>3.4</v>
      </c>
      <c r="E314" s="512" t="s">
        <v>45</v>
      </c>
      <c r="F314" s="512">
        <v>2</v>
      </c>
      <c r="G314" s="512" t="s">
        <v>45</v>
      </c>
      <c r="H314" s="512">
        <v>1</v>
      </c>
      <c r="I314" s="512" t="s">
        <v>46</v>
      </c>
      <c r="J314" s="512">
        <f>ROUND(D314*F314*H314,2)</f>
        <v>6.8</v>
      </c>
    </row>
    <row r="315" spans="1:10" s="140" customFormat="1" ht="18" customHeight="1" x14ac:dyDescent="0.2">
      <c r="A315" s="671"/>
      <c r="B315" s="1726"/>
      <c r="C315" s="512" t="s">
        <v>1051</v>
      </c>
      <c r="D315" s="512">
        <v>1.2</v>
      </c>
      <c r="E315" s="512" t="s">
        <v>45</v>
      </c>
      <c r="F315" s="512">
        <v>1</v>
      </c>
      <c r="G315" s="512" t="s">
        <v>45</v>
      </c>
      <c r="H315" s="512">
        <v>1</v>
      </c>
      <c r="I315" s="512" t="s">
        <v>46</v>
      </c>
      <c r="J315" s="512">
        <f t="shared" ref="J315" si="32">ROUND(D315*F315*H315,2)</f>
        <v>1.2</v>
      </c>
    </row>
    <row r="316" spans="1:10" s="140" customFormat="1" ht="18" customHeight="1" x14ac:dyDescent="0.2">
      <c r="A316" s="671"/>
      <c r="B316" s="1727"/>
      <c r="C316" s="512" t="s">
        <v>1052</v>
      </c>
      <c r="D316" s="512">
        <v>3.48</v>
      </c>
      <c r="E316" s="512" t="s">
        <v>45</v>
      </c>
      <c r="F316" s="512">
        <v>2</v>
      </c>
      <c r="G316" s="512" t="s">
        <v>45</v>
      </c>
      <c r="H316" s="512">
        <v>1</v>
      </c>
      <c r="I316" s="512" t="s">
        <v>46</v>
      </c>
      <c r="J316" s="512">
        <f>ROUND(D316*F316*H316,2)</f>
        <v>6.96</v>
      </c>
    </row>
    <row r="317" spans="1:10" s="21" customFormat="1" ht="12" customHeight="1" x14ac:dyDescent="0.2">
      <c r="A317" s="529"/>
      <c r="B317" s="710"/>
      <c r="C317" s="710"/>
      <c r="D317" s="710"/>
      <c r="E317" s="710"/>
      <c r="F317" s="710"/>
      <c r="G317" s="710"/>
      <c r="H317" s="710"/>
      <c r="I317" s="710"/>
    </row>
    <row r="318" spans="1:10" s="140" customFormat="1" ht="17.25" customHeight="1" x14ac:dyDescent="0.2">
      <c r="A318" s="671"/>
      <c r="B318" s="672"/>
      <c r="C318" s="512" t="s">
        <v>614</v>
      </c>
      <c r="D318" s="521"/>
      <c r="E318" s="512" t="s">
        <v>928</v>
      </c>
      <c r="F318" s="521"/>
      <c r="G318" s="681" t="s">
        <v>967</v>
      </c>
      <c r="H318" s="755"/>
      <c r="I318" s="672"/>
    </row>
    <row r="319" spans="1:10" s="685" customFormat="1" ht="30" customHeight="1" x14ac:dyDescent="0.2">
      <c r="A319" s="682"/>
      <c r="B319" s="686" t="s">
        <v>1021</v>
      </c>
      <c r="C319" s="678">
        <f>ROUND(SUM(J226:J317),2)</f>
        <v>719.66</v>
      </c>
      <c r="D319" s="678" t="s">
        <v>45</v>
      </c>
      <c r="E319" s="683">
        <v>0.39500000000000002</v>
      </c>
      <c r="F319" s="512" t="s">
        <v>46</v>
      </c>
      <c r="G319" s="681">
        <f>ROUND(C319*E319,2)</f>
        <v>284.27</v>
      </c>
      <c r="H319" s="755"/>
      <c r="I319" s="684"/>
    </row>
    <row r="320" spans="1:10" s="720" customFormat="1" x14ac:dyDescent="0.2">
      <c r="B320" s="207"/>
      <c r="C320" s="705"/>
      <c r="D320" s="196"/>
      <c r="E320" s="196"/>
      <c r="F320" s="206"/>
      <c r="G320" s="206"/>
      <c r="H320" s="206"/>
      <c r="I320" s="206"/>
    </row>
    <row r="321" spans="1:11" s="720" customFormat="1" ht="30" customHeight="1" x14ac:dyDescent="0.2">
      <c r="B321" s="207" t="str">
        <f>ORÇ!A74</f>
        <v>5.2.4</v>
      </c>
      <c r="C321" s="1741" t="str">
        <f>ORÇ!D74</f>
        <v>ARMAÇÃO DE PILAR OU VIGA DE UMA ESTRUTURA CONVENCIONAL DE CONCRETO ARMADO EM UM EDIFÍCIO DE MÚLTIPLOS PAVIMENTOS UTILIZANDO AÇO CA-50 DE 10,0 MM - MONTAGEM. AF_12/2015</v>
      </c>
      <c r="D321" s="1741"/>
      <c r="E321" s="1741"/>
      <c r="F321" s="1741"/>
      <c r="G321" s="1741"/>
      <c r="H321" s="1741"/>
      <c r="I321" s="1741"/>
    </row>
    <row r="322" spans="1:11" s="720" customFormat="1" x14ac:dyDescent="0.2">
      <c r="B322" s="207"/>
      <c r="C322" s="705"/>
      <c r="D322" s="196"/>
      <c r="E322" s="196"/>
      <c r="F322" s="206"/>
      <c r="G322" s="206"/>
      <c r="H322" s="206"/>
      <c r="I322" s="206"/>
    </row>
    <row r="323" spans="1:11" s="602" customFormat="1" ht="19.5" customHeight="1" x14ac:dyDescent="0.2">
      <c r="A323" s="671"/>
      <c r="B323" s="512" t="s">
        <v>616</v>
      </c>
      <c r="C323" s="512" t="s">
        <v>917</v>
      </c>
      <c r="D323" s="512" t="s">
        <v>753</v>
      </c>
      <c r="E323" s="512"/>
      <c r="F323" s="512" t="s">
        <v>590</v>
      </c>
      <c r="G323" s="512"/>
      <c r="H323" s="512" t="s">
        <v>1022</v>
      </c>
      <c r="I323" s="512"/>
      <c r="J323" s="512" t="s">
        <v>614</v>
      </c>
      <c r="K323" s="522"/>
    </row>
    <row r="324" spans="1:11" s="140" customFormat="1" ht="18" customHeight="1" x14ac:dyDescent="0.2">
      <c r="A324" s="671"/>
      <c r="B324" s="1725" t="s">
        <v>1174</v>
      </c>
      <c r="C324" s="512" t="s">
        <v>1051</v>
      </c>
      <c r="D324" s="512">
        <v>5.83</v>
      </c>
      <c r="E324" s="512" t="s">
        <v>45</v>
      </c>
      <c r="F324" s="512">
        <v>1</v>
      </c>
      <c r="G324" s="512" t="s">
        <v>45</v>
      </c>
      <c r="H324" s="512">
        <v>1</v>
      </c>
      <c r="I324" s="512" t="s">
        <v>46</v>
      </c>
      <c r="J324" s="512">
        <f t="shared" ref="J324:J341" si="33">ROUND(D324*F324*H324,2)</f>
        <v>5.83</v>
      </c>
    </row>
    <row r="325" spans="1:11" s="140" customFormat="1" ht="18" customHeight="1" x14ac:dyDescent="0.2">
      <c r="A325" s="671"/>
      <c r="B325" s="1726"/>
      <c r="C325" s="512" t="s">
        <v>1052</v>
      </c>
      <c r="D325" s="512">
        <v>11.98</v>
      </c>
      <c r="E325" s="512" t="s">
        <v>45</v>
      </c>
      <c r="F325" s="512">
        <v>2</v>
      </c>
      <c r="G325" s="512" t="s">
        <v>45</v>
      </c>
      <c r="H325" s="512">
        <v>1</v>
      </c>
      <c r="I325" s="512" t="s">
        <v>46</v>
      </c>
      <c r="J325" s="512">
        <f t="shared" si="33"/>
        <v>23.96</v>
      </c>
    </row>
    <row r="326" spans="1:11" s="140" customFormat="1" ht="18" customHeight="1" x14ac:dyDescent="0.2">
      <c r="A326" s="671"/>
      <c r="B326" s="1727"/>
      <c r="C326" s="512" t="s">
        <v>1053</v>
      </c>
      <c r="D326" s="512">
        <v>5.9</v>
      </c>
      <c r="E326" s="512" t="s">
        <v>45</v>
      </c>
      <c r="F326" s="512">
        <v>2</v>
      </c>
      <c r="G326" s="512" t="s">
        <v>45</v>
      </c>
      <c r="H326" s="512">
        <v>1</v>
      </c>
      <c r="I326" s="512" t="s">
        <v>46</v>
      </c>
      <c r="J326" s="512">
        <f t="shared" si="33"/>
        <v>11.8</v>
      </c>
    </row>
    <row r="327" spans="1:11" s="140" customFormat="1" ht="18" customHeight="1" x14ac:dyDescent="0.2">
      <c r="A327" s="671"/>
      <c r="B327" s="1725" t="s">
        <v>1143</v>
      </c>
      <c r="C327" s="512" t="s">
        <v>1054</v>
      </c>
      <c r="D327" s="512">
        <v>2.75</v>
      </c>
      <c r="E327" s="512" t="s">
        <v>45</v>
      </c>
      <c r="F327" s="512">
        <v>1</v>
      </c>
      <c r="G327" s="512" t="s">
        <v>45</v>
      </c>
      <c r="H327" s="512">
        <v>1</v>
      </c>
      <c r="I327" s="512" t="s">
        <v>46</v>
      </c>
      <c r="J327" s="512">
        <f t="shared" si="33"/>
        <v>2.75</v>
      </c>
    </row>
    <row r="328" spans="1:11" s="140" customFormat="1" ht="18" customHeight="1" x14ac:dyDescent="0.2">
      <c r="A328" s="671"/>
      <c r="B328" s="1727"/>
      <c r="C328" s="512" t="s">
        <v>1055</v>
      </c>
      <c r="D328" s="512">
        <v>5.29</v>
      </c>
      <c r="E328" s="512" t="s">
        <v>45</v>
      </c>
      <c r="F328" s="512">
        <v>2</v>
      </c>
      <c r="G328" s="512" t="s">
        <v>45</v>
      </c>
      <c r="H328" s="512">
        <v>1</v>
      </c>
      <c r="I328" s="512" t="s">
        <v>46</v>
      </c>
      <c r="J328" s="512">
        <f t="shared" si="33"/>
        <v>10.58</v>
      </c>
    </row>
    <row r="329" spans="1:11" s="140" customFormat="1" ht="18" customHeight="1" x14ac:dyDescent="0.2">
      <c r="A329" s="671"/>
      <c r="B329" s="1725" t="s">
        <v>1185</v>
      </c>
      <c r="C329" s="512" t="s">
        <v>1056</v>
      </c>
      <c r="D329" s="512">
        <v>1.22</v>
      </c>
      <c r="E329" s="512" t="s">
        <v>45</v>
      </c>
      <c r="F329" s="512">
        <v>1</v>
      </c>
      <c r="G329" s="512" t="s">
        <v>45</v>
      </c>
      <c r="H329" s="512">
        <v>1</v>
      </c>
      <c r="I329" s="512" t="s">
        <v>46</v>
      </c>
      <c r="J329" s="512">
        <f t="shared" si="33"/>
        <v>1.22</v>
      </c>
    </row>
    <row r="330" spans="1:11" s="140" customFormat="1" ht="18" customHeight="1" x14ac:dyDescent="0.2">
      <c r="A330" s="671"/>
      <c r="B330" s="1726"/>
      <c r="C330" s="512" t="s">
        <v>1057</v>
      </c>
      <c r="D330" s="512">
        <v>11.99</v>
      </c>
      <c r="E330" s="512" t="s">
        <v>45</v>
      </c>
      <c r="F330" s="512">
        <v>2</v>
      </c>
      <c r="G330" s="512" t="s">
        <v>45</v>
      </c>
      <c r="H330" s="512">
        <v>1</v>
      </c>
      <c r="I330" s="512" t="s">
        <v>46</v>
      </c>
      <c r="J330" s="512">
        <f t="shared" si="33"/>
        <v>23.98</v>
      </c>
    </row>
    <row r="331" spans="1:11" s="140" customFormat="1" ht="18" customHeight="1" x14ac:dyDescent="0.2">
      <c r="A331" s="671"/>
      <c r="B331" s="1727"/>
      <c r="C331" s="512" t="s">
        <v>1058</v>
      </c>
      <c r="D331" s="512">
        <v>5.64</v>
      </c>
      <c r="E331" s="512" t="s">
        <v>45</v>
      </c>
      <c r="F331" s="512">
        <v>2</v>
      </c>
      <c r="G331" s="512" t="s">
        <v>45</v>
      </c>
      <c r="H331" s="512">
        <v>1</v>
      </c>
      <c r="I331" s="512" t="s">
        <v>46</v>
      </c>
      <c r="J331" s="512">
        <f t="shared" si="33"/>
        <v>11.28</v>
      </c>
    </row>
    <row r="332" spans="1:11" s="140" customFormat="1" ht="18" customHeight="1" x14ac:dyDescent="0.2">
      <c r="A332" s="671"/>
      <c r="B332" s="247" t="s">
        <v>1187</v>
      </c>
      <c r="C332" s="512" t="s">
        <v>1059</v>
      </c>
      <c r="D332" s="512">
        <v>5.89</v>
      </c>
      <c r="E332" s="512" t="s">
        <v>45</v>
      </c>
      <c r="F332" s="512">
        <v>2</v>
      </c>
      <c r="G332" s="512" t="s">
        <v>45</v>
      </c>
      <c r="H332" s="512">
        <v>1</v>
      </c>
      <c r="I332" s="512" t="s">
        <v>46</v>
      </c>
      <c r="J332" s="512">
        <f t="shared" si="33"/>
        <v>11.78</v>
      </c>
    </row>
    <row r="333" spans="1:11" s="140" customFormat="1" ht="18" customHeight="1" x14ac:dyDescent="0.2">
      <c r="A333" s="671"/>
      <c r="B333" s="247" t="s">
        <v>1149</v>
      </c>
      <c r="C333" s="512" t="s">
        <v>1060</v>
      </c>
      <c r="D333" s="512">
        <v>9.17</v>
      </c>
      <c r="E333" s="512" t="s">
        <v>45</v>
      </c>
      <c r="F333" s="512">
        <v>2</v>
      </c>
      <c r="G333" s="512" t="s">
        <v>45</v>
      </c>
      <c r="H333" s="512">
        <v>1</v>
      </c>
      <c r="I333" s="512" t="s">
        <v>46</v>
      </c>
      <c r="J333" s="512">
        <f t="shared" si="33"/>
        <v>18.34</v>
      </c>
    </row>
    <row r="334" spans="1:11" s="140" customFormat="1" ht="18" customHeight="1" x14ac:dyDescent="0.2">
      <c r="A334" s="671"/>
      <c r="B334" s="247" t="s">
        <v>1151</v>
      </c>
      <c r="C334" s="512" t="s">
        <v>1061</v>
      </c>
      <c r="D334" s="512">
        <v>5.87</v>
      </c>
      <c r="E334" s="512" t="s">
        <v>45</v>
      </c>
      <c r="F334" s="512">
        <v>2</v>
      </c>
      <c r="G334" s="512" t="s">
        <v>45</v>
      </c>
      <c r="H334" s="512">
        <v>1</v>
      </c>
      <c r="I334" s="512" t="s">
        <v>46</v>
      </c>
      <c r="J334" s="512">
        <f t="shared" si="33"/>
        <v>11.74</v>
      </c>
    </row>
    <row r="335" spans="1:11" s="140" customFormat="1" ht="18" customHeight="1" x14ac:dyDescent="0.2">
      <c r="A335" s="671"/>
      <c r="B335" s="1725" t="s">
        <v>1179</v>
      </c>
      <c r="C335" s="512" t="s">
        <v>1053</v>
      </c>
      <c r="D335" s="512">
        <v>4.67</v>
      </c>
      <c r="E335" s="512" t="s">
        <v>45</v>
      </c>
      <c r="F335" s="512">
        <v>2</v>
      </c>
      <c r="G335" s="512" t="s">
        <v>45</v>
      </c>
      <c r="H335" s="512">
        <v>2</v>
      </c>
      <c r="I335" s="512" t="s">
        <v>46</v>
      </c>
      <c r="J335" s="512">
        <f t="shared" si="33"/>
        <v>18.68</v>
      </c>
    </row>
    <row r="336" spans="1:11" s="140" customFormat="1" ht="18" customHeight="1" x14ac:dyDescent="0.2">
      <c r="A336" s="671"/>
      <c r="B336" s="1726"/>
      <c r="C336" s="512" t="s">
        <v>1054</v>
      </c>
      <c r="D336" s="512">
        <v>5.2</v>
      </c>
      <c r="E336" s="512" t="s">
        <v>45</v>
      </c>
      <c r="F336" s="512">
        <v>2</v>
      </c>
      <c r="G336" s="512" t="s">
        <v>45</v>
      </c>
      <c r="H336" s="512">
        <v>2</v>
      </c>
      <c r="I336" s="512" t="s">
        <v>46</v>
      </c>
      <c r="J336" s="512">
        <f t="shared" si="33"/>
        <v>20.8</v>
      </c>
    </row>
    <row r="337" spans="1:11" s="140" customFormat="1" ht="18" customHeight="1" x14ac:dyDescent="0.2">
      <c r="A337" s="671"/>
      <c r="B337" s="1727"/>
      <c r="C337" s="512" t="s">
        <v>1055</v>
      </c>
      <c r="D337" s="512">
        <v>6.3</v>
      </c>
      <c r="E337" s="512" t="s">
        <v>45</v>
      </c>
      <c r="F337" s="512">
        <v>3</v>
      </c>
      <c r="G337" s="512" t="s">
        <v>45</v>
      </c>
      <c r="H337" s="512">
        <v>2</v>
      </c>
      <c r="I337" s="512" t="s">
        <v>46</v>
      </c>
      <c r="J337" s="512">
        <f t="shared" si="33"/>
        <v>37.799999999999997</v>
      </c>
    </row>
    <row r="338" spans="1:11" s="140" customFormat="1" ht="18" customHeight="1" x14ac:dyDescent="0.2">
      <c r="A338" s="671"/>
      <c r="B338" s="1725" t="s">
        <v>1159</v>
      </c>
      <c r="C338" s="512" t="s">
        <v>1056</v>
      </c>
      <c r="D338" s="512">
        <v>11.98</v>
      </c>
      <c r="E338" s="512" t="s">
        <v>45</v>
      </c>
      <c r="F338" s="512">
        <v>2</v>
      </c>
      <c r="G338" s="512" t="s">
        <v>45</v>
      </c>
      <c r="H338" s="512">
        <v>1</v>
      </c>
      <c r="I338" s="512" t="s">
        <v>46</v>
      </c>
      <c r="J338" s="512">
        <f t="shared" si="33"/>
        <v>23.96</v>
      </c>
    </row>
    <row r="339" spans="1:11" s="140" customFormat="1" ht="18" customHeight="1" x14ac:dyDescent="0.2">
      <c r="A339" s="671"/>
      <c r="B339" s="1727"/>
      <c r="C339" s="512" t="s">
        <v>1057</v>
      </c>
      <c r="D339" s="512">
        <v>5.22</v>
      </c>
      <c r="E339" s="512" t="s">
        <v>45</v>
      </c>
      <c r="F339" s="512">
        <v>2</v>
      </c>
      <c r="G339" s="512" t="s">
        <v>45</v>
      </c>
      <c r="H339" s="512">
        <v>1</v>
      </c>
      <c r="I339" s="512" t="s">
        <v>46</v>
      </c>
      <c r="J339" s="512">
        <f t="shared" si="33"/>
        <v>10.44</v>
      </c>
    </row>
    <row r="340" spans="1:11" s="140" customFormat="1" ht="18" customHeight="1" x14ac:dyDescent="0.2">
      <c r="A340" s="671"/>
      <c r="B340" s="247" t="s">
        <v>1160</v>
      </c>
      <c r="C340" s="512" t="s">
        <v>1058</v>
      </c>
      <c r="D340" s="512">
        <v>3.78</v>
      </c>
      <c r="E340" s="512" t="s">
        <v>45</v>
      </c>
      <c r="F340" s="512">
        <v>2</v>
      </c>
      <c r="G340" s="512" t="s">
        <v>45</v>
      </c>
      <c r="H340" s="512">
        <v>1</v>
      </c>
      <c r="I340" s="512" t="s">
        <v>46</v>
      </c>
      <c r="J340" s="512">
        <f t="shared" si="33"/>
        <v>7.56</v>
      </c>
    </row>
    <row r="341" spans="1:11" s="140" customFormat="1" ht="18" customHeight="1" x14ac:dyDescent="0.2">
      <c r="A341" s="671"/>
      <c r="B341" s="247" t="s">
        <v>1163</v>
      </c>
      <c r="C341" s="512" t="s">
        <v>1058</v>
      </c>
      <c r="D341" s="512">
        <v>2.2999999999999998</v>
      </c>
      <c r="E341" s="512" t="s">
        <v>45</v>
      </c>
      <c r="F341" s="512">
        <v>1</v>
      </c>
      <c r="G341" s="512" t="s">
        <v>45</v>
      </c>
      <c r="H341" s="512">
        <v>1</v>
      </c>
      <c r="I341" s="512" t="s">
        <v>46</v>
      </c>
      <c r="J341" s="512">
        <f t="shared" si="33"/>
        <v>2.2999999999999998</v>
      </c>
    </row>
    <row r="342" spans="1:11" s="21" customFormat="1" ht="12" customHeight="1" x14ac:dyDescent="0.2">
      <c r="A342" s="529"/>
      <c r="B342" s="710"/>
      <c r="C342" s="710"/>
      <c r="D342" s="710"/>
      <c r="E342" s="710"/>
      <c r="F342" s="710"/>
      <c r="G342" s="710"/>
      <c r="H342" s="710"/>
      <c r="I342" s="710"/>
    </row>
    <row r="343" spans="1:11" s="140" customFormat="1" ht="17.25" customHeight="1" x14ac:dyDescent="0.2">
      <c r="A343" s="671"/>
      <c r="B343" s="672"/>
      <c r="C343" s="512" t="s">
        <v>614</v>
      </c>
      <c r="D343" s="521"/>
      <c r="E343" s="512" t="s">
        <v>928</v>
      </c>
      <c r="F343" s="521"/>
      <c r="G343" s="681" t="s">
        <v>967</v>
      </c>
      <c r="H343" s="755"/>
      <c r="I343" s="672"/>
    </row>
    <row r="344" spans="1:11" s="685" customFormat="1" ht="30" customHeight="1" x14ac:dyDescent="0.2">
      <c r="A344" s="682"/>
      <c r="B344" s="686" t="s">
        <v>929</v>
      </c>
      <c r="C344" s="678">
        <f>ROUND(SUM(J324:J342),2)</f>
        <v>254.8</v>
      </c>
      <c r="D344" s="678" t="s">
        <v>45</v>
      </c>
      <c r="E344" s="683">
        <v>0.61699999999999999</v>
      </c>
      <c r="F344" s="512" t="s">
        <v>46</v>
      </c>
      <c r="G344" s="681">
        <f>ROUND(C344*E344,2)</f>
        <v>157.21</v>
      </c>
      <c r="H344" s="755"/>
      <c r="I344" s="684"/>
    </row>
    <row r="345" spans="1:11" s="21" customFormat="1" x14ac:dyDescent="0.2"/>
    <row r="346" spans="1:11" s="720" customFormat="1" x14ac:dyDescent="0.2">
      <c r="B346" s="207"/>
      <c r="C346" s="705"/>
      <c r="D346" s="196"/>
      <c r="E346" s="196"/>
      <c r="F346" s="206"/>
      <c r="G346" s="206"/>
      <c r="H346" s="206"/>
      <c r="I346" s="206"/>
    </row>
    <row r="347" spans="1:11" s="720" customFormat="1" ht="30" customHeight="1" x14ac:dyDescent="0.2">
      <c r="B347" s="207" t="str">
        <f>ORÇ!A75</f>
        <v>5.2.5</v>
      </c>
      <c r="C347" s="1741" t="str">
        <f>ORÇ!D75</f>
        <v>ARMAÇÃO DE PILAR OU VIGA DE UMA ESTRUTURA CONVENCIONAL DE CONCRETO ARMADO EM UM EDIFÍCIO DE MÚLTIPLOS PAVIMENTOS UTILIZANDO AÇO CA-50 DE 12,5 MM - MONTAGEM. AF_12/2015</v>
      </c>
      <c r="D347" s="1741"/>
      <c r="E347" s="1741"/>
      <c r="F347" s="1741"/>
      <c r="G347" s="1741"/>
      <c r="H347" s="1741"/>
      <c r="I347" s="1741"/>
    </row>
    <row r="348" spans="1:11" s="720" customFormat="1" x14ac:dyDescent="0.2">
      <c r="B348" s="207"/>
      <c r="C348" s="705"/>
      <c r="D348" s="196"/>
      <c r="E348" s="196"/>
      <c r="F348" s="206"/>
      <c r="G348" s="206"/>
      <c r="H348" s="206"/>
      <c r="I348" s="206"/>
    </row>
    <row r="349" spans="1:11" s="602" customFormat="1" ht="19.5" customHeight="1" x14ac:dyDescent="0.2">
      <c r="A349" s="671"/>
      <c r="B349" s="512" t="s">
        <v>616</v>
      </c>
      <c r="C349" s="512" t="s">
        <v>917</v>
      </c>
      <c r="D349" s="512" t="s">
        <v>753</v>
      </c>
      <c r="E349" s="512"/>
      <c r="F349" s="512" t="s">
        <v>590</v>
      </c>
      <c r="G349" s="512"/>
      <c r="H349" s="512" t="s">
        <v>1022</v>
      </c>
      <c r="I349" s="512"/>
      <c r="J349" s="512" t="s">
        <v>614</v>
      </c>
      <c r="K349" s="522"/>
    </row>
    <row r="350" spans="1:11" s="140" customFormat="1" ht="20.25" customHeight="1" x14ac:dyDescent="0.2">
      <c r="A350" s="671"/>
      <c r="B350" s="247" t="s">
        <v>1147</v>
      </c>
      <c r="C350" s="45" t="s">
        <v>1062</v>
      </c>
      <c r="D350" s="45">
        <v>5.48</v>
      </c>
      <c r="E350" s="512" t="s">
        <v>45</v>
      </c>
      <c r="F350" s="512">
        <v>4</v>
      </c>
      <c r="G350" s="512" t="s">
        <v>45</v>
      </c>
      <c r="H350" s="512">
        <v>1</v>
      </c>
      <c r="I350" s="512" t="s">
        <v>46</v>
      </c>
      <c r="J350" s="512">
        <f t="shared" ref="J350" si="34">ROUND(D350*F350*H350,2)</f>
        <v>21.92</v>
      </c>
    </row>
    <row r="351" spans="1:11" s="140" customFormat="1" ht="20.25" customHeight="1" x14ac:dyDescent="0.2">
      <c r="A351" s="671"/>
      <c r="B351" s="1725" t="s">
        <v>1153</v>
      </c>
      <c r="C351" s="45" t="s">
        <v>1063</v>
      </c>
      <c r="D351" s="45">
        <v>11.97</v>
      </c>
      <c r="E351" s="512" t="s">
        <v>45</v>
      </c>
      <c r="F351" s="512">
        <v>2</v>
      </c>
      <c r="G351" s="512" t="s">
        <v>45</v>
      </c>
      <c r="H351" s="512">
        <v>1</v>
      </c>
      <c r="I351" s="512" t="s">
        <v>46</v>
      </c>
      <c r="J351" s="512">
        <f t="shared" ref="J351:J354" si="35">ROUND(D351*F351*H351,2)</f>
        <v>23.94</v>
      </c>
    </row>
    <row r="352" spans="1:11" s="140" customFormat="1" ht="20.25" customHeight="1" x14ac:dyDescent="0.2">
      <c r="A352" s="671"/>
      <c r="B352" s="1727"/>
      <c r="C352" s="45" t="s">
        <v>1064</v>
      </c>
      <c r="D352" s="45">
        <v>5.95</v>
      </c>
      <c r="E352" s="512" t="s">
        <v>45</v>
      </c>
      <c r="F352" s="512">
        <v>2</v>
      </c>
      <c r="G352" s="512" t="s">
        <v>45</v>
      </c>
      <c r="H352" s="512">
        <v>1</v>
      </c>
      <c r="I352" s="512" t="s">
        <v>46</v>
      </c>
      <c r="J352" s="512">
        <f t="shared" si="35"/>
        <v>11.9</v>
      </c>
    </row>
    <row r="353" spans="1:11" s="140" customFormat="1" ht="20.25" customHeight="1" x14ac:dyDescent="0.2">
      <c r="A353" s="671"/>
      <c r="B353" s="247" t="s">
        <v>1179</v>
      </c>
      <c r="C353" s="45" t="s">
        <v>1059</v>
      </c>
      <c r="D353" s="45">
        <v>6.82</v>
      </c>
      <c r="E353" s="512" t="s">
        <v>45</v>
      </c>
      <c r="F353" s="512">
        <v>2</v>
      </c>
      <c r="G353" s="512" t="s">
        <v>45</v>
      </c>
      <c r="H353" s="512">
        <v>2</v>
      </c>
      <c r="I353" s="512" t="s">
        <v>46</v>
      </c>
      <c r="J353" s="512">
        <f t="shared" si="35"/>
        <v>27.28</v>
      </c>
    </row>
    <row r="354" spans="1:11" s="140" customFormat="1" ht="20.25" customHeight="1" x14ac:dyDescent="0.2">
      <c r="A354" s="671"/>
      <c r="B354" s="247" t="s">
        <v>1166</v>
      </c>
      <c r="C354" s="45" t="s">
        <v>1060</v>
      </c>
      <c r="D354" s="45">
        <v>4.9800000000000004</v>
      </c>
      <c r="E354" s="512" t="s">
        <v>45</v>
      </c>
      <c r="F354" s="512">
        <v>2</v>
      </c>
      <c r="G354" s="512" t="s">
        <v>45</v>
      </c>
      <c r="H354" s="512">
        <v>1</v>
      </c>
      <c r="I354" s="512" t="s">
        <v>46</v>
      </c>
      <c r="J354" s="512">
        <f t="shared" si="35"/>
        <v>9.9600000000000009</v>
      </c>
    </row>
    <row r="355" spans="1:11" s="21" customFormat="1" ht="12" customHeight="1" x14ac:dyDescent="0.2">
      <c r="A355" s="529"/>
      <c r="B355" s="710"/>
      <c r="C355" s="710"/>
      <c r="D355" s="710"/>
      <c r="E355" s="710"/>
      <c r="F355" s="710"/>
      <c r="G355" s="710"/>
      <c r="H355" s="710"/>
      <c r="I355" s="710"/>
    </row>
    <row r="356" spans="1:11" s="140" customFormat="1" ht="17.25" customHeight="1" x14ac:dyDescent="0.2">
      <c r="A356" s="671"/>
      <c r="B356" s="672"/>
      <c r="C356" s="512" t="s">
        <v>614</v>
      </c>
      <c r="D356" s="521"/>
      <c r="E356" s="512" t="s">
        <v>928</v>
      </c>
      <c r="F356" s="521"/>
      <c r="G356" s="681" t="s">
        <v>967</v>
      </c>
      <c r="H356" s="755"/>
      <c r="I356" s="672"/>
    </row>
    <row r="357" spans="1:11" s="685" customFormat="1" ht="30" customHeight="1" x14ac:dyDescent="0.2">
      <c r="A357" s="682"/>
      <c r="B357" s="686" t="s">
        <v>1023</v>
      </c>
      <c r="C357" s="678">
        <f>ROUND(SUM(J350:J355),2)</f>
        <v>95</v>
      </c>
      <c r="D357" s="678" t="s">
        <v>45</v>
      </c>
      <c r="E357" s="683">
        <v>0.96299999999999997</v>
      </c>
      <c r="F357" s="512" t="s">
        <v>46</v>
      </c>
      <c r="G357" s="681">
        <f>ROUND(C357*E357,2)</f>
        <v>91.49</v>
      </c>
      <c r="H357" s="755"/>
      <c r="I357" s="684"/>
    </row>
    <row r="358" spans="1:11" s="21" customFormat="1" x14ac:dyDescent="0.2"/>
    <row r="359" spans="1:11" s="720" customFormat="1" x14ac:dyDescent="0.2">
      <c r="B359" s="207"/>
      <c r="C359" s="705"/>
      <c r="D359" s="196"/>
      <c r="E359" s="196"/>
      <c r="F359" s="206"/>
      <c r="G359" s="206"/>
      <c r="H359" s="206"/>
      <c r="I359" s="206"/>
    </row>
    <row r="360" spans="1:11" s="720" customFormat="1" ht="30" customHeight="1" x14ac:dyDescent="0.2">
      <c r="B360" s="207" t="str">
        <f>ORÇ!A76</f>
        <v>5.2.6</v>
      </c>
      <c r="C360" s="1741" t="str">
        <f>ORÇ!D76</f>
        <v>ARMAÇÃO DE PILAR OU VIGA DE UMA ESTRUTURA CONVENCIONAL DE CONCRETO ARMADO EM UM EDIFÍCIO DE MÚLTIPLOS PAVIMENTOS UTILIZANDO AÇO CA-50 DE 16,0 MM - MONTAGEM. AF_12/2015</v>
      </c>
      <c r="D360" s="1741"/>
      <c r="E360" s="1741"/>
      <c r="F360" s="1741"/>
      <c r="G360" s="1741"/>
      <c r="H360" s="1741"/>
      <c r="I360" s="1741"/>
    </row>
    <row r="361" spans="1:11" s="720" customFormat="1" x14ac:dyDescent="0.2">
      <c r="B361" s="207"/>
      <c r="C361" s="705"/>
      <c r="D361" s="196"/>
      <c r="E361" s="196"/>
      <c r="F361" s="206"/>
      <c r="G361" s="206"/>
      <c r="H361" s="206"/>
      <c r="I361" s="206"/>
    </row>
    <row r="362" spans="1:11" s="602" customFormat="1" ht="19.5" customHeight="1" x14ac:dyDescent="0.2">
      <c r="A362" s="671"/>
      <c r="B362" s="512" t="s">
        <v>616</v>
      </c>
      <c r="C362" s="512" t="s">
        <v>917</v>
      </c>
      <c r="D362" s="512" t="s">
        <v>753</v>
      </c>
      <c r="E362" s="512"/>
      <c r="F362" s="512" t="s">
        <v>590</v>
      </c>
      <c r="G362" s="512"/>
      <c r="H362" s="512" t="s">
        <v>1022</v>
      </c>
      <c r="I362" s="512"/>
      <c r="J362" s="512" t="s">
        <v>614</v>
      </c>
      <c r="K362" s="522"/>
    </row>
    <row r="363" spans="1:11" s="140" customFormat="1" ht="18" customHeight="1" x14ac:dyDescent="0.2">
      <c r="A363" s="671"/>
      <c r="B363" s="1725" t="s">
        <v>1179</v>
      </c>
      <c r="C363" s="512" t="s">
        <v>1061</v>
      </c>
      <c r="D363" s="512">
        <v>2.5499999999999998</v>
      </c>
      <c r="E363" s="512" t="s">
        <v>45</v>
      </c>
      <c r="F363" s="512">
        <v>1</v>
      </c>
      <c r="G363" s="512" t="s">
        <v>45</v>
      </c>
      <c r="H363" s="512">
        <v>2</v>
      </c>
      <c r="I363" s="512" t="s">
        <v>46</v>
      </c>
      <c r="J363" s="512">
        <f t="shared" ref="J363:J365" si="36">ROUND(D363*F363*H363,2)</f>
        <v>5.0999999999999996</v>
      </c>
    </row>
    <row r="364" spans="1:11" s="140" customFormat="1" ht="18" customHeight="1" x14ac:dyDescent="0.2">
      <c r="A364" s="671"/>
      <c r="B364" s="1726"/>
      <c r="C364" s="512" t="s">
        <v>1062</v>
      </c>
      <c r="D364" s="45">
        <v>2.2999999999999998</v>
      </c>
      <c r="E364" s="512" t="s">
        <v>45</v>
      </c>
      <c r="F364" s="512">
        <v>1</v>
      </c>
      <c r="G364" s="512" t="s">
        <v>45</v>
      </c>
      <c r="H364" s="512">
        <v>2</v>
      </c>
      <c r="I364" s="512" t="s">
        <v>46</v>
      </c>
      <c r="J364" s="512">
        <f t="shared" si="36"/>
        <v>4.5999999999999996</v>
      </c>
    </row>
    <row r="365" spans="1:11" s="140" customFormat="1" ht="18" customHeight="1" x14ac:dyDescent="0.2">
      <c r="A365" s="671"/>
      <c r="B365" s="1727"/>
      <c r="C365" s="512" t="s">
        <v>1063</v>
      </c>
      <c r="D365" s="45">
        <v>9.83</v>
      </c>
      <c r="E365" s="512" t="s">
        <v>45</v>
      </c>
      <c r="F365" s="512">
        <v>2</v>
      </c>
      <c r="G365" s="512" t="s">
        <v>45</v>
      </c>
      <c r="H365" s="512">
        <v>2</v>
      </c>
      <c r="I365" s="512" t="s">
        <v>46</v>
      </c>
      <c r="J365" s="512">
        <f t="shared" si="36"/>
        <v>39.32</v>
      </c>
    </row>
    <row r="366" spans="1:11" s="88" customFormat="1" ht="12" customHeight="1" x14ac:dyDescent="0.2">
      <c r="A366" s="185"/>
      <c r="B366" s="689"/>
      <c r="C366" s="518"/>
      <c r="D366" s="518"/>
      <c r="E366" s="518"/>
      <c r="F366" s="518"/>
      <c r="G366" s="518"/>
      <c r="H366" s="518"/>
      <c r="I366" s="518"/>
    </row>
    <row r="367" spans="1:11" s="140" customFormat="1" ht="17.25" customHeight="1" x14ac:dyDescent="0.2">
      <c r="A367" s="671"/>
      <c r="B367" s="689"/>
      <c r="C367" s="512" t="s">
        <v>614</v>
      </c>
      <c r="D367" s="521"/>
      <c r="E367" s="512" t="s">
        <v>928</v>
      </c>
      <c r="F367" s="521"/>
      <c r="G367" s="681" t="s">
        <v>967</v>
      </c>
      <c r="H367" s="672"/>
      <c r="I367" s="672"/>
    </row>
    <row r="368" spans="1:11" s="685" customFormat="1" ht="30" customHeight="1" x14ac:dyDescent="0.2">
      <c r="A368" s="682"/>
      <c r="B368" s="686" t="s">
        <v>1024</v>
      </c>
      <c r="C368" s="678">
        <f>ROUND(SUM(J363:J366),2)</f>
        <v>49.02</v>
      </c>
      <c r="D368" s="678" t="s">
        <v>45</v>
      </c>
      <c r="E368" s="683">
        <v>1.5780000000000001</v>
      </c>
      <c r="F368" s="512" t="s">
        <v>46</v>
      </c>
      <c r="G368" s="681">
        <f>ROUND(C368*E368,2)</f>
        <v>77.349999999999994</v>
      </c>
      <c r="H368" s="684"/>
      <c r="I368" s="684"/>
    </row>
    <row r="369" spans="1:10" s="21" customFormat="1" x14ac:dyDescent="0.2"/>
    <row r="370" spans="1:10" s="720" customFormat="1" ht="17.25" customHeight="1" x14ac:dyDescent="0.2">
      <c r="B370" s="207" t="str">
        <f>ORÇ!A77</f>
        <v>5.2.7</v>
      </c>
      <c r="C370" s="1740" t="str">
        <f>ORÇ!D77</f>
        <v>CONCRETO FCK = 25MPA, TRAÇO 1:2,3:2,7 (EM MASSA SECA DE CIMENTO/ AREIA MÉDIA/ BRITA 1) - PREPARO MECÂNICO COM BETONEIRA 400 L. AF_05/2021</v>
      </c>
      <c r="D370" s="1740"/>
      <c r="E370" s="1740"/>
      <c r="F370" s="1740"/>
      <c r="G370" s="1740"/>
      <c r="H370" s="1740"/>
      <c r="I370" s="1740"/>
      <c r="J370" s="1740"/>
    </row>
    <row r="371" spans="1:10" s="720" customFormat="1" x14ac:dyDescent="0.2">
      <c r="B371" s="207"/>
      <c r="C371" s="705"/>
      <c r="D371" s="705"/>
      <c r="E371" s="206"/>
      <c r="F371" s="206"/>
      <c r="G371" s="206"/>
      <c r="H371" s="206"/>
      <c r="I371" s="206"/>
    </row>
    <row r="372" spans="1:10" s="602" customFormat="1" ht="38.25" customHeight="1" x14ac:dyDescent="0.2">
      <c r="A372" s="671"/>
      <c r="B372" s="512" t="s">
        <v>616</v>
      </c>
      <c r="C372" s="512" t="s">
        <v>753</v>
      </c>
      <c r="D372" s="512"/>
      <c r="E372" s="512" t="s">
        <v>1196</v>
      </c>
      <c r="F372" s="512"/>
      <c r="G372" s="512" t="s">
        <v>469</v>
      </c>
      <c r="H372" s="512"/>
      <c r="I372" s="512" t="s">
        <v>312</v>
      </c>
    </row>
    <row r="373" spans="1:10" s="602" customFormat="1" ht="17.25" customHeight="1" x14ac:dyDescent="0.2">
      <c r="A373" s="671"/>
      <c r="B373" s="247" t="s">
        <v>1141</v>
      </c>
      <c r="C373" s="512">
        <v>15.55</v>
      </c>
      <c r="D373" s="512" t="s">
        <v>45</v>
      </c>
      <c r="E373" s="512">
        <f>(0.3*0.15)</f>
        <v>4.4999999999999998E-2</v>
      </c>
      <c r="F373" s="512" t="s">
        <v>45</v>
      </c>
      <c r="G373" s="512">
        <v>2</v>
      </c>
      <c r="H373" s="512" t="s">
        <v>46</v>
      </c>
      <c r="I373" s="512">
        <f>ROUND(C373*E373*G373,2)</f>
        <v>1.4</v>
      </c>
    </row>
    <row r="374" spans="1:10" s="140" customFormat="1" ht="17.25" customHeight="1" x14ac:dyDescent="0.2">
      <c r="A374" s="671"/>
      <c r="B374" s="247" t="s">
        <v>1142</v>
      </c>
      <c r="C374" s="678">
        <v>2.7</v>
      </c>
      <c r="D374" s="512" t="s">
        <v>45</v>
      </c>
      <c r="E374" s="512">
        <f t="shared" ref="E374:E399" si="37">(0.3*0.15)</f>
        <v>4.4999999999999998E-2</v>
      </c>
      <c r="F374" s="512" t="s">
        <v>45</v>
      </c>
      <c r="G374" s="512">
        <v>1</v>
      </c>
      <c r="H374" s="512" t="s">
        <v>46</v>
      </c>
      <c r="I374" s="512">
        <f t="shared" ref="I374:I399" si="38">ROUND(C374*E374*G374,2)</f>
        <v>0.12</v>
      </c>
    </row>
    <row r="375" spans="1:10" s="140" customFormat="1" ht="17.25" customHeight="1" x14ac:dyDescent="0.2">
      <c r="A375" s="671"/>
      <c r="B375" s="247" t="s">
        <v>1143</v>
      </c>
      <c r="C375" s="678">
        <v>5.2</v>
      </c>
      <c r="D375" s="512" t="s">
        <v>45</v>
      </c>
      <c r="E375" s="512">
        <f t="shared" si="37"/>
        <v>4.4999999999999998E-2</v>
      </c>
      <c r="F375" s="512" t="s">
        <v>45</v>
      </c>
      <c r="G375" s="512">
        <v>1</v>
      </c>
      <c r="H375" s="512" t="s">
        <v>46</v>
      </c>
      <c r="I375" s="512">
        <f t="shared" si="38"/>
        <v>0.23</v>
      </c>
    </row>
    <row r="376" spans="1:10" s="140" customFormat="1" ht="17.25" customHeight="1" x14ac:dyDescent="0.2">
      <c r="A376" s="671"/>
      <c r="B376" s="247" t="s">
        <v>1144</v>
      </c>
      <c r="C376" s="678">
        <v>4.3499999999999996</v>
      </c>
      <c r="D376" s="512" t="s">
        <v>45</v>
      </c>
      <c r="E376" s="512">
        <f t="shared" si="37"/>
        <v>4.4999999999999998E-2</v>
      </c>
      <c r="F376" s="512" t="s">
        <v>45</v>
      </c>
      <c r="G376" s="512">
        <v>2</v>
      </c>
      <c r="H376" s="512" t="s">
        <v>46</v>
      </c>
      <c r="I376" s="512">
        <f t="shared" si="38"/>
        <v>0.39</v>
      </c>
    </row>
    <row r="377" spans="1:10" s="140" customFormat="1" ht="17.25" customHeight="1" x14ac:dyDescent="0.2">
      <c r="A377" s="671"/>
      <c r="B377" s="247" t="s">
        <v>1145</v>
      </c>
      <c r="C377" s="678">
        <v>5</v>
      </c>
      <c r="D377" s="512" t="s">
        <v>45</v>
      </c>
      <c r="E377" s="512">
        <f t="shared" si="37"/>
        <v>4.4999999999999998E-2</v>
      </c>
      <c r="F377" s="512" t="s">
        <v>45</v>
      </c>
      <c r="G377" s="512">
        <v>1</v>
      </c>
      <c r="H377" s="512" t="s">
        <v>46</v>
      </c>
      <c r="I377" s="512">
        <f t="shared" si="38"/>
        <v>0.23</v>
      </c>
    </row>
    <row r="378" spans="1:10" s="140" customFormat="1" ht="17.25" customHeight="1" x14ac:dyDescent="0.2">
      <c r="A378" s="671"/>
      <c r="B378" s="247" t="s">
        <v>1146</v>
      </c>
      <c r="C378" s="678">
        <v>5.3</v>
      </c>
      <c r="D378" s="512" t="s">
        <v>45</v>
      </c>
      <c r="E378" s="512">
        <f t="shared" si="37"/>
        <v>4.4999999999999998E-2</v>
      </c>
      <c r="F378" s="512" t="s">
        <v>45</v>
      </c>
      <c r="G378" s="512">
        <v>1</v>
      </c>
      <c r="H378" s="512" t="s">
        <v>46</v>
      </c>
      <c r="I378" s="512">
        <f t="shared" si="38"/>
        <v>0.24</v>
      </c>
    </row>
    <row r="379" spans="1:10" s="140" customFormat="1" ht="17.25" customHeight="1" x14ac:dyDescent="0.2">
      <c r="A379" s="671"/>
      <c r="B379" s="247" t="s">
        <v>1147</v>
      </c>
      <c r="C379" s="678">
        <v>5.3</v>
      </c>
      <c r="D379" s="512" t="s">
        <v>45</v>
      </c>
      <c r="E379" s="512">
        <f t="shared" si="37"/>
        <v>4.4999999999999998E-2</v>
      </c>
      <c r="F379" s="512" t="s">
        <v>45</v>
      </c>
      <c r="G379" s="512">
        <v>1</v>
      </c>
      <c r="H379" s="512" t="s">
        <v>46</v>
      </c>
      <c r="I379" s="512">
        <f t="shared" si="38"/>
        <v>0.24</v>
      </c>
    </row>
    <row r="380" spans="1:10" s="140" customFormat="1" ht="20.25" customHeight="1" x14ac:dyDescent="0.2">
      <c r="A380" s="671"/>
      <c r="B380" s="247" t="s">
        <v>1148</v>
      </c>
      <c r="C380" s="678">
        <v>5.3</v>
      </c>
      <c r="D380" s="512" t="s">
        <v>45</v>
      </c>
      <c r="E380" s="512">
        <f t="shared" si="37"/>
        <v>4.4999999999999998E-2</v>
      </c>
      <c r="F380" s="512" t="s">
        <v>45</v>
      </c>
      <c r="G380" s="512">
        <v>2</v>
      </c>
      <c r="H380" s="512" t="s">
        <v>46</v>
      </c>
      <c r="I380" s="512">
        <f t="shared" si="38"/>
        <v>0.48</v>
      </c>
    </row>
    <row r="381" spans="1:10" s="140" customFormat="1" ht="17.25" customHeight="1" x14ac:dyDescent="0.2">
      <c r="A381" s="671"/>
      <c r="B381" s="247" t="s">
        <v>1149</v>
      </c>
      <c r="C381" s="678">
        <f>4.3+3.95</f>
        <v>8.25</v>
      </c>
      <c r="D381" s="512" t="s">
        <v>45</v>
      </c>
      <c r="E381" s="512">
        <f t="shared" si="37"/>
        <v>4.4999999999999998E-2</v>
      </c>
      <c r="F381" s="512" t="s">
        <v>45</v>
      </c>
      <c r="G381" s="512">
        <v>1</v>
      </c>
      <c r="H381" s="512" t="s">
        <v>46</v>
      </c>
      <c r="I381" s="512">
        <f t="shared" si="38"/>
        <v>0.37</v>
      </c>
    </row>
    <row r="382" spans="1:10" s="140" customFormat="1" ht="17.25" customHeight="1" x14ac:dyDescent="0.2">
      <c r="A382" s="671"/>
      <c r="B382" s="247" t="s">
        <v>1150</v>
      </c>
      <c r="C382" s="678">
        <v>5.3</v>
      </c>
      <c r="D382" s="512" t="s">
        <v>45</v>
      </c>
      <c r="E382" s="512">
        <f t="shared" si="37"/>
        <v>4.4999999999999998E-2</v>
      </c>
      <c r="F382" s="512" t="s">
        <v>45</v>
      </c>
      <c r="G382" s="512">
        <v>1</v>
      </c>
      <c r="H382" s="512" t="s">
        <v>46</v>
      </c>
      <c r="I382" s="512">
        <f t="shared" si="38"/>
        <v>0.24</v>
      </c>
    </row>
    <row r="383" spans="1:10" s="140" customFormat="1" ht="17.25" customHeight="1" x14ac:dyDescent="0.2">
      <c r="A383" s="671"/>
      <c r="B383" s="247" t="s">
        <v>1151</v>
      </c>
      <c r="C383" s="678">
        <v>5</v>
      </c>
      <c r="D383" s="512" t="s">
        <v>45</v>
      </c>
      <c r="E383" s="512">
        <f t="shared" si="37"/>
        <v>4.4999999999999998E-2</v>
      </c>
      <c r="F383" s="512" t="s">
        <v>45</v>
      </c>
      <c r="G383" s="512">
        <v>1</v>
      </c>
      <c r="H383" s="512" t="s">
        <v>46</v>
      </c>
      <c r="I383" s="512">
        <f t="shared" si="38"/>
        <v>0.23</v>
      </c>
    </row>
    <row r="384" spans="1:10" s="140" customFormat="1" ht="17.25" customHeight="1" x14ac:dyDescent="0.2">
      <c r="A384" s="671"/>
      <c r="B384" s="247" t="s">
        <v>1152</v>
      </c>
      <c r="C384" s="678">
        <v>5.3</v>
      </c>
      <c r="D384" s="512" t="s">
        <v>45</v>
      </c>
      <c r="E384" s="512">
        <f t="shared" si="37"/>
        <v>4.4999999999999998E-2</v>
      </c>
      <c r="F384" s="512" t="s">
        <v>45</v>
      </c>
      <c r="G384" s="512">
        <v>1</v>
      </c>
      <c r="H384" s="512" t="s">
        <v>46</v>
      </c>
      <c r="I384" s="512">
        <f t="shared" si="38"/>
        <v>0.24</v>
      </c>
    </row>
    <row r="385" spans="1:9" s="140" customFormat="1" ht="17.25" customHeight="1" x14ac:dyDescent="0.2">
      <c r="A385" s="671"/>
      <c r="B385" s="247" t="s">
        <v>1153</v>
      </c>
      <c r="C385" s="678">
        <f>4.9+2.45+4.2+4</f>
        <v>15.55</v>
      </c>
      <c r="D385" s="512" t="s">
        <v>45</v>
      </c>
      <c r="E385" s="512">
        <f t="shared" si="37"/>
        <v>4.4999999999999998E-2</v>
      </c>
      <c r="F385" s="512" t="s">
        <v>45</v>
      </c>
      <c r="G385" s="512">
        <v>1</v>
      </c>
      <c r="H385" s="512" t="s">
        <v>46</v>
      </c>
      <c r="I385" s="512">
        <f t="shared" si="38"/>
        <v>0.7</v>
      </c>
    </row>
    <row r="386" spans="1:9" s="140" customFormat="1" ht="17.25" customHeight="1" x14ac:dyDescent="0.2">
      <c r="A386" s="671"/>
      <c r="B386" s="247" t="s">
        <v>1154</v>
      </c>
      <c r="C386" s="678">
        <f>3.55+4.15</f>
        <v>7.7</v>
      </c>
      <c r="D386" s="512" t="s">
        <v>45</v>
      </c>
      <c r="E386" s="512">
        <f t="shared" si="37"/>
        <v>4.4999999999999998E-2</v>
      </c>
      <c r="F386" s="512" t="s">
        <v>45</v>
      </c>
      <c r="G386" s="512">
        <v>1</v>
      </c>
      <c r="H386" s="512" t="s">
        <v>46</v>
      </c>
      <c r="I386" s="512">
        <f t="shared" si="38"/>
        <v>0.35</v>
      </c>
    </row>
    <row r="387" spans="1:9" s="140" customFormat="1" ht="17.25" customHeight="1" x14ac:dyDescent="0.2">
      <c r="A387" s="671"/>
      <c r="B387" s="247" t="s">
        <v>1155</v>
      </c>
      <c r="C387" s="678">
        <v>4</v>
      </c>
      <c r="D387" s="512" t="s">
        <v>45</v>
      </c>
      <c r="E387" s="512">
        <f t="shared" si="37"/>
        <v>4.4999999999999998E-2</v>
      </c>
      <c r="F387" s="512" t="s">
        <v>45</v>
      </c>
      <c r="G387" s="512">
        <v>1</v>
      </c>
      <c r="H387" s="512" t="s">
        <v>46</v>
      </c>
      <c r="I387" s="512">
        <f t="shared" si="38"/>
        <v>0.18</v>
      </c>
    </row>
    <row r="388" spans="1:9" s="140" customFormat="1" ht="17.25" customHeight="1" x14ac:dyDescent="0.2">
      <c r="A388" s="671"/>
      <c r="B388" s="247" t="s">
        <v>1156</v>
      </c>
      <c r="C388" s="678">
        <v>2.1</v>
      </c>
      <c r="D388" s="512" t="s">
        <v>45</v>
      </c>
      <c r="E388" s="512">
        <f t="shared" si="37"/>
        <v>4.4999999999999998E-2</v>
      </c>
      <c r="F388" s="512" t="s">
        <v>45</v>
      </c>
      <c r="G388" s="512">
        <v>1</v>
      </c>
      <c r="H388" s="512" t="s">
        <v>46</v>
      </c>
      <c r="I388" s="512">
        <f t="shared" si="38"/>
        <v>0.09</v>
      </c>
    </row>
    <row r="389" spans="1:9" s="140" customFormat="1" ht="17.25" customHeight="1" x14ac:dyDescent="0.2">
      <c r="A389" s="671"/>
      <c r="B389" s="247" t="s">
        <v>1157</v>
      </c>
      <c r="C389" s="678">
        <v>2.09</v>
      </c>
      <c r="D389" s="512" t="s">
        <v>45</v>
      </c>
      <c r="E389" s="512">
        <f t="shared" si="37"/>
        <v>4.4999999999999998E-2</v>
      </c>
      <c r="F389" s="512" t="s">
        <v>45</v>
      </c>
      <c r="G389" s="512">
        <v>1</v>
      </c>
      <c r="H389" s="512" t="s">
        <v>46</v>
      </c>
      <c r="I389" s="512">
        <f t="shared" si="38"/>
        <v>0.09</v>
      </c>
    </row>
    <row r="390" spans="1:9" s="140" customFormat="1" ht="17.25" customHeight="1" x14ac:dyDescent="0.2">
      <c r="A390" s="671"/>
      <c r="B390" s="247" t="s">
        <v>1158</v>
      </c>
      <c r="C390" s="678">
        <v>1.95</v>
      </c>
      <c r="D390" s="512" t="s">
        <v>45</v>
      </c>
      <c r="E390" s="512">
        <f t="shared" si="37"/>
        <v>4.4999999999999998E-2</v>
      </c>
      <c r="F390" s="512" t="s">
        <v>45</v>
      </c>
      <c r="G390" s="512">
        <v>1</v>
      </c>
      <c r="H390" s="512" t="s">
        <v>46</v>
      </c>
      <c r="I390" s="512">
        <f t="shared" si="38"/>
        <v>0.09</v>
      </c>
    </row>
    <row r="391" spans="1:9" s="140" customFormat="1" ht="17.25" customHeight="1" x14ac:dyDescent="0.2">
      <c r="A391" s="671"/>
      <c r="B391" s="247" t="s">
        <v>1159</v>
      </c>
      <c r="C391" s="678">
        <f>4.3+5.05+2.8+2.95</f>
        <v>15.099999999999998</v>
      </c>
      <c r="D391" s="512" t="s">
        <v>45</v>
      </c>
      <c r="E391" s="512">
        <f t="shared" si="37"/>
        <v>4.4999999999999998E-2</v>
      </c>
      <c r="F391" s="512" t="s">
        <v>45</v>
      </c>
      <c r="G391" s="512">
        <v>1</v>
      </c>
      <c r="H391" s="512" t="s">
        <v>46</v>
      </c>
      <c r="I391" s="512">
        <f t="shared" si="38"/>
        <v>0.68</v>
      </c>
    </row>
    <row r="392" spans="1:9" s="140" customFormat="1" ht="17.25" customHeight="1" x14ac:dyDescent="0.2">
      <c r="A392" s="671"/>
      <c r="B392" s="247" t="s">
        <v>1160</v>
      </c>
      <c r="C392" s="678">
        <v>3.15</v>
      </c>
      <c r="D392" s="512" t="s">
        <v>45</v>
      </c>
      <c r="E392" s="512">
        <f t="shared" si="37"/>
        <v>4.4999999999999998E-2</v>
      </c>
      <c r="F392" s="512" t="s">
        <v>45</v>
      </c>
      <c r="G392" s="512">
        <v>1</v>
      </c>
      <c r="H392" s="512" t="s">
        <v>46</v>
      </c>
      <c r="I392" s="512">
        <f t="shared" si="38"/>
        <v>0.14000000000000001</v>
      </c>
    </row>
    <row r="393" spans="1:9" s="140" customFormat="1" ht="17.25" customHeight="1" x14ac:dyDescent="0.2">
      <c r="A393" s="671"/>
      <c r="B393" s="247" t="s">
        <v>1161</v>
      </c>
      <c r="C393" s="678">
        <v>3.05</v>
      </c>
      <c r="D393" s="512" t="s">
        <v>45</v>
      </c>
      <c r="E393" s="512">
        <f t="shared" si="37"/>
        <v>4.4999999999999998E-2</v>
      </c>
      <c r="F393" s="512" t="s">
        <v>45</v>
      </c>
      <c r="G393" s="512">
        <v>1</v>
      </c>
      <c r="H393" s="512" t="s">
        <v>46</v>
      </c>
      <c r="I393" s="512">
        <f t="shared" si="38"/>
        <v>0.14000000000000001</v>
      </c>
    </row>
    <row r="394" spans="1:9" s="140" customFormat="1" ht="17.25" customHeight="1" x14ac:dyDescent="0.2">
      <c r="A394" s="671"/>
      <c r="B394" s="247" t="s">
        <v>1162</v>
      </c>
      <c r="C394" s="678">
        <v>5.45</v>
      </c>
      <c r="D394" s="512" t="s">
        <v>45</v>
      </c>
      <c r="E394" s="512">
        <f t="shared" si="37"/>
        <v>4.4999999999999998E-2</v>
      </c>
      <c r="F394" s="512" t="s">
        <v>45</v>
      </c>
      <c r="G394" s="512">
        <v>1</v>
      </c>
      <c r="H394" s="512" t="s">
        <v>46</v>
      </c>
      <c r="I394" s="512">
        <f t="shared" si="38"/>
        <v>0.25</v>
      </c>
    </row>
    <row r="395" spans="1:9" s="140" customFormat="1" ht="17.25" customHeight="1" x14ac:dyDescent="0.2">
      <c r="A395" s="671"/>
      <c r="B395" s="247" t="s">
        <v>1163</v>
      </c>
      <c r="C395" s="678">
        <v>8.1999999999999993</v>
      </c>
      <c r="D395" s="512" t="s">
        <v>45</v>
      </c>
      <c r="E395" s="512">
        <f t="shared" si="37"/>
        <v>4.4999999999999998E-2</v>
      </c>
      <c r="F395" s="512" t="s">
        <v>45</v>
      </c>
      <c r="G395" s="512">
        <v>1</v>
      </c>
      <c r="H395" s="512" t="s">
        <v>46</v>
      </c>
      <c r="I395" s="512">
        <f t="shared" si="38"/>
        <v>0.37</v>
      </c>
    </row>
    <row r="396" spans="1:9" s="140" customFormat="1" ht="18" customHeight="1" x14ac:dyDescent="0.2">
      <c r="A396" s="671"/>
      <c r="B396" s="247" t="s">
        <v>1164</v>
      </c>
      <c r="C396" s="678">
        <f>4.25+5.05+2.85+2.9+5.2+2.85</f>
        <v>23.1</v>
      </c>
      <c r="D396" s="512" t="s">
        <v>45</v>
      </c>
      <c r="E396" s="512">
        <f t="shared" si="37"/>
        <v>4.4999999999999998E-2</v>
      </c>
      <c r="F396" s="512" t="s">
        <v>45</v>
      </c>
      <c r="G396" s="512">
        <v>3</v>
      </c>
      <c r="H396" s="512" t="s">
        <v>46</v>
      </c>
      <c r="I396" s="512">
        <f t="shared" si="38"/>
        <v>3.12</v>
      </c>
    </row>
    <row r="397" spans="1:9" s="140" customFormat="1" ht="17.25" customHeight="1" x14ac:dyDescent="0.2">
      <c r="A397" s="671"/>
      <c r="B397" s="247" t="s">
        <v>1165</v>
      </c>
      <c r="C397" s="678">
        <v>3.45</v>
      </c>
      <c r="D397" s="512" t="s">
        <v>45</v>
      </c>
      <c r="E397" s="512">
        <f t="shared" si="37"/>
        <v>4.4999999999999998E-2</v>
      </c>
      <c r="F397" s="512" t="s">
        <v>45</v>
      </c>
      <c r="G397" s="512">
        <v>1</v>
      </c>
      <c r="H397" s="512" t="s">
        <v>46</v>
      </c>
      <c r="I397" s="512">
        <f t="shared" si="38"/>
        <v>0.16</v>
      </c>
    </row>
    <row r="398" spans="1:9" s="140" customFormat="1" ht="17.25" customHeight="1" x14ac:dyDescent="0.2">
      <c r="A398" s="671"/>
      <c r="B398" s="247" t="s">
        <v>1166</v>
      </c>
      <c r="C398" s="678">
        <v>4.2</v>
      </c>
      <c r="D398" s="512" t="s">
        <v>45</v>
      </c>
      <c r="E398" s="512">
        <f t="shared" si="37"/>
        <v>4.4999999999999998E-2</v>
      </c>
      <c r="F398" s="512" t="s">
        <v>45</v>
      </c>
      <c r="G398" s="512">
        <v>1</v>
      </c>
      <c r="H398" s="512" t="s">
        <v>46</v>
      </c>
      <c r="I398" s="512">
        <f t="shared" si="38"/>
        <v>0.19</v>
      </c>
    </row>
    <row r="399" spans="1:9" s="140" customFormat="1" ht="17.25" customHeight="1" x14ac:dyDescent="0.2">
      <c r="A399" s="671"/>
      <c r="B399" s="247" t="s">
        <v>1167</v>
      </c>
      <c r="C399" s="678">
        <v>2.8</v>
      </c>
      <c r="D399" s="512" t="s">
        <v>45</v>
      </c>
      <c r="E399" s="512">
        <f t="shared" si="37"/>
        <v>4.4999999999999998E-2</v>
      </c>
      <c r="F399" s="512" t="s">
        <v>45</v>
      </c>
      <c r="G399" s="512">
        <v>1</v>
      </c>
      <c r="H399" s="512" t="s">
        <v>46</v>
      </c>
      <c r="I399" s="512">
        <f t="shared" si="38"/>
        <v>0.13</v>
      </c>
    </row>
    <row r="400" spans="1:9" s="21" customFormat="1" ht="12" customHeight="1" x14ac:dyDescent="0.2">
      <c r="A400" s="529"/>
      <c r="B400" s="710"/>
      <c r="C400" s="710"/>
      <c r="D400" s="710"/>
      <c r="E400" s="710"/>
      <c r="F400" s="710"/>
      <c r="G400" s="710"/>
      <c r="H400" s="710"/>
      <c r="I400" s="710"/>
    </row>
    <row r="401" spans="1:12" s="140" customFormat="1" ht="15.75" customHeight="1" x14ac:dyDescent="0.2">
      <c r="A401" s="671"/>
      <c r="B401" s="659" t="s">
        <v>47</v>
      </c>
      <c r="C401" s="661">
        <f>ROUND(SUM(I373:I400),2)</f>
        <v>11.09</v>
      </c>
      <c r="D401" s="660" t="s">
        <v>497</v>
      </c>
      <c r="E401" s="672"/>
      <c r="F401" s="672"/>
      <c r="G401" s="672"/>
      <c r="H401" s="672"/>
      <c r="I401" s="672"/>
    </row>
    <row r="402" spans="1:12" s="720" customFormat="1" x14ac:dyDescent="0.2">
      <c r="B402" s="207"/>
      <c r="C402" s="705"/>
      <c r="D402" s="705"/>
      <c r="E402" s="206"/>
      <c r="F402" s="206"/>
      <c r="G402" s="206"/>
      <c r="H402" s="206"/>
      <c r="I402" s="206"/>
    </row>
    <row r="403" spans="1:12" s="720" customFormat="1" ht="18.75" customHeight="1" x14ac:dyDescent="0.2">
      <c r="B403" s="207" t="str">
        <f>ORÇ!A78</f>
        <v>5.2.8</v>
      </c>
      <c r="C403" s="1740" t="str">
        <f>ORÇ!D78</f>
        <v>LANÇAMENTO COM USO DE BALDES, ADENSAMENTO E ACABAMENTO DE CONCRETO EM ESTRUTURAS. AF_02/2022</v>
      </c>
      <c r="D403" s="1740"/>
      <c r="E403" s="1740"/>
      <c r="F403" s="1740"/>
      <c r="G403" s="1740"/>
      <c r="H403" s="1740"/>
      <c r="I403" s="1740"/>
      <c r="K403" s="758"/>
      <c r="L403" s="758"/>
    </row>
    <row r="404" spans="1:12" s="720" customFormat="1" x14ac:dyDescent="0.2">
      <c r="B404" s="207"/>
      <c r="C404" s="705"/>
      <c r="D404" s="705"/>
      <c r="E404" s="206"/>
      <c r="F404" s="206"/>
      <c r="G404" s="206"/>
      <c r="H404" s="206"/>
      <c r="I404" s="206"/>
    </row>
    <row r="405" spans="1:12" s="21" customFormat="1" ht="14.25" customHeight="1" x14ac:dyDescent="0.2">
      <c r="A405" s="529"/>
      <c r="B405" s="1731" t="s">
        <v>1197</v>
      </c>
      <c r="C405" s="1731"/>
      <c r="D405" s="1731"/>
      <c r="E405" s="1731"/>
      <c r="F405" s="710"/>
      <c r="G405" s="710"/>
      <c r="H405" s="710"/>
      <c r="I405" s="710"/>
    </row>
    <row r="406" spans="1:12" s="140" customFormat="1" ht="15.75" customHeight="1" x14ac:dyDescent="0.2">
      <c r="A406" s="671"/>
      <c r="B406" s="659" t="s">
        <v>47</v>
      </c>
      <c r="C406" s="661">
        <f>C401</f>
        <v>11.09</v>
      </c>
      <c r="D406" s="660" t="s">
        <v>497</v>
      </c>
      <c r="E406" s="672"/>
      <c r="F406" s="672"/>
      <c r="G406" s="672"/>
      <c r="H406" s="672"/>
      <c r="I406" s="672"/>
    </row>
    <row r="407" spans="1:12" s="720" customFormat="1" x14ac:dyDescent="0.2">
      <c r="B407" s="206"/>
      <c r="C407" s="206"/>
      <c r="D407" s="206"/>
      <c r="E407" s="206"/>
      <c r="F407" s="206"/>
      <c r="G407" s="206"/>
      <c r="H407" s="206"/>
      <c r="I407" s="206"/>
    </row>
    <row r="408" spans="1:12" s="720" customFormat="1" x14ac:dyDescent="0.2">
      <c r="B408" s="207" t="str">
        <f>ORÇ!A79</f>
        <v>5.3</v>
      </c>
      <c r="C408" s="206" t="str">
        <f>ORÇ!D79</f>
        <v>Vergas e Contravergas</v>
      </c>
      <c r="D408" s="206"/>
      <c r="E408" s="206"/>
      <c r="F408" s="206"/>
      <c r="G408" s="206"/>
      <c r="H408" s="206"/>
      <c r="I408" s="206"/>
    </row>
    <row r="409" spans="1:12" s="720" customFormat="1" ht="19.5" customHeight="1" x14ac:dyDescent="0.2">
      <c r="B409" s="207" t="str">
        <f>ORÇ!A80</f>
        <v>5.3.1</v>
      </c>
      <c r="C409" s="1740" t="str">
        <f>ORÇ!D80</f>
        <v>VERGA MOLDADA IN LOCO EM CONCRETO PARA JANELAS COM ATÉ 1,5 M DE VÃO. AF_03/2016</v>
      </c>
      <c r="D409" s="1740"/>
      <c r="E409" s="1740"/>
      <c r="F409" s="1740"/>
      <c r="G409" s="1740"/>
      <c r="H409" s="1740"/>
      <c r="I409" s="206"/>
    </row>
    <row r="410" spans="1:12" s="720" customFormat="1" x14ac:dyDescent="0.2">
      <c r="B410" s="206"/>
      <c r="C410" s="206"/>
      <c r="D410" s="206"/>
      <c r="E410" s="206"/>
      <c r="F410" s="206"/>
      <c r="G410" s="206"/>
      <c r="H410" s="206"/>
      <c r="I410" s="206"/>
    </row>
    <row r="411" spans="1:12" s="21" customFormat="1" ht="17.25" customHeight="1" x14ac:dyDescent="0.2">
      <c r="A411" s="99"/>
      <c r="B411" s="751" t="s">
        <v>616</v>
      </c>
      <c r="C411" s="751" t="s">
        <v>405</v>
      </c>
      <c r="D411" s="751"/>
      <c r="E411" s="751" t="s">
        <v>1205</v>
      </c>
      <c r="F411" s="751"/>
      <c r="G411" s="751" t="s">
        <v>590</v>
      </c>
      <c r="H411" s="751"/>
      <c r="I411" s="751" t="s">
        <v>614</v>
      </c>
      <c r="J411" s="477"/>
      <c r="K411" s="475"/>
    </row>
    <row r="412" spans="1:12" s="140" customFormat="1" ht="15" customHeight="1" x14ac:dyDescent="0.2">
      <c r="A412" s="421"/>
      <c r="B412" s="1090" t="str">
        <f>'9.ESQ.'!B152</f>
        <v>VISOR</v>
      </c>
      <c r="C412" s="751">
        <f>'9.ESQ.'!C152</f>
        <v>1</v>
      </c>
      <c r="D412" s="751" t="s">
        <v>615</v>
      </c>
      <c r="E412" s="751">
        <v>0.4</v>
      </c>
      <c r="F412" s="751" t="s">
        <v>45</v>
      </c>
      <c r="G412" s="751">
        <v>1</v>
      </c>
      <c r="H412" s="751" t="s">
        <v>46</v>
      </c>
      <c r="I412" s="751">
        <f>ROUND((C412+E412)*G412,2)</f>
        <v>1.4</v>
      </c>
      <c r="J412" s="477"/>
      <c r="K412" s="1115"/>
    </row>
    <row r="413" spans="1:12" s="21" customFormat="1" x14ac:dyDescent="0.2">
      <c r="A413" s="99"/>
      <c r="B413" s="476"/>
      <c r="C413" s="476"/>
      <c r="D413" s="476"/>
      <c r="E413" s="476"/>
      <c r="F413" s="476"/>
      <c r="G413" s="476"/>
      <c r="H413" s="476"/>
      <c r="I413" s="476"/>
      <c r="J413" s="476"/>
      <c r="K413" s="475"/>
    </row>
    <row r="414" spans="1:12" s="21" customFormat="1" ht="17.25" customHeight="1" x14ac:dyDescent="0.2">
      <c r="A414" s="205"/>
      <c r="B414" s="383" t="s">
        <v>47</v>
      </c>
      <c r="C414" s="384">
        <f>ROUND(SUM(I412:I413),2)</f>
        <v>1.4</v>
      </c>
      <c r="D414" s="235" t="s">
        <v>12</v>
      </c>
      <c r="E414" s="205"/>
      <c r="F414" s="436"/>
      <c r="G414" s="436"/>
    </row>
    <row r="415" spans="1:12" s="1113" customFormat="1" ht="19.5" customHeight="1" x14ac:dyDescent="0.2">
      <c r="B415" s="1114"/>
      <c r="C415" s="1114"/>
      <c r="D415" s="1114"/>
      <c r="E415" s="1114"/>
      <c r="F415" s="1114"/>
      <c r="G415" s="1114"/>
      <c r="H415" s="1114"/>
      <c r="I415" s="1114"/>
    </row>
    <row r="416" spans="1:12" s="720" customFormat="1" ht="19.5" customHeight="1" x14ac:dyDescent="0.2">
      <c r="B416" s="207" t="str">
        <f>ORÇ!A81</f>
        <v>5.3.2</v>
      </c>
      <c r="C416" s="1740" t="str">
        <f>ORÇ!D81</f>
        <v>CONTRAVERGA MOLDADA IN LOCO EM CONCRETO PARA VÃOS DE ATÉ 1,5 M DE COMPRIMENTO. AF_03/2016</v>
      </c>
      <c r="D416" s="1740"/>
      <c r="E416" s="1740"/>
      <c r="F416" s="1740"/>
      <c r="G416" s="1740"/>
      <c r="H416" s="1740"/>
      <c r="I416" s="206"/>
    </row>
    <row r="417" spans="1:11" s="720" customFormat="1" x14ac:dyDescent="0.2">
      <c r="B417" s="206"/>
      <c r="C417" s="206"/>
      <c r="D417" s="206"/>
      <c r="E417" s="206"/>
      <c r="F417" s="206"/>
      <c r="G417" s="206"/>
      <c r="H417" s="206"/>
      <c r="I417" s="206"/>
    </row>
    <row r="418" spans="1:11" s="21" customFormat="1" ht="17.25" customHeight="1" x14ac:dyDescent="0.2">
      <c r="A418" s="99"/>
      <c r="B418" s="706" t="s">
        <v>616</v>
      </c>
      <c r="C418" s="706" t="s">
        <v>405</v>
      </c>
      <c r="D418" s="706"/>
      <c r="E418" s="706" t="s">
        <v>1205</v>
      </c>
      <c r="F418" s="706"/>
      <c r="G418" s="706" t="s">
        <v>590</v>
      </c>
      <c r="H418" s="706"/>
      <c r="I418" s="706" t="s">
        <v>614</v>
      </c>
      <c r="J418" s="477"/>
      <c r="K418" s="475"/>
    </row>
    <row r="419" spans="1:11" s="21" customFormat="1" x14ac:dyDescent="0.2">
      <c r="A419" s="99"/>
      <c r="B419" s="478" t="str">
        <f>'9.ESQ.'!B145</f>
        <v>B01</v>
      </c>
      <c r="C419" s="479">
        <f>'9.ESQ.'!C145</f>
        <v>1</v>
      </c>
      <c r="D419" s="479" t="s">
        <v>615</v>
      </c>
      <c r="E419" s="479">
        <v>0.4</v>
      </c>
      <c r="F419" s="479" t="s">
        <v>45</v>
      </c>
      <c r="G419" s="479">
        <f>'9.ESQ.'!G145</f>
        <v>9</v>
      </c>
      <c r="H419" s="479" t="s">
        <v>46</v>
      </c>
      <c r="I419" s="479">
        <f>ROUND((C419+E419)*G419,2)</f>
        <v>12.6</v>
      </c>
      <c r="J419" s="476"/>
      <c r="K419" s="475"/>
    </row>
    <row r="420" spans="1:11" s="21" customFormat="1" x14ac:dyDescent="0.2">
      <c r="A420" s="99"/>
      <c r="B420" s="478" t="str">
        <f>'9.ESQ.'!B146</f>
        <v>B02</v>
      </c>
      <c r="C420" s="479">
        <f>'9.ESQ.'!C146</f>
        <v>1.5</v>
      </c>
      <c r="D420" s="479" t="s">
        <v>615</v>
      </c>
      <c r="E420" s="479">
        <v>0.4</v>
      </c>
      <c r="F420" s="479" t="s">
        <v>45</v>
      </c>
      <c r="G420" s="479">
        <f>'9.ESQ.'!G146</f>
        <v>3</v>
      </c>
      <c r="H420" s="479" t="s">
        <v>46</v>
      </c>
      <c r="I420" s="479">
        <f t="shared" ref="I420:I422" si="39">ROUND((C420+E420)*G420,2)</f>
        <v>5.7</v>
      </c>
      <c r="J420" s="476"/>
      <c r="K420" s="475"/>
    </row>
    <row r="421" spans="1:11" s="21" customFormat="1" x14ac:dyDescent="0.2">
      <c r="A421" s="99"/>
      <c r="B421" s="478" t="str">
        <f>'9.ESQ.'!B151</f>
        <v>JA-2</v>
      </c>
      <c r="C421" s="479">
        <f>'9.ESQ.'!C151</f>
        <v>1.5</v>
      </c>
      <c r="D421" s="479" t="s">
        <v>615</v>
      </c>
      <c r="E421" s="479">
        <v>0.4</v>
      </c>
      <c r="F421" s="479" t="s">
        <v>45</v>
      </c>
      <c r="G421" s="479">
        <f>'9.ESQ.'!G151</f>
        <v>1</v>
      </c>
      <c r="H421" s="479" t="s">
        <v>46</v>
      </c>
      <c r="I421" s="479">
        <f t="shared" si="39"/>
        <v>1.9</v>
      </c>
      <c r="J421" s="476"/>
      <c r="K421" s="475"/>
    </row>
    <row r="422" spans="1:11" s="21" customFormat="1" x14ac:dyDescent="0.2">
      <c r="A422" s="99"/>
      <c r="B422" s="478" t="str">
        <f>'9.ESQ.'!B152</f>
        <v>VISOR</v>
      </c>
      <c r="C422" s="479">
        <f>'9.ESQ.'!C152</f>
        <v>1</v>
      </c>
      <c r="D422" s="479" t="s">
        <v>615</v>
      </c>
      <c r="E422" s="479">
        <v>0.4</v>
      </c>
      <c r="F422" s="479" t="s">
        <v>45</v>
      </c>
      <c r="G422" s="479">
        <f>'9.ESQ.'!G152</f>
        <v>1</v>
      </c>
      <c r="H422" s="479" t="s">
        <v>46</v>
      </c>
      <c r="I422" s="479">
        <f t="shared" si="39"/>
        <v>1.4</v>
      </c>
      <c r="J422" s="476"/>
      <c r="K422" s="475"/>
    </row>
    <row r="423" spans="1:11" s="21" customFormat="1" x14ac:dyDescent="0.2">
      <c r="A423" s="99"/>
      <c r="B423" s="478" t="s">
        <v>1206</v>
      </c>
      <c r="C423" s="479">
        <v>1.5</v>
      </c>
      <c r="D423" s="479" t="s">
        <v>615</v>
      </c>
      <c r="E423" s="479">
        <v>0.4</v>
      </c>
      <c r="F423" s="479" t="s">
        <v>45</v>
      </c>
      <c r="G423" s="479">
        <v>1</v>
      </c>
      <c r="H423" s="479" t="s">
        <v>46</v>
      </c>
      <c r="I423" s="479">
        <f>ROUND((C423+E423)*G423,2)</f>
        <v>1.9</v>
      </c>
      <c r="J423" s="476"/>
      <c r="K423" s="475"/>
    </row>
    <row r="424" spans="1:11" s="21" customFormat="1" x14ac:dyDescent="0.2">
      <c r="A424" s="99"/>
      <c r="B424" s="478" t="s">
        <v>1207</v>
      </c>
      <c r="C424" s="479">
        <v>1.5</v>
      </c>
      <c r="D424" s="479" t="s">
        <v>615</v>
      </c>
      <c r="E424" s="479">
        <v>0.4</v>
      </c>
      <c r="F424" s="479" t="s">
        <v>45</v>
      </c>
      <c r="G424" s="479">
        <v>1</v>
      </c>
      <c r="H424" s="479" t="s">
        <v>46</v>
      </c>
      <c r="I424" s="479">
        <f t="shared" ref="I424" si="40">ROUND((C424+E424)*G424,2)</f>
        <v>1.9</v>
      </c>
      <c r="J424" s="476"/>
      <c r="K424" s="475"/>
    </row>
    <row r="425" spans="1:11" s="21" customFormat="1" x14ac:dyDescent="0.2">
      <c r="A425" s="99"/>
      <c r="B425" s="476"/>
      <c r="C425" s="476"/>
      <c r="D425" s="476"/>
      <c r="E425" s="476"/>
      <c r="F425" s="476"/>
      <c r="G425" s="476"/>
      <c r="H425" s="476"/>
      <c r="I425" s="476"/>
      <c r="J425" s="476"/>
      <c r="K425" s="475"/>
    </row>
    <row r="426" spans="1:11" s="21" customFormat="1" ht="17.25" customHeight="1" x14ac:dyDescent="0.2">
      <c r="A426" s="205"/>
      <c r="B426" s="383" t="s">
        <v>47</v>
      </c>
      <c r="C426" s="384">
        <f>ROUND(SUM(I419:I425),2)</f>
        <v>25.4</v>
      </c>
      <c r="D426" s="235" t="s">
        <v>12</v>
      </c>
      <c r="E426" s="205"/>
      <c r="F426" s="436"/>
      <c r="G426" s="436"/>
    </row>
    <row r="427" spans="1:11" s="720" customFormat="1" ht="19.5" customHeight="1" x14ac:dyDescent="0.2">
      <c r="B427" s="206"/>
      <c r="C427" s="206"/>
      <c r="D427" s="206"/>
      <c r="E427" s="206"/>
      <c r="F427" s="206"/>
      <c r="G427" s="206"/>
      <c r="H427" s="206"/>
      <c r="I427" s="206"/>
    </row>
    <row r="428" spans="1:11" s="720" customFormat="1" ht="15.75" customHeight="1" x14ac:dyDescent="0.2">
      <c r="B428" s="207" t="str">
        <f>ORÇ!A82</f>
        <v>5.3.3</v>
      </c>
      <c r="C428" s="1740" t="str">
        <f>ORÇ!D82</f>
        <v>CONTRAVERGA MOLDADA IN LOCO EM CONCRETO PARA VÃOS DE MAIS DE 1,5 M DE COMPRIMENTO. AF_03/2016</v>
      </c>
      <c r="D428" s="1740"/>
      <c r="E428" s="1740"/>
      <c r="F428" s="1740"/>
      <c r="G428" s="1740"/>
      <c r="H428" s="1740"/>
      <c r="I428" s="1740"/>
    </row>
    <row r="429" spans="1:11" s="720" customFormat="1" x14ac:dyDescent="0.2">
      <c r="B429" s="206"/>
      <c r="C429" s="206"/>
      <c r="D429" s="206"/>
      <c r="E429" s="206"/>
      <c r="F429" s="206"/>
      <c r="G429" s="206"/>
      <c r="H429" s="206"/>
      <c r="I429" s="206"/>
    </row>
    <row r="430" spans="1:11" s="21" customFormat="1" x14ac:dyDescent="0.2">
      <c r="A430" s="99"/>
      <c r="B430" s="706" t="s">
        <v>616</v>
      </c>
      <c r="C430" s="706" t="s">
        <v>405</v>
      </c>
      <c r="D430" s="706"/>
      <c r="E430" s="706" t="s">
        <v>1205</v>
      </c>
      <c r="F430" s="706"/>
      <c r="G430" s="706" t="s">
        <v>590</v>
      </c>
      <c r="H430" s="706"/>
      <c r="I430" s="706" t="s">
        <v>614</v>
      </c>
      <c r="J430" s="477"/>
      <c r="K430" s="475"/>
    </row>
    <row r="431" spans="1:11" s="21" customFormat="1" x14ac:dyDescent="0.2">
      <c r="A431" s="99"/>
      <c r="B431" s="478" t="str">
        <f>'9.ESQ.'!B147</f>
        <v>B03</v>
      </c>
      <c r="C431" s="479">
        <f>'9.ESQ.'!C147</f>
        <v>2.2000000000000002</v>
      </c>
      <c r="D431" s="479" t="s">
        <v>615</v>
      </c>
      <c r="E431" s="479">
        <v>0.4</v>
      </c>
      <c r="F431" s="479" t="s">
        <v>45</v>
      </c>
      <c r="G431" s="479">
        <f>'9.ESQ.'!G147</f>
        <v>5</v>
      </c>
      <c r="H431" s="479" t="s">
        <v>46</v>
      </c>
      <c r="I431" s="479">
        <f>ROUND((C431+E431)*G431,2)</f>
        <v>13</v>
      </c>
      <c r="J431" s="476"/>
      <c r="K431" s="475"/>
    </row>
    <row r="432" spans="1:11" s="21" customFormat="1" x14ac:dyDescent="0.2">
      <c r="A432" s="99"/>
      <c r="B432" s="478" t="str">
        <f>'9.ESQ.'!B148</f>
        <v>B04</v>
      </c>
      <c r="C432" s="479">
        <f>'9.ESQ.'!C148</f>
        <v>2.5</v>
      </c>
      <c r="D432" s="479" t="s">
        <v>615</v>
      </c>
      <c r="E432" s="479">
        <v>0.4</v>
      </c>
      <c r="F432" s="479" t="s">
        <v>45</v>
      </c>
      <c r="G432" s="479">
        <f>'9.ESQ.'!G148</f>
        <v>3</v>
      </c>
      <c r="H432" s="479" t="s">
        <v>46</v>
      </c>
      <c r="I432" s="479">
        <f t="shared" ref="I432:I434" si="41">ROUND((C432+E432)*G432,2)</f>
        <v>8.6999999999999993</v>
      </c>
      <c r="J432" s="476"/>
      <c r="K432" s="475"/>
    </row>
    <row r="433" spans="1:11" s="21" customFormat="1" x14ac:dyDescent="0.2">
      <c r="A433" s="99"/>
      <c r="B433" s="478" t="str">
        <f>'9.ESQ.'!B149</f>
        <v>B05</v>
      </c>
      <c r="C433" s="479">
        <f>'9.ESQ.'!C149</f>
        <v>3.5</v>
      </c>
      <c r="D433" s="479" t="s">
        <v>615</v>
      </c>
      <c r="E433" s="479">
        <v>0.4</v>
      </c>
      <c r="F433" s="479" t="s">
        <v>45</v>
      </c>
      <c r="G433" s="479">
        <f>'9.ESQ.'!G149</f>
        <v>4</v>
      </c>
      <c r="H433" s="479" t="s">
        <v>46</v>
      </c>
      <c r="I433" s="479">
        <f t="shared" si="41"/>
        <v>15.6</v>
      </c>
      <c r="J433" s="476"/>
      <c r="K433" s="475"/>
    </row>
    <row r="434" spans="1:11" s="21" customFormat="1" x14ac:dyDescent="0.2">
      <c r="A434" s="99"/>
      <c r="B434" s="478" t="str">
        <f>'9.ESQ.'!B150</f>
        <v>JA-1</v>
      </c>
      <c r="C434" s="479">
        <f>'9.ESQ.'!C150</f>
        <v>4.5</v>
      </c>
      <c r="D434" s="479" t="s">
        <v>615</v>
      </c>
      <c r="E434" s="479">
        <v>0.4</v>
      </c>
      <c r="F434" s="479" t="s">
        <v>45</v>
      </c>
      <c r="G434" s="479">
        <f>'9.ESQ.'!G150</f>
        <v>1</v>
      </c>
      <c r="H434" s="479" t="s">
        <v>46</v>
      </c>
      <c r="I434" s="479">
        <f t="shared" si="41"/>
        <v>4.9000000000000004</v>
      </c>
      <c r="J434" s="476"/>
      <c r="K434" s="475"/>
    </row>
    <row r="435" spans="1:11" s="21" customFormat="1" x14ac:dyDescent="0.2">
      <c r="A435" s="99"/>
      <c r="B435" s="476"/>
      <c r="C435" s="476"/>
      <c r="D435" s="476"/>
      <c r="E435" s="476"/>
      <c r="F435" s="476"/>
      <c r="G435" s="476"/>
      <c r="H435" s="476"/>
      <c r="I435" s="476"/>
      <c r="J435" s="476"/>
      <c r="K435" s="475"/>
    </row>
    <row r="436" spans="1:11" s="21" customFormat="1" ht="17.25" customHeight="1" x14ac:dyDescent="0.2">
      <c r="A436" s="205"/>
      <c r="B436" s="383" t="s">
        <v>47</v>
      </c>
      <c r="C436" s="384">
        <f>ROUND(SUM(I431:I435),2)</f>
        <v>42.2</v>
      </c>
      <c r="D436" s="235" t="s">
        <v>12</v>
      </c>
      <c r="E436" s="205"/>
      <c r="F436" s="436"/>
      <c r="G436" s="436"/>
    </row>
    <row r="437" spans="1:11" s="720" customFormat="1" x14ac:dyDescent="0.2">
      <c r="B437" s="206"/>
      <c r="C437" s="206"/>
      <c r="D437" s="206"/>
      <c r="E437" s="206"/>
      <c r="F437" s="206"/>
      <c r="G437" s="206"/>
      <c r="H437" s="206"/>
      <c r="I437" s="206"/>
    </row>
    <row r="438" spans="1:11" s="720" customFormat="1" x14ac:dyDescent="0.2">
      <c r="B438" s="206"/>
      <c r="C438" s="206"/>
      <c r="D438" s="206"/>
      <c r="E438" s="206"/>
      <c r="F438" s="206"/>
      <c r="G438" s="206"/>
      <c r="H438" s="206"/>
      <c r="I438" s="206"/>
    </row>
    <row r="439" spans="1:11" s="720" customFormat="1" x14ac:dyDescent="0.2">
      <c r="B439" s="207" t="str">
        <f>ORÇ!A83</f>
        <v>5.3.4</v>
      </c>
      <c r="C439" s="1740" t="str">
        <f>ORÇ!D83</f>
        <v>VERGA MOLDADA IN LOCO EM CONCRETO PARA PORTAS COM ATÉ 1,5 M DE VÃO. AF_03/2016</v>
      </c>
      <c r="D439" s="1740"/>
      <c r="E439" s="1740"/>
      <c r="F439" s="1740"/>
      <c r="G439" s="1740"/>
      <c r="H439" s="1740"/>
      <c r="I439" s="206"/>
    </row>
    <row r="440" spans="1:11" s="720" customFormat="1" x14ac:dyDescent="0.2">
      <c r="B440" s="206"/>
      <c r="C440" s="206"/>
      <c r="D440" s="206"/>
      <c r="E440" s="206"/>
      <c r="F440" s="206"/>
      <c r="G440" s="206"/>
      <c r="H440" s="206"/>
      <c r="I440" s="206"/>
    </row>
    <row r="441" spans="1:11" s="21" customFormat="1" x14ac:dyDescent="0.2">
      <c r="A441" s="99"/>
      <c r="B441" s="706" t="s">
        <v>616</v>
      </c>
      <c r="C441" s="706" t="s">
        <v>405</v>
      </c>
      <c r="D441" s="706"/>
      <c r="E441" s="706" t="s">
        <v>1208</v>
      </c>
      <c r="F441" s="706"/>
      <c r="G441" s="706" t="s">
        <v>590</v>
      </c>
      <c r="H441" s="706"/>
      <c r="I441" s="706" t="s">
        <v>614</v>
      </c>
      <c r="J441" s="477"/>
      <c r="K441" s="475"/>
    </row>
    <row r="442" spans="1:11" s="21" customFormat="1" x14ac:dyDescent="0.2">
      <c r="A442" s="99"/>
      <c r="B442" s="478" t="str">
        <f>'9.ESQ.'!B161</f>
        <v>P3</v>
      </c>
      <c r="C442" s="479">
        <f>'9.ESQ.'!C161</f>
        <v>0.9</v>
      </c>
      <c r="D442" s="479" t="s">
        <v>615</v>
      </c>
      <c r="E442" s="479">
        <v>0.4</v>
      </c>
      <c r="F442" s="479" t="s">
        <v>45</v>
      </c>
      <c r="G442" s="479">
        <f>'9.ESQ.'!G161</f>
        <v>7</v>
      </c>
      <c r="H442" s="479" t="s">
        <v>46</v>
      </c>
      <c r="I442" s="479">
        <f t="shared" ref="I442:I444" si="42">ROUND((C442+E442)*G442,2)</f>
        <v>9.1</v>
      </c>
      <c r="J442" s="476"/>
      <c r="K442" s="475"/>
    </row>
    <row r="443" spans="1:11" s="21" customFormat="1" x14ac:dyDescent="0.2">
      <c r="A443" s="99"/>
      <c r="B443" s="478" t="str">
        <f>'9.ESQ.'!B162</f>
        <v>P4</v>
      </c>
      <c r="C443" s="479">
        <f>'9.ESQ.'!C162</f>
        <v>1</v>
      </c>
      <c r="D443" s="479" t="s">
        <v>615</v>
      </c>
      <c r="E443" s="479">
        <v>0.4</v>
      </c>
      <c r="F443" s="479" t="s">
        <v>45</v>
      </c>
      <c r="G443" s="479">
        <f>'9.ESQ.'!G162</f>
        <v>1</v>
      </c>
      <c r="H443" s="479" t="s">
        <v>46</v>
      </c>
      <c r="I443" s="479">
        <f t="shared" si="42"/>
        <v>1.4</v>
      </c>
      <c r="J443" s="476"/>
      <c r="K443" s="475"/>
    </row>
    <row r="444" spans="1:11" s="21" customFormat="1" x14ac:dyDescent="0.2">
      <c r="A444" s="99"/>
      <c r="B444" s="478" t="str">
        <f>'9.ESQ.'!B163</f>
        <v>P5</v>
      </c>
      <c r="C444" s="479">
        <f>'9.ESQ.'!C163</f>
        <v>0.8</v>
      </c>
      <c r="D444" s="479" t="s">
        <v>615</v>
      </c>
      <c r="E444" s="479">
        <v>0.4</v>
      </c>
      <c r="F444" s="479" t="s">
        <v>45</v>
      </c>
      <c r="G444" s="479">
        <f>'9.ESQ.'!G163</f>
        <v>8</v>
      </c>
      <c r="H444" s="479" t="s">
        <v>46</v>
      </c>
      <c r="I444" s="479">
        <f t="shared" si="42"/>
        <v>9.6</v>
      </c>
      <c r="J444" s="476"/>
      <c r="K444" s="475"/>
    </row>
    <row r="445" spans="1:11" s="21" customFormat="1" x14ac:dyDescent="0.2">
      <c r="A445" s="99"/>
      <c r="B445" s="476"/>
      <c r="C445" s="476"/>
      <c r="D445" s="476"/>
      <c r="E445" s="476"/>
      <c r="F445" s="476"/>
      <c r="G445" s="476"/>
      <c r="H445" s="476"/>
      <c r="I445" s="476"/>
      <c r="J445" s="476"/>
      <c r="K445" s="475"/>
    </row>
    <row r="446" spans="1:11" s="21" customFormat="1" ht="17.25" customHeight="1" x14ac:dyDescent="0.2">
      <c r="A446" s="205"/>
      <c r="B446" s="383" t="s">
        <v>47</v>
      </c>
      <c r="C446" s="384">
        <f>ROUND(SUM(I442:I445),2)</f>
        <v>20.100000000000001</v>
      </c>
      <c r="D446" s="235" t="s">
        <v>12</v>
      </c>
      <c r="E446" s="205"/>
      <c r="F446" s="436"/>
      <c r="G446" s="436"/>
    </row>
    <row r="447" spans="1:11" s="720" customFormat="1" x14ac:dyDescent="0.2">
      <c r="B447" s="206"/>
      <c r="C447" s="206"/>
      <c r="D447" s="206"/>
      <c r="E447" s="206"/>
      <c r="F447" s="206"/>
      <c r="G447" s="206"/>
      <c r="H447" s="206"/>
      <c r="I447" s="206"/>
    </row>
    <row r="448" spans="1:11" s="720" customFormat="1" x14ac:dyDescent="0.2">
      <c r="B448" s="207" t="str">
        <f>ORÇ!A84</f>
        <v>5.3.5</v>
      </c>
      <c r="C448" s="1740" t="str">
        <f>ORÇ!D84</f>
        <v>VERGA MOLDADA IN LOCO EM CONCRETO PARA PORTAS COM MAIS DE 1,5 M DE VÃO. AF_03/2016</v>
      </c>
      <c r="D448" s="1740"/>
      <c r="E448" s="1740"/>
      <c r="F448" s="1740"/>
      <c r="G448" s="1740"/>
      <c r="H448" s="1740"/>
      <c r="I448" s="206"/>
    </row>
    <row r="449" spans="1:11" s="720" customFormat="1" x14ac:dyDescent="0.2">
      <c r="B449" s="206"/>
      <c r="C449" s="206"/>
      <c r="D449" s="206"/>
      <c r="E449" s="206"/>
      <c r="F449" s="206"/>
      <c r="G449" s="206"/>
      <c r="H449" s="206"/>
      <c r="I449" s="206"/>
    </row>
    <row r="450" spans="1:11" s="21" customFormat="1" x14ac:dyDescent="0.2">
      <c r="A450" s="99"/>
      <c r="B450" s="706" t="s">
        <v>616</v>
      </c>
      <c r="C450" s="706" t="s">
        <v>405</v>
      </c>
      <c r="D450" s="706"/>
      <c r="E450" s="706" t="s">
        <v>1208</v>
      </c>
      <c r="F450" s="706"/>
      <c r="G450" s="706" t="s">
        <v>590</v>
      </c>
      <c r="H450" s="706"/>
      <c r="I450" s="706" t="s">
        <v>614</v>
      </c>
      <c r="J450" s="477"/>
      <c r="K450" s="475"/>
    </row>
    <row r="451" spans="1:11" s="21" customFormat="1" x14ac:dyDescent="0.2">
      <c r="A451" s="99"/>
      <c r="B451" s="478" t="str">
        <f>'9.ESQ.'!B159</f>
        <v>P1</v>
      </c>
      <c r="C451" s="479">
        <f>'9.ESQ.'!C159</f>
        <v>1.6</v>
      </c>
      <c r="D451" s="479" t="s">
        <v>615</v>
      </c>
      <c r="E451" s="479">
        <v>0.4</v>
      </c>
      <c r="F451" s="479" t="s">
        <v>45</v>
      </c>
      <c r="G451" s="479">
        <f>'9.ESQ.'!G159</f>
        <v>1</v>
      </c>
      <c r="H451" s="479" t="s">
        <v>46</v>
      </c>
      <c r="I451" s="479">
        <f>ROUND((C451+E451)*G451,2)</f>
        <v>2</v>
      </c>
      <c r="J451" s="476"/>
      <c r="K451" s="475"/>
    </row>
    <row r="452" spans="1:11" s="21" customFormat="1" x14ac:dyDescent="0.2">
      <c r="A452" s="99"/>
      <c r="B452" s="478" t="str">
        <f>'9.ESQ.'!B160</f>
        <v>P2</v>
      </c>
      <c r="C452" s="479">
        <f>'9.ESQ.'!C160</f>
        <v>3</v>
      </c>
      <c r="D452" s="479" t="s">
        <v>615</v>
      </c>
      <c r="E452" s="479">
        <v>0.4</v>
      </c>
      <c r="F452" s="479" t="s">
        <v>45</v>
      </c>
      <c r="G452" s="479">
        <f>'9.ESQ.'!G160</f>
        <v>1</v>
      </c>
      <c r="H452" s="479" t="s">
        <v>46</v>
      </c>
      <c r="I452" s="479">
        <f t="shared" ref="I452:I454" si="43">ROUND((C452+E452)*G452,2)</f>
        <v>3.4</v>
      </c>
      <c r="J452" s="476"/>
      <c r="K452" s="475"/>
    </row>
    <row r="453" spans="1:11" s="21" customFormat="1" x14ac:dyDescent="0.2">
      <c r="A453" s="99"/>
      <c r="B453" s="478" t="str">
        <f>'9.ESQ.'!B164</f>
        <v>P6</v>
      </c>
      <c r="C453" s="479">
        <f>'9.ESQ.'!C164</f>
        <v>1.8</v>
      </c>
      <c r="D453" s="479" t="s">
        <v>615</v>
      </c>
      <c r="E453" s="479">
        <v>0.4</v>
      </c>
      <c r="F453" s="479" t="s">
        <v>45</v>
      </c>
      <c r="G453" s="479">
        <f>'9.ESQ.'!G164</f>
        <v>2</v>
      </c>
      <c r="H453" s="479" t="s">
        <v>46</v>
      </c>
      <c r="I453" s="479">
        <f t="shared" si="43"/>
        <v>4.4000000000000004</v>
      </c>
      <c r="J453" s="476"/>
      <c r="K453" s="475"/>
    </row>
    <row r="454" spans="1:11" s="21" customFormat="1" x14ac:dyDescent="0.2">
      <c r="A454" s="99"/>
      <c r="B454" s="478" t="str">
        <f>'9.ESQ.'!B165</f>
        <v>P7</v>
      </c>
      <c r="C454" s="479">
        <f>'9.ESQ.'!C165</f>
        <v>1.6</v>
      </c>
      <c r="D454" s="479" t="s">
        <v>615</v>
      </c>
      <c r="E454" s="479">
        <v>0.4</v>
      </c>
      <c r="F454" s="479" t="s">
        <v>45</v>
      </c>
      <c r="G454" s="479">
        <f>'9.ESQ.'!G165</f>
        <v>2</v>
      </c>
      <c r="H454" s="479" t="s">
        <v>46</v>
      </c>
      <c r="I454" s="479">
        <f t="shared" si="43"/>
        <v>4</v>
      </c>
      <c r="J454" s="476"/>
      <c r="K454" s="475"/>
    </row>
    <row r="455" spans="1:11" s="21" customFormat="1" x14ac:dyDescent="0.2">
      <c r="A455" s="99"/>
      <c r="B455" s="476"/>
      <c r="C455" s="476"/>
      <c r="D455" s="476"/>
      <c r="E455" s="476"/>
      <c r="F455" s="476"/>
      <c r="G455" s="476"/>
      <c r="H455" s="476"/>
      <c r="I455" s="476"/>
      <c r="J455" s="476"/>
      <c r="K455" s="475"/>
    </row>
    <row r="456" spans="1:11" s="21" customFormat="1" ht="17.25" customHeight="1" x14ac:dyDescent="0.2">
      <c r="A456" s="205"/>
      <c r="B456" s="383" t="s">
        <v>47</v>
      </c>
      <c r="C456" s="384">
        <f>ROUND(SUM(I451:I455),2)</f>
        <v>13.8</v>
      </c>
      <c r="D456" s="235" t="s">
        <v>12</v>
      </c>
      <c r="E456" s="205"/>
      <c r="F456" s="436"/>
      <c r="G456" s="436"/>
    </row>
    <row r="457" spans="1:11" s="720" customFormat="1" x14ac:dyDescent="0.2">
      <c r="B457" s="206"/>
      <c r="C457" s="206"/>
      <c r="D457" s="206"/>
      <c r="E457" s="206"/>
      <c r="F457" s="206"/>
      <c r="G457" s="206"/>
      <c r="H457" s="206"/>
      <c r="I457" s="206"/>
    </row>
    <row r="458" spans="1:11" s="720" customFormat="1" x14ac:dyDescent="0.2">
      <c r="B458" s="206"/>
      <c r="C458" s="206"/>
      <c r="D458" s="206"/>
      <c r="E458" s="206"/>
      <c r="F458" s="206"/>
      <c r="G458" s="206"/>
      <c r="H458" s="206"/>
      <c r="I458" s="206"/>
    </row>
    <row r="459" spans="1:11" s="720" customFormat="1" ht="16.5" customHeight="1" x14ac:dyDescent="0.2">
      <c r="B459" s="207" t="str">
        <f>ORÇ!A85</f>
        <v>5.4</v>
      </c>
      <c r="C459" s="1740" t="str">
        <f>ORÇ!D85</f>
        <v>Platibanda</v>
      </c>
      <c r="D459" s="1740"/>
      <c r="E459" s="206"/>
      <c r="F459" s="206"/>
      <c r="G459" s="206"/>
      <c r="H459" s="206"/>
      <c r="I459" s="206"/>
    </row>
    <row r="460" spans="1:11" s="720" customFormat="1" ht="16.5" customHeight="1" x14ac:dyDescent="0.2">
      <c r="B460" s="207" t="str">
        <f>ORÇ!A86</f>
        <v>5.4.1</v>
      </c>
      <c r="C460" s="1741" t="str">
        <f>ORÇ!D86</f>
        <v>FORMAS PARA CONCRETO EM CHAPA DE MADEIRA COMPENSADA RESINADA E=15MM (REAP 2X)</v>
      </c>
      <c r="D460" s="1741"/>
      <c r="E460" s="1741"/>
      <c r="F460" s="1741"/>
      <c r="G460" s="1741"/>
      <c r="H460" s="1741"/>
      <c r="I460" s="1741"/>
    </row>
    <row r="461" spans="1:11" s="720" customFormat="1" x14ac:dyDescent="0.2">
      <c r="B461" s="207"/>
      <c r="C461" s="705"/>
      <c r="D461" s="705"/>
      <c r="E461" s="206"/>
      <c r="F461" s="206"/>
      <c r="G461" s="206"/>
      <c r="H461" s="206"/>
      <c r="I461" s="206"/>
    </row>
    <row r="462" spans="1:11" s="602" customFormat="1" ht="20.25" customHeight="1" x14ac:dyDescent="0.2">
      <c r="A462" s="671"/>
      <c r="B462" s="512" t="s">
        <v>616</v>
      </c>
      <c r="C462" s="512" t="s">
        <v>753</v>
      </c>
      <c r="D462" s="512"/>
      <c r="E462" s="512" t="s">
        <v>405</v>
      </c>
      <c r="F462" s="512"/>
      <c r="G462" s="512" t="s">
        <v>469</v>
      </c>
      <c r="H462" s="512"/>
      <c r="I462" s="512" t="s">
        <v>213</v>
      </c>
    </row>
    <row r="463" spans="1:11" s="602" customFormat="1" ht="17.25" customHeight="1" x14ac:dyDescent="0.2">
      <c r="A463" s="671"/>
      <c r="B463" s="247" t="s">
        <v>1174</v>
      </c>
      <c r="C463" s="512">
        <f>4.95+2.4+4.2+4</f>
        <v>15.55</v>
      </c>
      <c r="D463" s="512" t="s">
        <v>45</v>
      </c>
      <c r="E463" s="512">
        <v>0.2</v>
      </c>
      <c r="F463" s="512" t="s">
        <v>45</v>
      </c>
      <c r="G463" s="512">
        <v>2</v>
      </c>
      <c r="H463" s="512" t="s">
        <v>46</v>
      </c>
      <c r="I463" s="512">
        <f>ROUND(C463*E463*G463,2)</f>
        <v>6.22</v>
      </c>
    </row>
    <row r="464" spans="1:11" s="140" customFormat="1" ht="17.25" customHeight="1" x14ac:dyDescent="0.2">
      <c r="A464" s="671"/>
      <c r="B464" s="247" t="s">
        <v>1142</v>
      </c>
      <c r="C464" s="678">
        <v>4</v>
      </c>
      <c r="D464" s="512" t="s">
        <v>45</v>
      </c>
      <c r="E464" s="512">
        <v>0.2</v>
      </c>
      <c r="F464" s="512" t="s">
        <v>45</v>
      </c>
      <c r="G464" s="512">
        <v>2</v>
      </c>
      <c r="H464" s="512" t="s">
        <v>46</v>
      </c>
      <c r="I464" s="512">
        <f t="shared" ref="I464:I471" si="44">ROUND(C464*E464*G464,2)</f>
        <v>1.6</v>
      </c>
    </row>
    <row r="465" spans="1:11" s="140" customFormat="1" ht="17.25" customHeight="1" x14ac:dyDescent="0.2">
      <c r="A465" s="671"/>
      <c r="B465" s="247" t="s">
        <v>1143</v>
      </c>
      <c r="C465" s="678">
        <f>3.55+4.15</f>
        <v>7.7</v>
      </c>
      <c r="D465" s="512" t="s">
        <v>45</v>
      </c>
      <c r="E465" s="512">
        <v>0.2</v>
      </c>
      <c r="F465" s="512" t="s">
        <v>45</v>
      </c>
      <c r="G465" s="512">
        <v>2</v>
      </c>
      <c r="H465" s="512" t="s">
        <v>46</v>
      </c>
      <c r="I465" s="512">
        <f t="shared" si="44"/>
        <v>3.08</v>
      </c>
    </row>
    <row r="466" spans="1:11" s="140" customFormat="1" ht="17.25" customHeight="1" x14ac:dyDescent="0.2">
      <c r="A466" s="671"/>
      <c r="B466" s="247" t="s">
        <v>1228</v>
      </c>
      <c r="C466" s="678">
        <f>4.3+5+6.1+3.6+4.5</f>
        <v>23.5</v>
      </c>
      <c r="D466" s="512" t="s">
        <v>45</v>
      </c>
      <c r="E466" s="512">
        <v>0.2</v>
      </c>
      <c r="F466" s="512" t="s">
        <v>45</v>
      </c>
      <c r="G466" s="512">
        <v>2</v>
      </c>
      <c r="H466" s="512" t="s">
        <v>46</v>
      </c>
      <c r="I466" s="512">
        <f t="shared" si="44"/>
        <v>9.4</v>
      </c>
    </row>
    <row r="467" spans="1:11" s="140" customFormat="1" ht="17.25" customHeight="1" x14ac:dyDescent="0.2">
      <c r="A467" s="671"/>
      <c r="B467" s="247" t="s">
        <v>1145</v>
      </c>
      <c r="C467" s="678">
        <v>2.0499999999999998</v>
      </c>
      <c r="D467" s="512" t="s">
        <v>45</v>
      </c>
      <c r="E467" s="512">
        <v>0.2</v>
      </c>
      <c r="F467" s="512" t="s">
        <v>45</v>
      </c>
      <c r="G467" s="512">
        <v>2</v>
      </c>
      <c r="H467" s="512" t="s">
        <v>46</v>
      </c>
      <c r="I467" s="512">
        <f t="shared" si="44"/>
        <v>0.82</v>
      </c>
    </row>
    <row r="468" spans="1:11" s="140" customFormat="1" ht="17.25" customHeight="1" x14ac:dyDescent="0.2">
      <c r="A468" s="671"/>
      <c r="B468" s="247" t="s">
        <v>1229</v>
      </c>
      <c r="C468" s="678">
        <v>5.45</v>
      </c>
      <c r="D468" s="512" t="s">
        <v>45</v>
      </c>
      <c r="E468" s="512">
        <v>0.2</v>
      </c>
      <c r="F468" s="512" t="s">
        <v>45</v>
      </c>
      <c r="G468" s="512">
        <v>2</v>
      </c>
      <c r="H468" s="512" t="s">
        <v>46</v>
      </c>
      <c r="I468" s="512">
        <f t="shared" si="44"/>
        <v>2.1800000000000002</v>
      </c>
    </row>
    <row r="469" spans="1:11" s="140" customFormat="1" ht="17.25" customHeight="1" x14ac:dyDescent="0.2">
      <c r="A469" s="671"/>
      <c r="B469" s="247" t="s">
        <v>1146</v>
      </c>
      <c r="C469" s="678">
        <f>4.25+5.05+2.85+2.9+5.2+2.85</f>
        <v>23.1</v>
      </c>
      <c r="D469" s="512" t="s">
        <v>45</v>
      </c>
      <c r="E469" s="512">
        <v>0.2</v>
      </c>
      <c r="F469" s="512" t="s">
        <v>45</v>
      </c>
      <c r="G469" s="512">
        <v>2</v>
      </c>
      <c r="H469" s="512" t="s">
        <v>46</v>
      </c>
      <c r="I469" s="512">
        <f t="shared" si="44"/>
        <v>9.24</v>
      </c>
    </row>
    <row r="470" spans="1:11" s="140" customFormat="1" ht="20.25" customHeight="1" x14ac:dyDescent="0.2">
      <c r="A470" s="671"/>
      <c r="B470" s="247" t="s">
        <v>1185</v>
      </c>
      <c r="C470" s="678">
        <v>4.05</v>
      </c>
      <c r="D470" s="512" t="s">
        <v>45</v>
      </c>
      <c r="E470" s="512">
        <v>0.2</v>
      </c>
      <c r="F470" s="512" t="s">
        <v>45</v>
      </c>
      <c r="G470" s="512">
        <v>2</v>
      </c>
      <c r="H470" s="512" t="s">
        <v>46</v>
      </c>
      <c r="I470" s="512">
        <f t="shared" si="44"/>
        <v>1.62</v>
      </c>
    </row>
    <row r="471" spans="1:11" s="140" customFormat="1" ht="17.25" customHeight="1" x14ac:dyDescent="0.2">
      <c r="A471" s="671"/>
      <c r="B471" s="247" t="s">
        <v>1147</v>
      </c>
      <c r="C471" s="678">
        <v>2.8</v>
      </c>
      <c r="D471" s="512" t="s">
        <v>45</v>
      </c>
      <c r="E471" s="512">
        <v>0.2</v>
      </c>
      <c r="F471" s="512" t="s">
        <v>45</v>
      </c>
      <c r="G471" s="512">
        <v>2</v>
      </c>
      <c r="H471" s="512" t="s">
        <v>46</v>
      </c>
      <c r="I471" s="512">
        <f t="shared" si="44"/>
        <v>1.1200000000000001</v>
      </c>
    </row>
    <row r="472" spans="1:11" s="21" customFormat="1" ht="12" customHeight="1" x14ac:dyDescent="0.2">
      <c r="A472" s="529"/>
      <c r="B472" s="710"/>
      <c r="C472" s="710"/>
      <c r="D472" s="710"/>
      <c r="E472" s="710"/>
      <c r="F472" s="710"/>
      <c r="G472" s="710"/>
      <c r="H472" s="710"/>
      <c r="I472" s="710"/>
    </row>
    <row r="473" spans="1:11" s="140" customFormat="1" ht="15.75" customHeight="1" x14ac:dyDescent="0.2">
      <c r="A473" s="671"/>
      <c r="B473" s="659" t="s">
        <v>47</v>
      </c>
      <c r="C473" s="661">
        <f>ROUND(SUM(I463:I472),2)</f>
        <v>35.28</v>
      </c>
      <c r="D473" s="660" t="s">
        <v>4</v>
      </c>
      <c r="E473" s="672"/>
      <c r="F473" s="755"/>
      <c r="G473" s="672"/>
      <c r="H473" s="672"/>
      <c r="I473" s="672"/>
    </row>
    <row r="474" spans="1:11" s="720" customFormat="1" x14ac:dyDescent="0.2">
      <c r="B474" s="207"/>
      <c r="C474" s="705"/>
      <c r="D474" s="705"/>
      <c r="E474" s="206"/>
      <c r="F474" s="206"/>
      <c r="G474" s="206"/>
      <c r="H474" s="206"/>
      <c r="I474" s="206"/>
    </row>
    <row r="475" spans="1:11" s="720" customFormat="1" ht="30" customHeight="1" x14ac:dyDescent="0.2">
      <c r="B475" s="207" t="str">
        <f>ORÇ!A87</f>
        <v>5.4.2</v>
      </c>
      <c r="C475" s="1741" t="str">
        <f>ORÇ!D88</f>
        <v>ARMAÇÃO DE PILAR OU VIGA DE UMA ESTRUTURA CONVENCIONAL DE CONCRETO ARMADO EM UM EDIFÍCIO DE MÚLTIPLOS PAVIMENTOS UTILIZANDO AÇO CA-50 DE 8,0 MM - MONTAGEM. AF_12/2015</v>
      </c>
      <c r="D475" s="1741"/>
      <c r="E475" s="1741"/>
      <c r="F475" s="1741"/>
      <c r="G475" s="1741"/>
      <c r="H475" s="1741"/>
      <c r="I475" s="1741"/>
      <c r="J475" s="1741"/>
    </row>
    <row r="476" spans="1:11" s="720" customFormat="1" x14ac:dyDescent="0.2">
      <c r="B476" s="207"/>
      <c r="C476" s="705"/>
      <c r="D476" s="196"/>
      <c r="E476" s="196"/>
      <c r="F476" s="206"/>
      <c r="G476" s="206"/>
      <c r="H476" s="206"/>
      <c r="I476" s="206"/>
    </row>
    <row r="477" spans="1:11" s="602" customFormat="1" ht="20.25" customHeight="1" x14ac:dyDescent="0.2">
      <c r="A477" s="671"/>
      <c r="B477" s="512" t="s">
        <v>616</v>
      </c>
      <c r="C477" s="512" t="s">
        <v>917</v>
      </c>
      <c r="D477" s="512" t="s">
        <v>753</v>
      </c>
      <c r="E477" s="512"/>
      <c r="F477" s="512" t="s">
        <v>590</v>
      </c>
      <c r="G477" s="512"/>
      <c r="H477" s="512" t="s">
        <v>1022</v>
      </c>
      <c r="I477" s="512"/>
      <c r="J477" s="512" t="s">
        <v>614</v>
      </c>
      <c r="K477" s="522"/>
    </row>
    <row r="478" spans="1:11" s="140" customFormat="1" ht="16.5" customHeight="1" x14ac:dyDescent="0.2">
      <c r="A478" s="671"/>
      <c r="B478" s="247" t="s">
        <v>1174</v>
      </c>
      <c r="C478" s="512" t="s">
        <v>945</v>
      </c>
      <c r="D478" s="512">
        <v>0.57999999999999996</v>
      </c>
      <c r="E478" s="512" t="s">
        <v>45</v>
      </c>
      <c r="F478" s="512">
        <v>195</v>
      </c>
      <c r="G478" s="512" t="s">
        <v>45</v>
      </c>
      <c r="H478" s="512">
        <v>1</v>
      </c>
      <c r="I478" s="512" t="s">
        <v>46</v>
      </c>
      <c r="J478" s="512">
        <f>ROUND(D478*F478*H478,2)</f>
        <v>113.1</v>
      </c>
      <c r="K478" s="757"/>
    </row>
    <row r="479" spans="1:11" s="140" customFormat="1" ht="18.75" customHeight="1" x14ac:dyDescent="0.2">
      <c r="A479" s="671"/>
      <c r="B479" s="247" t="s">
        <v>1142</v>
      </c>
      <c r="C479" s="512" t="s">
        <v>945</v>
      </c>
      <c r="D479" s="512">
        <v>0.57999999999999996</v>
      </c>
      <c r="E479" s="512" t="s">
        <v>45</v>
      </c>
      <c r="F479" s="512">
        <v>50</v>
      </c>
      <c r="G479" s="512" t="s">
        <v>45</v>
      </c>
      <c r="H479" s="512">
        <v>1</v>
      </c>
      <c r="I479" s="512" t="s">
        <v>46</v>
      </c>
      <c r="J479" s="512">
        <f t="shared" ref="J479:J486" si="45">ROUND(D479*F479*H479,2)</f>
        <v>29</v>
      </c>
      <c r="K479" s="757"/>
    </row>
    <row r="480" spans="1:11" s="140" customFormat="1" ht="18.75" customHeight="1" x14ac:dyDescent="0.2">
      <c r="A480" s="671"/>
      <c r="B480" s="247" t="s">
        <v>1143</v>
      </c>
      <c r="C480" s="512" t="s">
        <v>945</v>
      </c>
      <c r="D480" s="512">
        <v>0.57999999999999996</v>
      </c>
      <c r="E480" s="512" t="s">
        <v>45</v>
      </c>
      <c r="F480" s="512">
        <v>97</v>
      </c>
      <c r="G480" s="512" t="s">
        <v>45</v>
      </c>
      <c r="H480" s="512">
        <v>1</v>
      </c>
      <c r="I480" s="512" t="s">
        <v>46</v>
      </c>
      <c r="J480" s="512">
        <f t="shared" si="45"/>
        <v>56.26</v>
      </c>
      <c r="K480" s="757"/>
    </row>
    <row r="481" spans="1:11" s="140" customFormat="1" ht="16.5" customHeight="1" x14ac:dyDescent="0.2">
      <c r="A481" s="671"/>
      <c r="B481" s="247" t="s">
        <v>1228</v>
      </c>
      <c r="C481" s="512" t="s">
        <v>945</v>
      </c>
      <c r="D481" s="512">
        <v>0.57999999999999996</v>
      </c>
      <c r="E481" s="512" t="s">
        <v>45</v>
      </c>
      <c r="F481" s="512">
        <v>297</v>
      </c>
      <c r="G481" s="512" t="s">
        <v>45</v>
      </c>
      <c r="H481" s="512">
        <v>1</v>
      </c>
      <c r="I481" s="512" t="s">
        <v>46</v>
      </c>
      <c r="J481" s="512">
        <f t="shared" si="45"/>
        <v>172.26</v>
      </c>
      <c r="K481" s="757"/>
    </row>
    <row r="482" spans="1:11" s="140" customFormat="1" ht="16.5" customHeight="1" x14ac:dyDescent="0.2">
      <c r="A482" s="671"/>
      <c r="B482" s="247" t="s">
        <v>1145</v>
      </c>
      <c r="C482" s="512" t="s">
        <v>945</v>
      </c>
      <c r="D482" s="512">
        <v>0.57999999999999996</v>
      </c>
      <c r="E482" s="512" t="s">
        <v>45</v>
      </c>
      <c r="F482" s="512">
        <v>26</v>
      </c>
      <c r="G482" s="512" t="s">
        <v>45</v>
      </c>
      <c r="H482" s="512">
        <v>1</v>
      </c>
      <c r="I482" s="512" t="s">
        <v>46</v>
      </c>
      <c r="J482" s="512">
        <f t="shared" si="45"/>
        <v>15.08</v>
      </c>
      <c r="K482" s="757"/>
    </row>
    <row r="483" spans="1:11" s="140" customFormat="1" ht="16.5" customHeight="1" x14ac:dyDescent="0.2">
      <c r="A483" s="671"/>
      <c r="B483" s="247" t="s">
        <v>1229</v>
      </c>
      <c r="C483" s="512" t="s">
        <v>945</v>
      </c>
      <c r="D483" s="512">
        <v>0.57999999999999996</v>
      </c>
      <c r="E483" s="512" t="s">
        <v>45</v>
      </c>
      <c r="F483" s="512">
        <v>69</v>
      </c>
      <c r="G483" s="512" t="s">
        <v>45</v>
      </c>
      <c r="H483" s="512">
        <v>1</v>
      </c>
      <c r="I483" s="512" t="s">
        <v>46</v>
      </c>
      <c r="J483" s="512">
        <f t="shared" si="45"/>
        <v>40.020000000000003</v>
      </c>
      <c r="K483" s="757"/>
    </row>
    <row r="484" spans="1:11" s="140" customFormat="1" ht="16.5" customHeight="1" x14ac:dyDescent="0.2">
      <c r="A484" s="671"/>
      <c r="B484" s="247" t="s">
        <v>1146</v>
      </c>
      <c r="C484" s="512" t="s">
        <v>945</v>
      </c>
      <c r="D484" s="512">
        <v>0.57999999999999996</v>
      </c>
      <c r="E484" s="512" t="s">
        <v>45</v>
      </c>
      <c r="F484" s="512">
        <v>292</v>
      </c>
      <c r="G484" s="512" t="s">
        <v>45</v>
      </c>
      <c r="H484" s="512">
        <v>1</v>
      </c>
      <c r="I484" s="512" t="s">
        <v>46</v>
      </c>
      <c r="J484" s="512">
        <f t="shared" si="45"/>
        <v>169.36</v>
      </c>
      <c r="K484" s="757"/>
    </row>
    <row r="485" spans="1:11" s="140" customFormat="1" ht="16.5" customHeight="1" x14ac:dyDescent="0.2">
      <c r="A485" s="671"/>
      <c r="B485" s="247" t="s">
        <v>1185</v>
      </c>
      <c r="C485" s="512" t="s">
        <v>945</v>
      </c>
      <c r="D485" s="512">
        <v>0.57999999999999996</v>
      </c>
      <c r="E485" s="512" t="s">
        <v>45</v>
      </c>
      <c r="F485" s="512">
        <v>50</v>
      </c>
      <c r="G485" s="512" t="s">
        <v>45</v>
      </c>
      <c r="H485" s="512">
        <v>1</v>
      </c>
      <c r="I485" s="512" t="s">
        <v>46</v>
      </c>
      <c r="J485" s="512">
        <f t="shared" si="45"/>
        <v>29</v>
      </c>
      <c r="K485" s="757"/>
    </row>
    <row r="486" spans="1:11" s="140" customFormat="1" ht="16.5" customHeight="1" x14ac:dyDescent="0.2">
      <c r="A486" s="671"/>
      <c r="B486" s="247" t="s">
        <v>1147</v>
      </c>
      <c r="C486" s="512" t="s">
        <v>945</v>
      </c>
      <c r="D486" s="512">
        <v>0.57999999999999996</v>
      </c>
      <c r="E486" s="512" t="s">
        <v>45</v>
      </c>
      <c r="F486" s="512">
        <v>36</v>
      </c>
      <c r="G486" s="512" t="s">
        <v>45</v>
      </c>
      <c r="H486" s="512">
        <v>1</v>
      </c>
      <c r="I486" s="512" t="s">
        <v>46</v>
      </c>
      <c r="J486" s="512">
        <f t="shared" si="45"/>
        <v>20.88</v>
      </c>
      <c r="K486" s="757"/>
    </row>
    <row r="487" spans="1:11" s="88" customFormat="1" ht="12" customHeight="1" x14ac:dyDescent="0.2">
      <c r="A487" s="185"/>
      <c r="B487" s="689"/>
      <c r="C487" s="518"/>
      <c r="D487" s="518"/>
      <c r="E487" s="518"/>
      <c r="F487" s="518"/>
      <c r="G487" s="518"/>
      <c r="H487" s="518"/>
      <c r="I487" s="518"/>
    </row>
    <row r="488" spans="1:11" s="140" customFormat="1" ht="17.25" customHeight="1" x14ac:dyDescent="0.2">
      <c r="A488" s="671"/>
      <c r="B488" s="689"/>
      <c r="C488" s="512" t="s">
        <v>614</v>
      </c>
      <c r="D488" s="521"/>
      <c r="E488" s="512" t="s">
        <v>928</v>
      </c>
      <c r="F488" s="521"/>
      <c r="G488" s="681" t="s">
        <v>967</v>
      </c>
      <c r="H488" s="755"/>
      <c r="I488" s="672"/>
    </row>
    <row r="489" spans="1:11" s="685" customFormat="1" ht="30" customHeight="1" x14ac:dyDescent="0.2">
      <c r="A489" s="682"/>
      <c r="B489" s="686" t="s">
        <v>1025</v>
      </c>
      <c r="C489" s="678">
        <f>ROUND(SUM(J478:J487),2)</f>
        <v>644.96</v>
      </c>
      <c r="D489" s="678" t="s">
        <v>45</v>
      </c>
      <c r="E489" s="683">
        <v>0.154</v>
      </c>
      <c r="F489" s="512" t="s">
        <v>46</v>
      </c>
      <c r="G489" s="681">
        <f>ROUND(C489*E489,2)</f>
        <v>99.32</v>
      </c>
      <c r="H489" s="755"/>
      <c r="I489" s="684"/>
    </row>
    <row r="490" spans="1:11" s="21" customFormat="1" x14ac:dyDescent="0.2"/>
    <row r="491" spans="1:11" s="720" customFormat="1" ht="30" customHeight="1" x14ac:dyDescent="0.2">
      <c r="B491" s="207" t="str">
        <f>ORÇ!A88</f>
        <v>5.4.3</v>
      </c>
      <c r="C491" s="1741" t="str">
        <f>ORÇ!D88</f>
        <v>ARMAÇÃO DE PILAR OU VIGA DE UMA ESTRUTURA CONVENCIONAL DE CONCRETO ARMADO EM UM EDIFÍCIO DE MÚLTIPLOS PAVIMENTOS UTILIZANDO AÇO CA-50 DE 8,0 MM - MONTAGEM. AF_12/2015</v>
      </c>
      <c r="D491" s="1741"/>
      <c r="E491" s="1741"/>
      <c r="F491" s="1741"/>
      <c r="G491" s="1741"/>
      <c r="H491" s="1741"/>
      <c r="I491" s="1741"/>
      <c r="J491" s="1741"/>
    </row>
    <row r="492" spans="1:11" s="720" customFormat="1" x14ac:dyDescent="0.2">
      <c r="B492" s="207"/>
      <c r="C492" s="705"/>
      <c r="D492" s="196"/>
      <c r="E492" s="196"/>
      <c r="F492" s="206"/>
      <c r="G492" s="206"/>
      <c r="H492" s="206"/>
      <c r="I492" s="206"/>
    </row>
    <row r="493" spans="1:11" s="602" customFormat="1" ht="21.75" customHeight="1" x14ac:dyDescent="0.2">
      <c r="A493" s="671"/>
      <c r="B493" s="512" t="s">
        <v>616</v>
      </c>
      <c r="C493" s="512" t="s">
        <v>917</v>
      </c>
      <c r="D493" s="512" t="s">
        <v>753</v>
      </c>
      <c r="E493" s="512"/>
      <c r="F493" s="512" t="s">
        <v>590</v>
      </c>
      <c r="G493" s="512"/>
      <c r="H493" s="512" t="s">
        <v>1022</v>
      </c>
      <c r="I493" s="512"/>
      <c r="J493" s="512" t="s">
        <v>614</v>
      </c>
      <c r="K493" s="522"/>
    </row>
    <row r="494" spans="1:11" s="140" customFormat="1" ht="18" customHeight="1" x14ac:dyDescent="0.2">
      <c r="A494" s="671"/>
      <c r="B494" s="1725" t="s">
        <v>1174</v>
      </c>
      <c r="C494" s="512" t="s">
        <v>921</v>
      </c>
      <c r="D494" s="512">
        <v>5.17</v>
      </c>
      <c r="E494" s="512" t="s">
        <v>45</v>
      </c>
      <c r="F494" s="512">
        <v>2</v>
      </c>
      <c r="G494" s="512" t="s">
        <v>45</v>
      </c>
      <c r="H494" s="512">
        <v>1</v>
      </c>
      <c r="I494" s="512" t="s">
        <v>46</v>
      </c>
      <c r="J494" s="512">
        <f t="shared" ref="J494:J519" si="46">ROUND(D494*F494*H494,2)</f>
        <v>10.34</v>
      </c>
    </row>
    <row r="495" spans="1:11" s="140" customFormat="1" ht="18" customHeight="1" x14ac:dyDescent="0.2">
      <c r="A495" s="671"/>
      <c r="B495" s="1726"/>
      <c r="C495" s="512" t="s">
        <v>922</v>
      </c>
      <c r="D495" s="512">
        <v>2.8</v>
      </c>
      <c r="E495" s="512" t="s">
        <v>45</v>
      </c>
      <c r="F495" s="512">
        <v>2</v>
      </c>
      <c r="G495" s="512" t="s">
        <v>45</v>
      </c>
      <c r="H495" s="512">
        <v>1</v>
      </c>
      <c r="I495" s="512" t="s">
        <v>46</v>
      </c>
      <c r="J495" s="512">
        <f t="shared" si="46"/>
        <v>5.6</v>
      </c>
    </row>
    <row r="496" spans="1:11" s="140" customFormat="1" ht="18" customHeight="1" x14ac:dyDescent="0.2">
      <c r="A496" s="671"/>
      <c r="B496" s="1726"/>
      <c r="C496" s="512" t="s">
        <v>926</v>
      </c>
      <c r="D496" s="512">
        <v>4.4000000000000004</v>
      </c>
      <c r="E496" s="512" t="s">
        <v>45</v>
      </c>
      <c r="F496" s="512">
        <v>2</v>
      </c>
      <c r="G496" s="512" t="s">
        <v>45</v>
      </c>
      <c r="H496" s="512">
        <v>1</v>
      </c>
      <c r="I496" s="512" t="s">
        <v>46</v>
      </c>
      <c r="J496" s="512">
        <f t="shared" si="46"/>
        <v>8.8000000000000007</v>
      </c>
    </row>
    <row r="497" spans="1:10" s="140" customFormat="1" ht="18" customHeight="1" x14ac:dyDescent="0.2">
      <c r="A497" s="671"/>
      <c r="B497" s="1726"/>
      <c r="C497" s="512" t="s">
        <v>919</v>
      </c>
      <c r="D497" s="512">
        <v>4.22</v>
      </c>
      <c r="E497" s="512" t="s">
        <v>45</v>
      </c>
      <c r="F497" s="512">
        <v>2</v>
      </c>
      <c r="G497" s="512" t="s">
        <v>45</v>
      </c>
      <c r="H497" s="512">
        <v>1</v>
      </c>
      <c r="I497" s="512" t="s">
        <v>46</v>
      </c>
      <c r="J497" s="512">
        <f t="shared" si="46"/>
        <v>8.44</v>
      </c>
    </row>
    <row r="498" spans="1:10" s="140" customFormat="1" ht="18" customHeight="1" x14ac:dyDescent="0.2">
      <c r="A498" s="671"/>
      <c r="B498" s="1726"/>
      <c r="C498" s="512" t="s">
        <v>920</v>
      </c>
      <c r="D498" s="512">
        <v>5.96</v>
      </c>
      <c r="E498" s="512" t="s">
        <v>45</v>
      </c>
      <c r="F498" s="512">
        <v>1</v>
      </c>
      <c r="G498" s="512" t="s">
        <v>45</v>
      </c>
      <c r="H498" s="512">
        <v>1</v>
      </c>
      <c r="I498" s="512" t="s">
        <v>46</v>
      </c>
      <c r="J498" s="512">
        <f t="shared" si="46"/>
        <v>5.96</v>
      </c>
    </row>
    <row r="499" spans="1:10" s="140" customFormat="1" ht="18" customHeight="1" x14ac:dyDescent="0.2">
      <c r="A499" s="671"/>
      <c r="B499" s="1726"/>
      <c r="C499" s="512" t="s">
        <v>923</v>
      </c>
      <c r="D499" s="512">
        <v>11.98</v>
      </c>
      <c r="E499" s="512" t="s">
        <v>45</v>
      </c>
      <c r="F499" s="512">
        <v>2</v>
      </c>
      <c r="G499" s="512" t="s">
        <v>45</v>
      </c>
      <c r="H499" s="512">
        <v>1</v>
      </c>
      <c r="I499" s="512" t="s">
        <v>46</v>
      </c>
      <c r="J499" s="512">
        <f t="shared" si="46"/>
        <v>23.96</v>
      </c>
    </row>
    <row r="500" spans="1:10" s="140" customFormat="1" ht="18" customHeight="1" x14ac:dyDescent="0.2">
      <c r="A500" s="671"/>
      <c r="B500" s="1727"/>
      <c r="C500" s="512" t="s">
        <v>924</v>
      </c>
      <c r="D500" s="512">
        <v>5.62</v>
      </c>
      <c r="E500" s="512" t="s">
        <v>45</v>
      </c>
      <c r="F500" s="512">
        <v>2</v>
      </c>
      <c r="G500" s="512" t="s">
        <v>45</v>
      </c>
      <c r="H500" s="512">
        <v>1</v>
      </c>
      <c r="I500" s="512" t="s">
        <v>46</v>
      </c>
      <c r="J500" s="512">
        <f t="shared" si="46"/>
        <v>11.24</v>
      </c>
    </row>
    <row r="501" spans="1:10" s="140" customFormat="1" ht="18" customHeight="1" x14ac:dyDescent="0.2">
      <c r="A501" s="671"/>
      <c r="B501" s="1725" t="s">
        <v>1230</v>
      </c>
      <c r="C501" s="512" t="s">
        <v>925</v>
      </c>
      <c r="D501" s="512">
        <v>4.34</v>
      </c>
      <c r="E501" s="512" t="s">
        <v>45</v>
      </c>
      <c r="F501" s="512">
        <v>2</v>
      </c>
      <c r="G501" s="512" t="s">
        <v>45</v>
      </c>
      <c r="H501" s="512">
        <v>1</v>
      </c>
      <c r="I501" s="512" t="s">
        <v>46</v>
      </c>
      <c r="J501" s="512">
        <f t="shared" si="46"/>
        <v>8.68</v>
      </c>
    </row>
    <row r="502" spans="1:10" s="140" customFormat="1" ht="18" customHeight="1" x14ac:dyDescent="0.2">
      <c r="A502" s="671"/>
      <c r="B502" s="1727"/>
      <c r="C502" s="512" t="s">
        <v>940</v>
      </c>
      <c r="D502" s="512">
        <v>4.8499999999999996</v>
      </c>
      <c r="E502" s="512" t="s">
        <v>45</v>
      </c>
      <c r="F502" s="512">
        <v>2</v>
      </c>
      <c r="G502" s="512" t="s">
        <v>45</v>
      </c>
      <c r="H502" s="512">
        <v>1</v>
      </c>
      <c r="I502" s="512" t="s">
        <v>46</v>
      </c>
      <c r="J502" s="512">
        <f t="shared" si="46"/>
        <v>9.6999999999999993</v>
      </c>
    </row>
    <row r="503" spans="1:10" s="140" customFormat="1" ht="17.25" customHeight="1" x14ac:dyDescent="0.2">
      <c r="A503" s="671"/>
      <c r="B503" s="1725" t="s">
        <v>1143</v>
      </c>
      <c r="C503" s="512" t="s">
        <v>946</v>
      </c>
      <c r="D503" s="512">
        <v>3.97</v>
      </c>
      <c r="E503" s="512" t="s">
        <v>45</v>
      </c>
      <c r="F503" s="512">
        <v>2</v>
      </c>
      <c r="G503" s="512" t="s">
        <v>45</v>
      </c>
      <c r="H503" s="512">
        <v>1</v>
      </c>
      <c r="I503" s="512" t="s">
        <v>46</v>
      </c>
      <c r="J503" s="512">
        <f t="shared" si="46"/>
        <v>7.94</v>
      </c>
    </row>
    <row r="504" spans="1:10" s="140" customFormat="1" ht="17.25" customHeight="1" x14ac:dyDescent="0.2">
      <c r="A504" s="671"/>
      <c r="B504" s="1726"/>
      <c r="C504" s="512" t="s">
        <v>950</v>
      </c>
      <c r="D504" s="512">
        <v>4.47</v>
      </c>
      <c r="E504" s="512" t="s">
        <v>45</v>
      </c>
      <c r="F504" s="512">
        <v>2</v>
      </c>
      <c r="G504" s="512" t="s">
        <v>45</v>
      </c>
      <c r="H504" s="512">
        <v>1</v>
      </c>
      <c r="I504" s="512" t="s">
        <v>46</v>
      </c>
      <c r="J504" s="512">
        <f t="shared" si="46"/>
        <v>8.94</v>
      </c>
    </row>
    <row r="505" spans="1:10" s="140" customFormat="1" ht="17.25" customHeight="1" x14ac:dyDescent="0.2">
      <c r="A505" s="671"/>
      <c r="B505" s="1727"/>
      <c r="C505" s="512" t="s">
        <v>931</v>
      </c>
      <c r="D505" s="512">
        <v>9.01</v>
      </c>
      <c r="E505" s="512" t="s">
        <v>45</v>
      </c>
      <c r="F505" s="512">
        <v>2</v>
      </c>
      <c r="G505" s="512" t="s">
        <v>45</v>
      </c>
      <c r="H505" s="512">
        <v>1</v>
      </c>
      <c r="I505" s="512" t="s">
        <v>46</v>
      </c>
      <c r="J505" s="512">
        <f t="shared" si="46"/>
        <v>18.02</v>
      </c>
    </row>
    <row r="506" spans="1:10" s="140" customFormat="1" ht="18" customHeight="1" x14ac:dyDescent="0.2">
      <c r="A506" s="671"/>
      <c r="B506" s="1725" t="s">
        <v>1228</v>
      </c>
      <c r="C506" s="512" t="s">
        <v>932</v>
      </c>
      <c r="D506" s="512">
        <v>4.67</v>
      </c>
      <c r="E506" s="512" t="s">
        <v>45</v>
      </c>
      <c r="F506" s="512">
        <v>2</v>
      </c>
      <c r="G506" s="512" t="s">
        <v>45</v>
      </c>
      <c r="H506" s="512">
        <v>1</v>
      </c>
      <c r="I506" s="512" t="s">
        <v>46</v>
      </c>
      <c r="J506" s="512">
        <f t="shared" si="46"/>
        <v>9.34</v>
      </c>
    </row>
    <row r="507" spans="1:10" s="140" customFormat="1" ht="18" customHeight="1" x14ac:dyDescent="0.2">
      <c r="A507" s="671"/>
      <c r="B507" s="1726"/>
      <c r="C507" s="512" t="s">
        <v>957</v>
      </c>
      <c r="D507" s="512">
        <v>5.2</v>
      </c>
      <c r="E507" s="512" t="s">
        <v>45</v>
      </c>
      <c r="F507" s="512">
        <v>2</v>
      </c>
      <c r="G507" s="512" t="s">
        <v>45</v>
      </c>
      <c r="H507" s="512">
        <v>1</v>
      </c>
      <c r="I507" s="512" t="s">
        <v>46</v>
      </c>
      <c r="J507" s="512">
        <f t="shared" si="46"/>
        <v>10.4</v>
      </c>
    </row>
    <row r="508" spans="1:10" s="140" customFormat="1" ht="18" customHeight="1" x14ac:dyDescent="0.2">
      <c r="A508" s="671"/>
      <c r="B508" s="1726"/>
      <c r="C508" s="512" t="s">
        <v>955</v>
      </c>
      <c r="D508" s="512">
        <v>6.3</v>
      </c>
      <c r="E508" s="512" t="s">
        <v>45</v>
      </c>
      <c r="F508" s="512">
        <v>2</v>
      </c>
      <c r="G508" s="512" t="s">
        <v>45</v>
      </c>
      <c r="H508" s="512">
        <v>1</v>
      </c>
      <c r="I508" s="512" t="s">
        <v>46</v>
      </c>
      <c r="J508" s="512">
        <f t="shared" si="46"/>
        <v>12.6</v>
      </c>
    </row>
    <row r="509" spans="1:10" s="140" customFormat="1" ht="18" customHeight="1" x14ac:dyDescent="0.2">
      <c r="A509" s="671"/>
      <c r="B509" s="1726"/>
      <c r="C509" s="512" t="s">
        <v>958</v>
      </c>
      <c r="D509" s="512">
        <v>3.8</v>
      </c>
      <c r="E509" s="512" t="s">
        <v>45</v>
      </c>
      <c r="F509" s="512">
        <v>2</v>
      </c>
      <c r="G509" s="512" t="s">
        <v>45</v>
      </c>
      <c r="H509" s="512">
        <v>1</v>
      </c>
      <c r="I509" s="512" t="s">
        <v>46</v>
      </c>
      <c r="J509" s="512">
        <f t="shared" si="46"/>
        <v>7.6</v>
      </c>
    </row>
    <row r="510" spans="1:10" s="140" customFormat="1" ht="33.75" customHeight="1" x14ac:dyDescent="0.2">
      <c r="A510" s="671"/>
      <c r="B510" s="1727"/>
      <c r="C510" s="512" t="s">
        <v>966</v>
      </c>
      <c r="D510" s="512">
        <v>4.82</v>
      </c>
      <c r="E510" s="512" t="s">
        <v>45</v>
      </c>
      <c r="F510" s="512">
        <v>2</v>
      </c>
      <c r="G510" s="512" t="s">
        <v>45</v>
      </c>
      <c r="H510" s="512">
        <v>1</v>
      </c>
      <c r="I510" s="512" t="s">
        <v>46</v>
      </c>
      <c r="J510" s="512">
        <f t="shared" si="46"/>
        <v>9.64</v>
      </c>
    </row>
    <row r="511" spans="1:10" s="140" customFormat="1" ht="18" customHeight="1" x14ac:dyDescent="0.2">
      <c r="A511" s="671"/>
      <c r="B511" s="247" t="s">
        <v>1145</v>
      </c>
      <c r="C511" s="512" t="s">
        <v>964</v>
      </c>
      <c r="D511" s="512">
        <v>2.37</v>
      </c>
      <c r="E511" s="512" t="s">
        <v>45</v>
      </c>
      <c r="F511" s="512">
        <v>2</v>
      </c>
      <c r="G511" s="512" t="s">
        <v>45</v>
      </c>
      <c r="H511" s="512">
        <v>1</v>
      </c>
      <c r="I511" s="512" t="s">
        <v>46</v>
      </c>
      <c r="J511" s="512">
        <f t="shared" si="46"/>
        <v>4.74</v>
      </c>
    </row>
    <row r="512" spans="1:10" s="140" customFormat="1" ht="18" customHeight="1" x14ac:dyDescent="0.2">
      <c r="A512" s="671"/>
      <c r="B512" s="247" t="s">
        <v>1229</v>
      </c>
      <c r="C512" s="512" t="s">
        <v>1026</v>
      </c>
      <c r="D512" s="512">
        <v>5.69</v>
      </c>
      <c r="E512" s="512" t="s">
        <v>45</v>
      </c>
      <c r="F512" s="512">
        <v>2</v>
      </c>
      <c r="G512" s="512" t="s">
        <v>45</v>
      </c>
      <c r="H512" s="512">
        <v>1</v>
      </c>
      <c r="I512" s="512" t="s">
        <v>46</v>
      </c>
      <c r="J512" s="512">
        <f t="shared" si="46"/>
        <v>11.38</v>
      </c>
    </row>
    <row r="513" spans="1:10" s="140" customFormat="1" ht="19.5" customHeight="1" x14ac:dyDescent="0.2">
      <c r="A513" s="671"/>
      <c r="B513" s="1725" t="s">
        <v>1146</v>
      </c>
      <c r="C513" s="512" t="s">
        <v>1027</v>
      </c>
      <c r="D513" s="512">
        <v>4.57</v>
      </c>
      <c r="E513" s="512" t="s">
        <v>45</v>
      </c>
      <c r="F513" s="512">
        <v>2</v>
      </c>
      <c r="G513" s="512" t="s">
        <v>45</v>
      </c>
      <c r="H513" s="512">
        <v>1</v>
      </c>
      <c r="I513" s="512" t="s">
        <v>46</v>
      </c>
      <c r="J513" s="512">
        <f t="shared" si="46"/>
        <v>9.14</v>
      </c>
    </row>
    <row r="514" spans="1:10" s="140" customFormat="1" ht="18" customHeight="1" x14ac:dyDescent="0.2">
      <c r="A514" s="671"/>
      <c r="B514" s="1726"/>
      <c r="C514" s="512" t="s">
        <v>1028</v>
      </c>
      <c r="D514" s="512">
        <v>5.25</v>
      </c>
      <c r="E514" s="512" t="s">
        <v>45</v>
      </c>
      <c r="F514" s="512">
        <v>2</v>
      </c>
      <c r="G514" s="512" t="s">
        <v>45</v>
      </c>
      <c r="H514" s="512">
        <v>1</v>
      </c>
      <c r="I514" s="512" t="s">
        <v>46</v>
      </c>
      <c r="J514" s="512">
        <f t="shared" si="46"/>
        <v>10.5</v>
      </c>
    </row>
    <row r="515" spans="1:10" s="140" customFormat="1" ht="18" customHeight="1" x14ac:dyDescent="0.2">
      <c r="A515" s="671"/>
      <c r="B515" s="1726"/>
      <c r="C515" s="512" t="s">
        <v>1029</v>
      </c>
      <c r="D515" s="512">
        <v>3.05</v>
      </c>
      <c r="E515" s="512" t="s">
        <v>45</v>
      </c>
      <c r="F515" s="512">
        <v>2</v>
      </c>
      <c r="G515" s="512" t="s">
        <v>45</v>
      </c>
      <c r="H515" s="512">
        <v>1</v>
      </c>
      <c r="I515" s="512" t="s">
        <v>46</v>
      </c>
      <c r="J515" s="512">
        <f t="shared" si="46"/>
        <v>6.1</v>
      </c>
    </row>
    <row r="516" spans="1:10" s="140" customFormat="1" ht="18" customHeight="1" x14ac:dyDescent="0.2">
      <c r="A516" s="671"/>
      <c r="B516" s="1726"/>
      <c r="C516" s="512" t="s">
        <v>1030</v>
      </c>
      <c r="D516" s="512">
        <v>3.1</v>
      </c>
      <c r="E516" s="512" t="s">
        <v>45</v>
      </c>
      <c r="F516" s="512">
        <v>2</v>
      </c>
      <c r="G516" s="512" t="s">
        <v>45</v>
      </c>
      <c r="H516" s="512">
        <v>1</v>
      </c>
      <c r="I516" s="512" t="s">
        <v>46</v>
      </c>
      <c r="J516" s="512">
        <f t="shared" si="46"/>
        <v>6.2</v>
      </c>
    </row>
    <row r="517" spans="1:10" s="140" customFormat="1" ht="18" customHeight="1" x14ac:dyDescent="0.2">
      <c r="A517" s="671"/>
      <c r="B517" s="1726"/>
      <c r="C517" s="512" t="s">
        <v>1031</v>
      </c>
      <c r="D517" s="512">
        <v>5.4</v>
      </c>
      <c r="E517" s="512" t="s">
        <v>45</v>
      </c>
      <c r="F517" s="512">
        <v>2</v>
      </c>
      <c r="G517" s="512" t="s">
        <v>45</v>
      </c>
      <c r="H517" s="512">
        <v>1</v>
      </c>
      <c r="I517" s="512" t="s">
        <v>46</v>
      </c>
      <c r="J517" s="512">
        <f t="shared" si="46"/>
        <v>10.8</v>
      </c>
    </row>
    <row r="518" spans="1:10" s="140" customFormat="1" ht="18" customHeight="1" x14ac:dyDescent="0.2">
      <c r="A518" s="671"/>
      <c r="B518" s="1726"/>
      <c r="C518" s="512" t="s">
        <v>1032</v>
      </c>
      <c r="D518" s="512">
        <v>3.17</v>
      </c>
      <c r="E518" s="512" t="s">
        <v>45</v>
      </c>
      <c r="F518" s="512">
        <v>2</v>
      </c>
      <c r="G518" s="512" t="s">
        <v>45</v>
      </c>
      <c r="H518" s="512">
        <v>1</v>
      </c>
      <c r="I518" s="512" t="s">
        <v>46</v>
      </c>
      <c r="J518" s="512">
        <f t="shared" si="46"/>
        <v>6.34</v>
      </c>
    </row>
    <row r="519" spans="1:10" s="140" customFormat="1" ht="18" customHeight="1" x14ac:dyDescent="0.2">
      <c r="A519" s="671"/>
      <c r="B519" s="1726"/>
      <c r="C519" s="512" t="s">
        <v>1033</v>
      </c>
      <c r="D519" s="512">
        <v>1.6</v>
      </c>
      <c r="E519" s="512" t="s">
        <v>45</v>
      </c>
      <c r="F519" s="512">
        <v>1</v>
      </c>
      <c r="G519" s="512" t="s">
        <v>45</v>
      </c>
      <c r="H519" s="512">
        <v>1</v>
      </c>
      <c r="I519" s="512" t="s">
        <v>46</v>
      </c>
      <c r="J519" s="512">
        <f t="shared" si="46"/>
        <v>1.6</v>
      </c>
    </row>
    <row r="520" spans="1:10" s="140" customFormat="1" ht="19.5" customHeight="1" x14ac:dyDescent="0.2">
      <c r="A520" s="671"/>
      <c r="B520" s="1726"/>
      <c r="C520" s="512" t="s">
        <v>1034</v>
      </c>
      <c r="D520" s="512">
        <v>1.45</v>
      </c>
      <c r="E520" s="512" t="s">
        <v>45</v>
      </c>
      <c r="F520" s="512">
        <v>1</v>
      </c>
      <c r="G520" s="512" t="s">
        <v>45</v>
      </c>
      <c r="H520" s="512">
        <v>1</v>
      </c>
      <c r="I520" s="512" t="s">
        <v>46</v>
      </c>
      <c r="J520" s="512">
        <f t="shared" ref="J520:J522" si="47">ROUND(D520*F520*H520,2)</f>
        <v>1.45</v>
      </c>
    </row>
    <row r="521" spans="1:10" s="140" customFormat="1" ht="18" customHeight="1" x14ac:dyDescent="0.2">
      <c r="A521" s="671"/>
      <c r="B521" s="1726"/>
      <c r="C521" s="512" t="s">
        <v>1035</v>
      </c>
      <c r="D521" s="512">
        <v>1.55</v>
      </c>
      <c r="E521" s="512" t="s">
        <v>45</v>
      </c>
      <c r="F521" s="512">
        <v>1</v>
      </c>
      <c r="G521" s="512" t="s">
        <v>45</v>
      </c>
      <c r="H521" s="512">
        <v>1</v>
      </c>
      <c r="I521" s="512" t="s">
        <v>46</v>
      </c>
      <c r="J521" s="512">
        <f t="shared" si="47"/>
        <v>1.55</v>
      </c>
    </row>
    <row r="522" spans="1:10" s="140" customFormat="1" ht="18" customHeight="1" x14ac:dyDescent="0.2">
      <c r="A522" s="671"/>
      <c r="B522" s="1726"/>
      <c r="C522" s="512" t="s">
        <v>1036</v>
      </c>
      <c r="D522" s="512">
        <v>1.5</v>
      </c>
      <c r="E522" s="512" t="s">
        <v>45</v>
      </c>
      <c r="F522" s="512">
        <v>1</v>
      </c>
      <c r="G522" s="512" t="s">
        <v>45</v>
      </c>
      <c r="H522" s="512">
        <v>1</v>
      </c>
      <c r="I522" s="512" t="s">
        <v>46</v>
      </c>
      <c r="J522" s="512">
        <f t="shared" si="47"/>
        <v>1.5</v>
      </c>
    </row>
    <row r="523" spans="1:10" s="140" customFormat="1" ht="19.5" customHeight="1" x14ac:dyDescent="0.2">
      <c r="A523" s="671"/>
      <c r="B523" s="1726"/>
      <c r="C523" s="512" t="s">
        <v>1037</v>
      </c>
      <c r="D523" s="512">
        <v>11.98</v>
      </c>
      <c r="E523" s="512" t="s">
        <v>45</v>
      </c>
      <c r="F523" s="512">
        <v>2</v>
      </c>
      <c r="G523" s="512" t="s">
        <v>45</v>
      </c>
      <c r="H523" s="512">
        <v>1</v>
      </c>
      <c r="I523" s="512" t="s">
        <v>46</v>
      </c>
      <c r="J523" s="512">
        <f t="shared" ref="J523:J528" si="48">ROUND(D523*F523*H523,2)</f>
        <v>23.96</v>
      </c>
    </row>
    <row r="524" spans="1:10" s="140" customFormat="1" ht="18" customHeight="1" x14ac:dyDescent="0.2">
      <c r="A524" s="671"/>
      <c r="B524" s="1726"/>
      <c r="C524" s="512" t="s">
        <v>1038</v>
      </c>
      <c r="D524" s="512">
        <v>12</v>
      </c>
      <c r="E524" s="512" t="s">
        <v>45</v>
      </c>
      <c r="F524" s="512">
        <v>2</v>
      </c>
      <c r="G524" s="512" t="s">
        <v>45</v>
      </c>
      <c r="H524" s="512">
        <v>1</v>
      </c>
      <c r="I524" s="512" t="s">
        <v>46</v>
      </c>
      <c r="J524" s="512">
        <f t="shared" si="48"/>
        <v>24</v>
      </c>
    </row>
    <row r="525" spans="1:10" s="140" customFormat="1" ht="18" customHeight="1" x14ac:dyDescent="0.2">
      <c r="A525" s="671"/>
      <c r="B525" s="1727"/>
      <c r="C525" s="512" t="s">
        <v>1039</v>
      </c>
      <c r="D525" s="512">
        <v>2.33</v>
      </c>
      <c r="E525" s="512" t="s">
        <v>45</v>
      </c>
      <c r="F525" s="512">
        <v>2</v>
      </c>
      <c r="G525" s="512" t="s">
        <v>45</v>
      </c>
      <c r="H525" s="512">
        <v>1</v>
      </c>
      <c r="I525" s="512" t="s">
        <v>46</v>
      </c>
      <c r="J525" s="512">
        <f t="shared" si="48"/>
        <v>4.66</v>
      </c>
    </row>
    <row r="526" spans="1:10" s="140" customFormat="1" ht="18" customHeight="1" x14ac:dyDescent="0.2">
      <c r="A526" s="671"/>
      <c r="B526" s="1725" t="s">
        <v>1147</v>
      </c>
      <c r="C526" s="512" t="s">
        <v>1040</v>
      </c>
      <c r="D526" s="512">
        <v>3.4</v>
      </c>
      <c r="E526" s="512" t="s">
        <v>45</v>
      </c>
      <c r="F526" s="512">
        <v>2</v>
      </c>
      <c r="G526" s="512" t="s">
        <v>45</v>
      </c>
      <c r="H526" s="512">
        <v>1</v>
      </c>
      <c r="I526" s="512" t="s">
        <v>46</v>
      </c>
      <c r="J526" s="512">
        <f t="shared" si="48"/>
        <v>6.8</v>
      </c>
    </row>
    <row r="527" spans="1:10" s="140" customFormat="1" ht="18" customHeight="1" x14ac:dyDescent="0.2">
      <c r="A527" s="671"/>
      <c r="B527" s="1726"/>
      <c r="C527" s="512" t="s">
        <v>1041</v>
      </c>
      <c r="D527" s="512">
        <v>1.31</v>
      </c>
      <c r="E527" s="512" t="s">
        <v>45</v>
      </c>
      <c r="F527" s="512">
        <v>1</v>
      </c>
      <c r="G527" s="512" t="s">
        <v>45</v>
      </c>
      <c r="H527" s="512">
        <v>1</v>
      </c>
      <c r="I527" s="512" t="s">
        <v>46</v>
      </c>
      <c r="J527" s="512">
        <f t="shared" si="48"/>
        <v>1.31</v>
      </c>
    </row>
    <row r="528" spans="1:10" s="140" customFormat="1" ht="18" customHeight="1" x14ac:dyDescent="0.2">
      <c r="A528" s="671"/>
      <c r="B528" s="1727"/>
      <c r="C528" s="512" t="s">
        <v>1042</v>
      </c>
      <c r="D528" s="512">
        <v>3.75</v>
      </c>
      <c r="E528" s="512" t="s">
        <v>45</v>
      </c>
      <c r="F528" s="512">
        <v>2</v>
      </c>
      <c r="G528" s="512" t="s">
        <v>45</v>
      </c>
      <c r="H528" s="512">
        <v>1</v>
      </c>
      <c r="I528" s="512" t="s">
        <v>46</v>
      </c>
      <c r="J528" s="512">
        <f t="shared" si="48"/>
        <v>7.5</v>
      </c>
    </row>
    <row r="529" spans="1:11" s="21" customFormat="1" ht="12" customHeight="1" x14ac:dyDescent="0.2">
      <c r="A529" s="529"/>
      <c r="B529" s="710"/>
      <c r="C529" s="710"/>
      <c r="D529" s="710"/>
      <c r="E529" s="710"/>
      <c r="F529" s="710"/>
      <c r="G529" s="710"/>
      <c r="H529" s="710"/>
      <c r="I529" s="710"/>
    </row>
    <row r="530" spans="1:11" s="140" customFormat="1" ht="17.25" customHeight="1" x14ac:dyDescent="0.2">
      <c r="A530" s="671"/>
      <c r="B530" s="672"/>
      <c r="C530" s="512" t="s">
        <v>614</v>
      </c>
      <c r="D530" s="521"/>
      <c r="E530" s="512" t="s">
        <v>928</v>
      </c>
      <c r="F530" s="521"/>
      <c r="G530" s="681" t="s">
        <v>967</v>
      </c>
      <c r="H530" s="755"/>
      <c r="I530" s="672"/>
    </row>
    <row r="531" spans="1:11" s="685" customFormat="1" ht="30" customHeight="1" x14ac:dyDescent="0.2">
      <c r="A531" s="682"/>
      <c r="B531" s="686" t="s">
        <v>1021</v>
      </c>
      <c r="C531" s="678">
        <f>ROUND(SUM(J494:J529),2)</f>
        <v>316.73</v>
      </c>
      <c r="D531" s="678" t="s">
        <v>45</v>
      </c>
      <c r="E531" s="683">
        <v>0.39500000000000002</v>
      </c>
      <c r="F531" s="512" t="s">
        <v>46</v>
      </c>
      <c r="G531" s="681">
        <f>ROUND(C531*E531,2)</f>
        <v>125.11</v>
      </c>
      <c r="H531" s="755"/>
      <c r="I531" s="684"/>
    </row>
    <row r="532" spans="1:11" s="720" customFormat="1" x14ac:dyDescent="0.2">
      <c r="B532" s="207"/>
      <c r="C532" s="705"/>
      <c r="D532" s="196"/>
      <c r="E532" s="196"/>
      <c r="F532" s="206"/>
      <c r="G532" s="206"/>
      <c r="H532" s="206"/>
      <c r="I532" s="206"/>
    </row>
    <row r="533" spans="1:11" s="720" customFormat="1" ht="35.25" customHeight="1" x14ac:dyDescent="0.2">
      <c r="B533" s="207" t="str">
        <f>ORÇ!A89</f>
        <v>5.4.4</v>
      </c>
      <c r="C533" s="1741" t="str">
        <f>ORÇ!D89</f>
        <v>ARMAÇÃO DE PILAR OU VIGA DE UMA ESTRUTURA CONVENCIONAL DE CONCRETO ARMADO EM UM EDIFÍCIO DE MÚLTIPLOS PAVIMENTOS UTILIZANDO AÇO CA-50 DE 10,0 MM - MONTAGEM. AF_12/2015</v>
      </c>
      <c r="D533" s="1741"/>
      <c r="E533" s="1741"/>
      <c r="F533" s="1741"/>
      <c r="G533" s="1741"/>
      <c r="H533" s="1741"/>
      <c r="I533" s="1741"/>
      <c r="J533" s="1741"/>
    </row>
    <row r="534" spans="1:11" s="720" customFormat="1" x14ac:dyDescent="0.2">
      <c r="B534" s="207"/>
      <c r="C534" s="705"/>
      <c r="D534" s="196"/>
      <c r="E534" s="196"/>
      <c r="F534" s="206"/>
      <c r="G534" s="206"/>
      <c r="H534" s="206"/>
      <c r="I534" s="206"/>
    </row>
    <row r="535" spans="1:11" s="602" customFormat="1" ht="19.5" customHeight="1" x14ac:dyDescent="0.2">
      <c r="A535" s="671"/>
      <c r="B535" s="512" t="s">
        <v>616</v>
      </c>
      <c r="C535" s="512" t="s">
        <v>917</v>
      </c>
      <c r="D535" s="512" t="s">
        <v>753</v>
      </c>
      <c r="E535" s="512"/>
      <c r="F535" s="512" t="s">
        <v>590</v>
      </c>
      <c r="G535" s="512"/>
      <c r="H535" s="512" t="s">
        <v>1022</v>
      </c>
      <c r="I535" s="512"/>
      <c r="J535" s="512" t="s">
        <v>614</v>
      </c>
      <c r="K535" s="522"/>
    </row>
    <row r="536" spans="1:11" s="140" customFormat="1" ht="18" customHeight="1" x14ac:dyDescent="0.2">
      <c r="A536" s="671"/>
      <c r="B536" s="1725" t="s">
        <v>1228</v>
      </c>
      <c r="C536" s="512" t="s">
        <v>1043</v>
      </c>
      <c r="D536" s="512">
        <v>1.75</v>
      </c>
      <c r="E536" s="512" t="s">
        <v>45</v>
      </c>
      <c r="F536" s="512">
        <v>1</v>
      </c>
      <c r="G536" s="512" t="s">
        <v>45</v>
      </c>
      <c r="H536" s="512">
        <v>1</v>
      </c>
      <c r="I536" s="512" t="s">
        <v>46</v>
      </c>
      <c r="J536" s="512">
        <f t="shared" ref="J536:J543" si="49">ROUND(D536*F536*H536,2)</f>
        <v>1.75</v>
      </c>
    </row>
    <row r="537" spans="1:11" s="140" customFormat="1" ht="18" customHeight="1" x14ac:dyDescent="0.2">
      <c r="A537" s="671"/>
      <c r="B537" s="1726"/>
      <c r="C537" s="512" t="s">
        <v>1044</v>
      </c>
      <c r="D537" s="512">
        <v>1.55</v>
      </c>
      <c r="E537" s="512" t="s">
        <v>45</v>
      </c>
      <c r="F537" s="512">
        <v>1</v>
      </c>
      <c r="G537" s="512" t="s">
        <v>45</v>
      </c>
      <c r="H537" s="512">
        <v>1</v>
      </c>
      <c r="I537" s="512" t="s">
        <v>46</v>
      </c>
      <c r="J537" s="512">
        <f t="shared" si="49"/>
        <v>1.55</v>
      </c>
    </row>
    <row r="538" spans="1:11" s="140" customFormat="1" ht="18" customHeight="1" x14ac:dyDescent="0.2">
      <c r="A538" s="671"/>
      <c r="B538" s="1726"/>
      <c r="C538" s="512" t="s">
        <v>1045</v>
      </c>
      <c r="D538" s="512">
        <v>11.98</v>
      </c>
      <c r="E538" s="512" t="s">
        <v>45</v>
      </c>
      <c r="F538" s="512">
        <v>2</v>
      </c>
      <c r="G538" s="512" t="s">
        <v>45</v>
      </c>
      <c r="H538" s="512">
        <v>1</v>
      </c>
      <c r="I538" s="512" t="s">
        <v>46</v>
      </c>
      <c r="J538" s="512">
        <f t="shared" si="49"/>
        <v>23.96</v>
      </c>
    </row>
    <row r="539" spans="1:11" s="140" customFormat="1" ht="18" customHeight="1" x14ac:dyDescent="0.2">
      <c r="A539" s="671"/>
      <c r="B539" s="1726"/>
      <c r="C539" s="512" t="s">
        <v>1046</v>
      </c>
      <c r="D539" s="512">
        <v>12</v>
      </c>
      <c r="E539" s="512" t="s">
        <v>45</v>
      </c>
      <c r="F539" s="512">
        <v>2</v>
      </c>
      <c r="G539" s="512" t="s">
        <v>45</v>
      </c>
      <c r="H539" s="512">
        <v>1</v>
      </c>
      <c r="I539" s="512" t="s">
        <v>46</v>
      </c>
      <c r="J539" s="512">
        <f t="shared" si="49"/>
        <v>24</v>
      </c>
    </row>
    <row r="540" spans="1:11" s="140" customFormat="1" ht="18" customHeight="1" x14ac:dyDescent="0.2">
      <c r="A540" s="671"/>
      <c r="B540" s="1727"/>
      <c r="C540" s="512" t="s">
        <v>1193</v>
      </c>
      <c r="D540" s="512">
        <v>2.89</v>
      </c>
      <c r="E540" s="512" t="s">
        <v>45</v>
      </c>
      <c r="F540" s="512">
        <v>2</v>
      </c>
      <c r="G540" s="512" t="s">
        <v>45</v>
      </c>
      <c r="H540" s="512">
        <v>1</v>
      </c>
      <c r="I540" s="512" t="s">
        <v>46</v>
      </c>
      <c r="J540" s="512">
        <f t="shared" si="49"/>
        <v>5.78</v>
      </c>
    </row>
    <row r="541" spans="1:11" s="140" customFormat="1" ht="18" customHeight="1" x14ac:dyDescent="0.2">
      <c r="A541" s="671"/>
      <c r="B541" s="1725" t="s">
        <v>1145</v>
      </c>
      <c r="C541" s="512" t="s">
        <v>1047</v>
      </c>
      <c r="D541" s="512">
        <v>2.0499999999999998</v>
      </c>
      <c r="E541" s="512" t="s">
        <v>45</v>
      </c>
      <c r="F541" s="512">
        <v>2</v>
      </c>
      <c r="G541" s="512" t="s">
        <v>45</v>
      </c>
      <c r="H541" s="512">
        <v>1</v>
      </c>
      <c r="I541" s="512" t="s">
        <v>46</v>
      </c>
      <c r="J541" s="512">
        <f t="shared" si="49"/>
        <v>4.0999999999999996</v>
      </c>
    </row>
    <row r="542" spans="1:11" s="140" customFormat="1" ht="18" customHeight="1" x14ac:dyDescent="0.2">
      <c r="A542" s="671"/>
      <c r="B542" s="1727"/>
      <c r="C542" s="512" t="s">
        <v>1048</v>
      </c>
      <c r="D542" s="512">
        <v>2.75</v>
      </c>
      <c r="E542" s="512" t="s">
        <v>45</v>
      </c>
      <c r="F542" s="512">
        <v>2</v>
      </c>
      <c r="G542" s="512" t="s">
        <v>45</v>
      </c>
      <c r="H542" s="512">
        <v>1</v>
      </c>
      <c r="I542" s="512" t="s">
        <v>46</v>
      </c>
      <c r="J542" s="512">
        <f t="shared" si="49"/>
        <v>5.5</v>
      </c>
    </row>
    <row r="543" spans="1:11" s="140" customFormat="1" ht="18" customHeight="1" x14ac:dyDescent="0.2">
      <c r="A543" s="671"/>
      <c r="B543" s="247" t="s">
        <v>1229</v>
      </c>
      <c r="C543" s="512" t="s">
        <v>1049</v>
      </c>
      <c r="D543" s="512">
        <v>6.36</v>
      </c>
      <c r="E543" s="512" t="s">
        <v>45</v>
      </c>
      <c r="F543" s="512">
        <v>2</v>
      </c>
      <c r="G543" s="512" t="s">
        <v>45</v>
      </c>
      <c r="H543" s="512">
        <v>1</v>
      </c>
      <c r="I543" s="512" t="s">
        <v>46</v>
      </c>
      <c r="J543" s="512">
        <f t="shared" si="49"/>
        <v>12.72</v>
      </c>
    </row>
    <row r="544" spans="1:11" s="21" customFormat="1" ht="12" customHeight="1" x14ac:dyDescent="0.2">
      <c r="A544" s="529"/>
      <c r="B544" s="710"/>
      <c r="C544" s="710"/>
      <c r="D544" s="710"/>
      <c r="E544" s="710"/>
      <c r="F544" s="710"/>
      <c r="G544" s="710"/>
      <c r="H544" s="710"/>
      <c r="I544" s="710"/>
    </row>
    <row r="545" spans="1:10" s="140" customFormat="1" ht="17.25" customHeight="1" x14ac:dyDescent="0.2">
      <c r="A545" s="671"/>
      <c r="B545" s="672"/>
      <c r="C545" s="512" t="s">
        <v>614</v>
      </c>
      <c r="D545" s="521"/>
      <c r="E545" s="512" t="s">
        <v>928</v>
      </c>
      <c r="F545" s="521"/>
      <c r="G545" s="681" t="s">
        <v>967</v>
      </c>
      <c r="H545" s="755"/>
      <c r="I545" s="672"/>
    </row>
    <row r="546" spans="1:10" s="685" customFormat="1" ht="30" customHeight="1" x14ac:dyDescent="0.2">
      <c r="A546" s="682"/>
      <c r="B546" s="686" t="s">
        <v>929</v>
      </c>
      <c r="C546" s="678">
        <f>ROUND(SUM(J536:J544),2)</f>
        <v>79.36</v>
      </c>
      <c r="D546" s="678" t="s">
        <v>45</v>
      </c>
      <c r="E546" s="683">
        <v>0.61699999999999999</v>
      </c>
      <c r="F546" s="512" t="s">
        <v>46</v>
      </c>
      <c r="G546" s="681">
        <f>ROUND(C546*E546,2)</f>
        <v>48.97</v>
      </c>
      <c r="H546" s="755"/>
      <c r="I546" s="684"/>
    </row>
    <row r="547" spans="1:10" s="21" customFormat="1" x14ac:dyDescent="0.2"/>
    <row r="548" spans="1:10" s="720" customFormat="1" x14ac:dyDescent="0.2">
      <c r="B548" s="207" t="str">
        <f>ORÇ!A90</f>
        <v>5.4.5</v>
      </c>
      <c r="C548" s="1740" t="str">
        <f>ORÇ!D90</f>
        <v>CONCRETO FCK = 25MPA, TRAÇO 1:2,3:2,7 (EM MASSA SECA DE CIMENTO/ AREIA MÉDIA/ BRITA 1) - PREPARO MECÂNICO COM BETONEIRA 400 L. AF_05/2021</v>
      </c>
      <c r="D548" s="1740"/>
      <c r="E548" s="1740"/>
      <c r="F548" s="1740"/>
      <c r="G548" s="1740"/>
      <c r="H548" s="1740"/>
      <c r="I548" s="1740"/>
      <c r="J548" s="1740"/>
    </row>
    <row r="549" spans="1:10" s="720" customFormat="1" x14ac:dyDescent="0.2">
      <c r="B549" s="207"/>
      <c r="C549" s="705"/>
      <c r="D549" s="705"/>
      <c r="E549" s="206"/>
      <c r="F549" s="206"/>
      <c r="G549" s="206"/>
      <c r="H549" s="206"/>
      <c r="I549" s="206"/>
    </row>
    <row r="550" spans="1:10" s="602" customFormat="1" ht="38.25" customHeight="1" x14ac:dyDescent="0.2">
      <c r="A550" s="671"/>
      <c r="B550" s="512" t="s">
        <v>616</v>
      </c>
      <c r="C550" s="512" t="s">
        <v>753</v>
      </c>
      <c r="D550" s="512"/>
      <c r="E550" s="512" t="s">
        <v>1196</v>
      </c>
      <c r="F550" s="512"/>
      <c r="G550" s="512" t="s">
        <v>469</v>
      </c>
      <c r="H550" s="512"/>
      <c r="I550" s="512" t="s">
        <v>312</v>
      </c>
    </row>
    <row r="551" spans="1:10" s="602" customFormat="1" ht="17.25" customHeight="1" x14ac:dyDescent="0.2">
      <c r="A551" s="671"/>
      <c r="B551" s="247" t="str">
        <f>B463</f>
        <v>V1</v>
      </c>
      <c r="C551" s="45">
        <f>C463</f>
        <v>15.55</v>
      </c>
      <c r="D551" s="512" t="s">
        <v>45</v>
      </c>
      <c r="E551" s="512">
        <f>(0.2*0.15)</f>
        <v>0.03</v>
      </c>
      <c r="F551" s="512" t="s">
        <v>45</v>
      </c>
      <c r="G551" s="512">
        <v>1</v>
      </c>
      <c r="H551" s="512" t="s">
        <v>46</v>
      </c>
      <c r="I551" s="512">
        <f>ROUND(C551*E551*G551,2)</f>
        <v>0.47</v>
      </c>
    </row>
    <row r="552" spans="1:10" s="140" customFormat="1" ht="17.25" customHeight="1" x14ac:dyDescent="0.2">
      <c r="A552" s="671"/>
      <c r="B552" s="247" t="str">
        <f t="shared" ref="B552:C552" si="50">B464</f>
        <v>V2</v>
      </c>
      <c r="C552" s="45">
        <f t="shared" si="50"/>
        <v>4</v>
      </c>
      <c r="D552" s="512" t="s">
        <v>45</v>
      </c>
      <c r="E552" s="512">
        <f t="shared" ref="E552:E559" si="51">(0.2*0.15)</f>
        <v>0.03</v>
      </c>
      <c r="F552" s="512" t="s">
        <v>45</v>
      </c>
      <c r="G552" s="512">
        <v>1</v>
      </c>
      <c r="H552" s="512" t="s">
        <v>46</v>
      </c>
      <c r="I552" s="512">
        <f t="shared" ref="I552:I559" si="52">ROUND(C552*E552*G552,2)</f>
        <v>0.12</v>
      </c>
    </row>
    <row r="553" spans="1:10" s="140" customFormat="1" ht="17.25" customHeight="1" x14ac:dyDescent="0.2">
      <c r="A553" s="671"/>
      <c r="B553" s="247" t="str">
        <f t="shared" ref="B553:C553" si="53">B465</f>
        <v>V3</v>
      </c>
      <c r="C553" s="45">
        <f t="shared" si="53"/>
        <v>7.7</v>
      </c>
      <c r="D553" s="512" t="s">
        <v>45</v>
      </c>
      <c r="E553" s="512">
        <f t="shared" si="51"/>
        <v>0.03</v>
      </c>
      <c r="F553" s="512" t="s">
        <v>45</v>
      </c>
      <c r="G553" s="512">
        <v>1</v>
      </c>
      <c r="H553" s="512" t="s">
        <v>46</v>
      </c>
      <c r="I553" s="512">
        <f t="shared" si="52"/>
        <v>0.23</v>
      </c>
    </row>
    <row r="554" spans="1:10" s="140" customFormat="1" ht="17.25" customHeight="1" x14ac:dyDescent="0.2">
      <c r="A554" s="671"/>
      <c r="B554" s="247" t="str">
        <f t="shared" ref="B554:C554" si="54">B466</f>
        <v>V4</v>
      </c>
      <c r="C554" s="45">
        <f t="shared" si="54"/>
        <v>23.5</v>
      </c>
      <c r="D554" s="512" t="s">
        <v>45</v>
      </c>
      <c r="E554" s="512">
        <f t="shared" si="51"/>
        <v>0.03</v>
      </c>
      <c r="F554" s="512" t="s">
        <v>45</v>
      </c>
      <c r="G554" s="512">
        <v>1</v>
      </c>
      <c r="H554" s="512" t="s">
        <v>46</v>
      </c>
      <c r="I554" s="512">
        <f t="shared" si="52"/>
        <v>0.71</v>
      </c>
    </row>
    <row r="555" spans="1:10" s="140" customFormat="1" ht="17.25" customHeight="1" x14ac:dyDescent="0.2">
      <c r="A555" s="671"/>
      <c r="B555" s="247" t="str">
        <f t="shared" ref="B555:C555" si="55">B467</f>
        <v>V5</v>
      </c>
      <c r="C555" s="45">
        <f t="shared" si="55"/>
        <v>2.0499999999999998</v>
      </c>
      <c r="D555" s="512" t="s">
        <v>45</v>
      </c>
      <c r="E555" s="512">
        <f t="shared" si="51"/>
        <v>0.03</v>
      </c>
      <c r="F555" s="512" t="s">
        <v>45</v>
      </c>
      <c r="G555" s="512">
        <v>1</v>
      </c>
      <c r="H555" s="512" t="s">
        <v>46</v>
      </c>
      <c r="I555" s="512">
        <f t="shared" si="52"/>
        <v>0.06</v>
      </c>
    </row>
    <row r="556" spans="1:10" s="140" customFormat="1" ht="17.25" customHeight="1" x14ac:dyDescent="0.2">
      <c r="A556" s="671"/>
      <c r="B556" s="247" t="str">
        <f t="shared" ref="B556:C556" si="56">B468</f>
        <v>V6</v>
      </c>
      <c r="C556" s="45">
        <f t="shared" si="56"/>
        <v>5.45</v>
      </c>
      <c r="D556" s="512" t="s">
        <v>45</v>
      </c>
      <c r="E556" s="512">
        <f t="shared" si="51"/>
        <v>0.03</v>
      </c>
      <c r="F556" s="512" t="s">
        <v>45</v>
      </c>
      <c r="G556" s="512">
        <v>1</v>
      </c>
      <c r="H556" s="512" t="s">
        <v>46</v>
      </c>
      <c r="I556" s="512">
        <f t="shared" si="52"/>
        <v>0.16</v>
      </c>
    </row>
    <row r="557" spans="1:10" s="140" customFormat="1" ht="17.25" customHeight="1" x14ac:dyDescent="0.2">
      <c r="A557" s="671"/>
      <c r="B557" s="247" t="str">
        <f t="shared" ref="B557:C557" si="57">B469</f>
        <v>V7</v>
      </c>
      <c r="C557" s="45">
        <f t="shared" si="57"/>
        <v>23.1</v>
      </c>
      <c r="D557" s="512" t="s">
        <v>45</v>
      </c>
      <c r="E557" s="512">
        <f t="shared" si="51"/>
        <v>0.03</v>
      </c>
      <c r="F557" s="512" t="s">
        <v>45</v>
      </c>
      <c r="G557" s="512">
        <v>1</v>
      </c>
      <c r="H557" s="512" t="s">
        <v>46</v>
      </c>
      <c r="I557" s="512">
        <f t="shared" si="52"/>
        <v>0.69</v>
      </c>
    </row>
    <row r="558" spans="1:10" s="140" customFormat="1" ht="20.25" customHeight="1" x14ac:dyDescent="0.2">
      <c r="A558" s="671"/>
      <c r="B558" s="247" t="str">
        <f t="shared" ref="B558:C558" si="58">B470</f>
        <v>V8</v>
      </c>
      <c r="C558" s="45">
        <f t="shared" si="58"/>
        <v>4.05</v>
      </c>
      <c r="D558" s="512" t="s">
        <v>45</v>
      </c>
      <c r="E558" s="512">
        <f t="shared" si="51"/>
        <v>0.03</v>
      </c>
      <c r="F558" s="512" t="s">
        <v>45</v>
      </c>
      <c r="G558" s="512">
        <v>1</v>
      </c>
      <c r="H558" s="512" t="s">
        <v>46</v>
      </c>
      <c r="I558" s="512">
        <f t="shared" si="52"/>
        <v>0.12</v>
      </c>
    </row>
    <row r="559" spans="1:10" s="140" customFormat="1" ht="17.25" customHeight="1" x14ac:dyDescent="0.2">
      <c r="A559" s="671"/>
      <c r="B559" s="247" t="str">
        <f t="shared" ref="B559:C559" si="59">B471</f>
        <v>V9</v>
      </c>
      <c r="C559" s="45">
        <f t="shared" si="59"/>
        <v>2.8</v>
      </c>
      <c r="D559" s="512" t="s">
        <v>45</v>
      </c>
      <c r="E559" s="512">
        <f t="shared" si="51"/>
        <v>0.03</v>
      </c>
      <c r="F559" s="512" t="s">
        <v>45</v>
      </c>
      <c r="G559" s="512">
        <v>1</v>
      </c>
      <c r="H559" s="512" t="s">
        <v>46</v>
      </c>
      <c r="I559" s="512">
        <f t="shared" si="52"/>
        <v>0.08</v>
      </c>
    </row>
    <row r="560" spans="1:10" s="21" customFormat="1" ht="12" customHeight="1" x14ac:dyDescent="0.2">
      <c r="A560" s="529"/>
      <c r="B560" s="710"/>
      <c r="C560" s="710"/>
      <c r="D560" s="710"/>
      <c r="E560" s="710"/>
      <c r="F560" s="710"/>
      <c r="G560" s="710"/>
      <c r="H560" s="710"/>
      <c r="I560" s="710"/>
    </row>
    <row r="561" spans="1:12" s="140" customFormat="1" ht="15.75" customHeight="1" x14ac:dyDescent="0.2">
      <c r="A561" s="671"/>
      <c r="B561" s="659" t="s">
        <v>47</v>
      </c>
      <c r="C561" s="661">
        <f>ROUND(SUM(I551:I560),2)</f>
        <v>2.64</v>
      </c>
      <c r="D561" s="660" t="s">
        <v>497</v>
      </c>
      <c r="E561" s="672"/>
      <c r="F561" s="672"/>
      <c r="G561" s="672"/>
      <c r="H561" s="672"/>
      <c r="I561" s="672"/>
    </row>
    <row r="562" spans="1:12" s="720" customFormat="1" x14ac:dyDescent="0.2">
      <c r="B562" s="207"/>
      <c r="C562" s="705"/>
      <c r="D562" s="705"/>
      <c r="E562" s="206"/>
      <c r="F562" s="206"/>
      <c r="G562" s="206"/>
      <c r="H562" s="206"/>
      <c r="I562" s="206"/>
    </row>
    <row r="563" spans="1:12" s="720" customFormat="1" x14ac:dyDescent="0.2">
      <c r="B563" s="207"/>
      <c r="C563" s="705"/>
      <c r="D563" s="705"/>
      <c r="E563" s="206"/>
      <c r="F563" s="206"/>
      <c r="G563" s="206"/>
      <c r="H563" s="206"/>
      <c r="I563" s="206"/>
      <c r="K563" s="758"/>
      <c r="L563" s="758"/>
    </row>
    <row r="564" spans="1:12" s="720" customFormat="1" x14ac:dyDescent="0.2">
      <c r="B564" s="207" t="str">
        <f>ORÇ!A91</f>
        <v>5.4.6</v>
      </c>
      <c r="C564" s="1740" t="str">
        <f>ORÇ!D91</f>
        <v>LANÇAMENTO COM USO DE BALDES, ADENSAMENTO E ACABAMENTO DE CONCRETO EM ESTRUTURAS. AF_02/2022</v>
      </c>
      <c r="D564" s="1740"/>
      <c r="E564" s="1740"/>
      <c r="F564" s="1740"/>
      <c r="G564" s="1740"/>
      <c r="H564" s="1740"/>
      <c r="I564" s="1740"/>
      <c r="K564" s="758"/>
      <c r="L564" s="758"/>
    </row>
    <row r="565" spans="1:12" s="720" customFormat="1" x14ac:dyDescent="0.2">
      <c r="B565" s="207"/>
      <c r="C565" s="705"/>
      <c r="D565" s="705"/>
      <c r="E565" s="206"/>
      <c r="F565" s="206"/>
      <c r="G565" s="206"/>
      <c r="H565" s="206"/>
      <c r="I565" s="206"/>
    </row>
    <row r="566" spans="1:12" s="21" customFormat="1" ht="14.25" customHeight="1" x14ac:dyDescent="0.2">
      <c r="A566" s="529"/>
      <c r="B566" s="1731" t="s">
        <v>1197</v>
      </c>
      <c r="C566" s="1731"/>
      <c r="D566" s="1731"/>
      <c r="E566" s="1731"/>
      <c r="F566" s="710"/>
      <c r="G566" s="710"/>
      <c r="H566" s="710"/>
      <c r="I566" s="710"/>
    </row>
    <row r="567" spans="1:12" s="140" customFormat="1" ht="15.75" customHeight="1" x14ac:dyDescent="0.2">
      <c r="A567" s="671"/>
      <c r="B567" s="659" t="s">
        <v>47</v>
      </c>
      <c r="C567" s="661">
        <f>C561</f>
        <v>2.64</v>
      </c>
      <c r="D567" s="660" t="s">
        <v>497</v>
      </c>
      <c r="E567" s="672"/>
      <c r="F567" s="672"/>
      <c r="G567" s="672"/>
      <c r="H567" s="672"/>
      <c r="I567" s="672"/>
    </row>
    <row r="568" spans="1:12" s="720" customFormat="1" x14ac:dyDescent="0.2">
      <c r="B568" s="206"/>
      <c r="C568" s="206"/>
      <c r="D568" s="206"/>
      <c r="E568" s="206"/>
      <c r="F568" s="206"/>
      <c r="G568" s="206"/>
      <c r="H568" s="206"/>
      <c r="I568" s="206"/>
    </row>
    <row r="569" spans="1:12" s="720" customFormat="1" x14ac:dyDescent="0.2">
      <c r="B569" s="206"/>
      <c r="C569" s="206"/>
      <c r="D569" s="206"/>
      <c r="E569" s="206"/>
      <c r="F569" s="206"/>
      <c r="G569" s="206"/>
      <c r="H569" s="206"/>
      <c r="I569" s="206"/>
    </row>
    <row r="570" spans="1:12" s="720" customFormat="1" x14ac:dyDescent="0.2">
      <c r="B570" s="206"/>
      <c r="C570" s="206"/>
      <c r="D570" s="206"/>
      <c r="E570" s="206"/>
      <c r="F570" s="206"/>
      <c r="G570" s="206"/>
      <c r="H570" s="206"/>
      <c r="I570" s="206"/>
    </row>
    <row r="571" spans="1:12" s="720" customFormat="1" x14ac:dyDescent="0.2">
      <c r="B571" s="206"/>
      <c r="C571" s="206"/>
      <c r="D571" s="206"/>
      <c r="E571" s="206"/>
      <c r="F571" s="206"/>
      <c r="G571" s="206"/>
      <c r="H571" s="206"/>
      <c r="I571" s="206"/>
    </row>
    <row r="572" spans="1:12" s="720" customFormat="1" x14ac:dyDescent="0.2">
      <c r="B572" s="206"/>
      <c r="C572" s="206"/>
      <c r="D572" s="206"/>
      <c r="E572" s="206"/>
      <c r="F572" s="206"/>
      <c r="G572" s="206"/>
      <c r="H572" s="206"/>
      <c r="I572" s="206"/>
    </row>
    <row r="573" spans="1:12" s="720" customFormat="1" x14ac:dyDescent="0.2">
      <c r="B573" s="206"/>
      <c r="C573" s="206"/>
      <c r="D573" s="206"/>
      <c r="E573" s="206"/>
      <c r="F573" s="206"/>
      <c r="G573" s="206"/>
      <c r="H573" s="206"/>
      <c r="I573" s="206"/>
    </row>
    <row r="574" spans="1:12" s="720" customFormat="1" x14ac:dyDescent="0.2">
      <c r="B574" s="206"/>
      <c r="C574" s="206"/>
      <c r="D574" s="206"/>
      <c r="E574" s="206"/>
      <c r="F574" s="206"/>
      <c r="G574" s="206"/>
      <c r="H574" s="206"/>
      <c r="I574" s="206"/>
    </row>
    <row r="575" spans="1:12" s="720" customFormat="1" x14ac:dyDescent="0.2">
      <c r="B575" s="206"/>
      <c r="C575" s="206"/>
      <c r="D575" s="206"/>
      <c r="E575" s="206"/>
      <c r="F575" s="206"/>
      <c r="G575" s="206"/>
      <c r="H575" s="206"/>
      <c r="I575" s="206"/>
    </row>
    <row r="576" spans="1:12" s="720" customFormat="1" x14ac:dyDescent="0.2">
      <c r="B576" s="206"/>
      <c r="C576" s="206"/>
      <c r="D576" s="206"/>
      <c r="E576" s="206"/>
      <c r="F576" s="206"/>
      <c r="G576" s="206"/>
      <c r="H576" s="206"/>
      <c r="I576" s="206"/>
    </row>
    <row r="577" spans="2:9" s="720" customFormat="1" x14ac:dyDescent="0.2">
      <c r="B577" s="206"/>
      <c r="C577" s="206"/>
      <c r="D577" s="206"/>
      <c r="E577" s="206"/>
      <c r="F577" s="206"/>
      <c r="G577" s="206"/>
      <c r="H577" s="206"/>
      <c r="I577" s="206"/>
    </row>
    <row r="578" spans="2:9" s="720" customFormat="1" x14ac:dyDescent="0.2">
      <c r="B578" s="206"/>
      <c r="C578" s="206"/>
      <c r="D578" s="206"/>
      <c r="E578" s="206"/>
      <c r="F578" s="206"/>
      <c r="G578" s="206"/>
      <c r="H578" s="206"/>
      <c r="I578" s="206"/>
    </row>
    <row r="579" spans="2:9" x14ac:dyDescent="0.2">
      <c r="B579" s="206"/>
      <c r="C579" s="206"/>
      <c r="D579" s="206"/>
      <c r="E579" s="206"/>
      <c r="F579" s="206"/>
      <c r="G579" s="206"/>
      <c r="H579" s="206"/>
      <c r="I579" s="206"/>
    </row>
    <row r="580" spans="2:9" x14ac:dyDescent="0.2">
      <c r="B580" s="206"/>
      <c r="C580" s="206"/>
      <c r="D580" s="206"/>
      <c r="E580" s="206"/>
      <c r="F580" s="206"/>
      <c r="G580" s="206"/>
      <c r="H580" s="206"/>
      <c r="I580" s="206"/>
    </row>
    <row r="581" spans="2:9" x14ac:dyDescent="0.2">
      <c r="B581" s="206"/>
      <c r="C581" s="206"/>
      <c r="D581" s="206"/>
      <c r="E581" s="206"/>
      <c r="F581" s="206"/>
      <c r="G581" s="206"/>
      <c r="H581" s="206"/>
      <c r="I581" s="206"/>
    </row>
    <row r="582" spans="2:9" x14ac:dyDescent="0.2">
      <c r="B582" s="206"/>
      <c r="C582" s="206"/>
      <c r="D582" s="206"/>
      <c r="E582" s="206"/>
      <c r="F582" s="206"/>
      <c r="G582" s="206"/>
      <c r="H582" s="206"/>
      <c r="I582" s="206"/>
    </row>
    <row r="583" spans="2:9" x14ac:dyDescent="0.2">
      <c r="B583" s="206"/>
      <c r="C583" s="206"/>
      <c r="D583" s="206"/>
      <c r="E583" s="206"/>
      <c r="F583" s="206"/>
      <c r="G583" s="206"/>
      <c r="H583" s="206"/>
      <c r="I583" s="206"/>
    </row>
    <row r="584" spans="2:9" x14ac:dyDescent="0.2">
      <c r="B584" s="206"/>
      <c r="C584" s="206"/>
      <c r="D584" s="206"/>
      <c r="E584" s="206"/>
      <c r="F584" s="206"/>
      <c r="G584" s="206"/>
      <c r="H584" s="206"/>
      <c r="I584" s="206"/>
    </row>
    <row r="585" spans="2:9" x14ac:dyDescent="0.2">
      <c r="B585" s="206"/>
      <c r="C585" s="206"/>
      <c r="D585" s="206"/>
      <c r="E585" s="206"/>
      <c r="F585" s="206"/>
      <c r="G585" s="206"/>
      <c r="H585" s="206"/>
      <c r="I585" s="206"/>
    </row>
    <row r="586" spans="2:9" x14ac:dyDescent="0.2">
      <c r="B586" s="206"/>
      <c r="C586" s="206"/>
      <c r="D586" s="206"/>
      <c r="E586" s="206"/>
      <c r="F586" s="206"/>
      <c r="G586" s="206"/>
      <c r="H586" s="206"/>
      <c r="I586" s="206"/>
    </row>
    <row r="587" spans="2:9" x14ac:dyDescent="0.2">
      <c r="B587" s="206"/>
      <c r="C587" s="206"/>
      <c r="D587" s="206"/>
      <c r="E587" s="206"/>
      <c r="F587" s="206"/>
      <c r="G587" s="206"/>
      <c r="H587" s="206"/>
      <c r="I587" s="206"/>
    </row>
    <row r="588" spans="2:9" x14ac:dyDescent="0.2">
      <c r="B588" s="206"/>
      <c r="C588" s="206"/>
      <c r="D588" s="206"/>
      <c r="E588" s="206"/>
      <c r="F588" s="206"/>
      <c r="G588" s="206"/>
      <c r="H588" s="206"/>
      <c r="I588" s="206"/>
    </row>
    <row r="589" spans="2:9" x14ac:dyDescent="0.2">
      <c r="B589" s="206"/>
      <c r="C589" s="206"/>
      <c r="D589" s="206"/>
      <c r="E589" s="206"/>
      <c r="F589" s="206"/>
      <c r="G589" s="206"/>
      <c r="H589" s="206"/>
      <c r="I589" s="206"/>
    </row>
    <row r="590" spans="2:9" x14ac:dyDescent="0.2">
      <c r="B590" s="206"/>
      <c r="C590" s="206"/>
      <c r="D590" s="206"/>
      <c r="E590" s="206"/>
      <c r="F590" s="206"/>
      <c r="G590" s="206"/>
      <c r="H590" s="206"/>
      <c r="I590" s="206"/>
    </row>
    <row r="591" spans="2:9" x14ac:dyDescent="0.2">
      <c r="B591" s="206"/>
      <c r="C591" s="206"/>
      <c r="D591" s="206"/>
      <c r="E591" s="206"/>
      <c r="F591" s="206"/>
      <c r="G591" s="206"/>
      <c r="H591" s="206"/>
      <c r="I591" s="206"/>
    </row>
    <row r="592" spans="2:9" x14ac:dyDescent="0.2">
      <c r="B592" s="206"/>
      <c r="C592" s="206"/>
      <c r="D592" s="206"/>
      <c r="E592" s="206"/>
      <c r="F592" s="206"/>
      <c r="G592" s="206"/>
      <c r="H592" s="206"/>
      <c r="I592" s="206"/>
    </row>
    <row r="593" spans="2:9" x14ac:dyDescent="0.2">
      <c r="B593" s="206"/>
      <c r="C593" s="206"/>
      <c r="D593" s="206"/>
      <c r="E593" s="206"/>
      <c r="F593" s="206"/>
      <c r="G593" s="206"/>
      <c r="H593" s="206"/>
      <c r="I593" s="206"/>
    </row>
    <row r="594" spans="2:9" x14ac:dyDescent="0.2">
      <c r="B594" s="206"/>
      <c r="C594" s="206"/>
      <c r="D594" s="206"/>
      <c r="E594" s="206"/>
      <c r="F594" s="206"/>
      <c r="G594" s="206"/>
      <c r="H594" s="206"/>
      <c r="I594" s="206"/>
    </row>
    <row r="595" spans="2:9" x14ac:dyDescent="0.2">
      <c r="B595" s="206"/>
      <c r="C595" s="206"/>
      <c r="D595" s="206"/>
      <c r="E595" s="206"/>
      <c r="F595" s="206"/>
      <c r="G595" s="206"/>
      <c r="H595" s="206"/>
      <c r="I595" s="206"/>
    </row>
    <row r="596" spans="2:9" x14ac:dyDescent="0.2">
      <c r="B596" s="206"/>
      <c r="C596" s="206"/>
      <c r="D596" s="206"/>
      <c r="E596" s="206"/>
      <c r="F596" s="206"/>
      <c r="G596" s="206"/>
      <c r="H596" s="206"/>
      <c r="I596" s="206"/>
    </row>
    <row r="597" spans="2:9" x14ac:dyDescent="0.2">
      <c r="B597" s="206"/>
      <c r="C597" s="206"/>
      <c r="D597" s="206"/>
      <c r="E597" s="206"/>
      <c r="F597" s="206"/>
      <c r="G597" s="206"/>
      <c r="H597" s="206"/>
      <c r="I597" s="206"/>
    </row>
    <row r="598" spans="2:9" x14ac:dyDescent="0.2">
      <c r="B598" s="206"/>
      <c r="C598" s="206"/>
      <c r="D598" s="206"/>
      <c r="E598" s="206"/>
      <c r="F598" s="206"/>
      <c r="G598" s="206"/>
      <c r="H598" s="206"/>
      <c r="I598" s="206"/>
    </row>
    <row r="599" spans="2:9" x14ac:dyDescent="0.2">
      <c r="B599" s="206"/>
      <c r="C599" s="206"/>
      <c r="D599" s="206"/>
      <c r="E599" s="206"/>
      <c r="F599" s="206"/>
      <c r="G599" s="206"/>
      <c r="H599" s="206"/>
      <c r="I599" s="206"/>
    </row>
    <row r="600" spans="2:9" x14ac:dyDescent="0.2">
      <c r="B600" s="206"/>
      <c r="C600" s="206"/>
      <c r="D600" s="206"/>
      <c r="E600" s="206"/>
      <c r="F600" s="206"/>
      <c r="G600" s="206"/>
      <c r="H600" s="206"/>
      <c r="I600" s="206"/>
    </row>
    <row r="601" spans="2:9" x14ac:dyDescent="0.2">
      <c r="B601" s="206"/>
      <c r="C601" s="206"/>
      <c r="D601" s="206"/>
      <c r="E601" s="206"/>
      <c r="F601" s="206"/>
      <c r="G601" s="206"/>
      <c r="H601" s="206"/>
      <c r="I601" s="206"/>
    </row>
    <row r="602" spans="2:9" x14ac:dyDescent="0.2">
      <c r="B602" s="206"/>
      <c r="C602" s="206"/>
      <c r="D602" s="206"/>
      <c r="E602" s="206"/>
      <c r="F602" s="206"/>
      <c r="G602" s="206"/>
      <c r="H602" s="206"/>
      <c r="I602" s="206"/>
    </row>
    <row r="603" spans="2:9" x14ac:dyDescent="0.2">
      <c r="B603" s="206"/>
      <c r="C603" s="206"/>
      <c r="D603" s="206"/>
      <c r="E603" s="206"/>
      <c r="F603" s="206"/>
      <c r="G603" s="206"/>
      <c r="H603" s="206"/>
      <c r="I603" s="206"/>
    </row>
    <row r="604" spans="2:9" x14ac:dyDescent="0.2">
      <c r="B604" s="206"/>
      <c r="C604" s="206"/>
      <c r="D604" s="206"/>
      <c r="E604" s="206"/>
      <c r="F604" s="206"/>
      <c r="G604" s="206"/>
      <c r="H604" s="206"/>
      <c r="I604" s="206"/>
    </row>
    <row r="605" spans="2:9" x14ac:dyDescent="0.2">
      <c r="B605" s="206"/>
      <c r="C605" s="206"/>
      <c r="D605" s="206"/>
      <c r="E605" s="206"/>
      <c r="F605" s="206"/>
      <c r="G605" s="206"/>
      <c r="H605" s="206"/>
      <c r="I605" s="206"/>
    </row>
    <row r="606" spans="2:9" x14ac:dyDescent="0.2">
      <c r="B606" s="206"/>
      <c r="C606" s="206"/>
      <c r="D606" s="206"/>
      <c r="E606" s="206"/>
      <c r="F606" s="206"/>
      <c r="G606" s="206"/>
      <c r="H606" s="206"/>
      <c r="I606" s="206"/>
    </row>
    <row r="607" spans="2:9" x14ac:dyDescent="0.2">
      <c r="B607" s="206"/>
      <c r="C607" s="206"/>
      <c r="D607" s="206"/>
      <c r="E607" s="206"/>
      <c r="F607" s="206"/>
      <c r="G607" s="206"/>
      <c r="H607" s="206"/>
      <c r="I607" s="206"/>
    </row>
    <row r="608" spans="2:9" x14ac:dyDescent="0.2">
      <c r="B608" s="206"/>
      <c r="C608" s="206"/>
      <c r="D608" s="206"/>
      <c r="E608" s="206"/>
      <c r="F608" s="206"/>
      <c r="G608" s="206"/>
      <c r="H608" s="206"/>
      <c r="I608" s="206"/>
    </row>
    <row r="609" spans="2:9" x14ac:dyDescent="0.2">
      <c r="B609" s="206"/>
      <c r="C609" s="206"/>
      <c r="D609" s="206"/>
      <c r="E609" s="206"/>
      <c r="F609" s="206"/>
      <c r="G609" s="206"/>
      <c r="H609" s="206"/>
      <c r="I609" s="206"/>
    </row>
    <row r="610" spans="2:9" x14ac:dyDescent="0.2">
      <c r="B610" s="206"/>
      <c r="C610" s="206"/>
      <c r="D610" s="206"/>
      <c r="E610" s="206"/>
      <c r="F610" s="206"/>
      <c r="G610" s="206"/>
      <c r="H610" s="206"/>
      <c r="I610" s="206"/>
    </row>
    <row r="611" spans="2:9" x14ac:dyDescent="0.2">
      <c r="B611" s="206"/>
      <c r="C611" s="206"/>
      <c r="D611" s="206"/>
      <c r="E611" s="206"/>
      <c r="F611" s="206"/>
      <c r="G611" s="206"/>
      <c r="H611" s="206"/>
      <c r="I611" s="206"/>
    </row>
    <row r="612" spans="2:9" x14ac:dyDescent="0.2">
      <c r="B612" s="206"/>
      <c r="C612" s="206"/>
      <c r="D612" s="206"/>
      <c r="E612" s="206"/>
      <c r="F612" s="206"/>
      <c r="G612" s="206"/>
      <c r="H612" s="206"/>
      <c r="I612" s="206"/>
    </row>
    <row r="613" spans="2:9" x14ac:dyDescent="0.2">
      <c r="B613" s="206"/>
      <c r="C613" s="206"/>
      <c r="D613" s="206"/>
      <c r="E613" s="206"/>
      <c r="F613" s="206"/>
      <c r="G613" s="206"/>
      <c r="H613" s="206"/>
      <c r="I613" s="206"/>
    </row>
    <row r="614" spans="2:9" ht="27.75" customHeight="1" x14ac:dyDescent="0.2">
      <c r="B614" s="206"/>
      <c r="C614" s="206"/>
      <c r="D614" s="206"/>
      <c r="E614" s="206"/>
      <c r="F614" s="206"/>
      <c r="G614" s="206"/>
      <c r="H614" s="206"/>
      <c r="I614" s="206"/>
    </row>
    <row r="615" spans="2:9" x14ac:dyDescent="0.2">
      <c r="B615" s="206"/>
      <c r="C615" s="206"/>
      <c r="D615" s="206"/>
      <c r="E615" s="206"/>
      <c r="F615" s="206"/>
      <c r="G615" s="206"/>
      <c r="H615" s="206"/>
      <c r="I615" s="206"/>
    </row>
    <row r="616" spans="2:9" x14ac:dyDescent="0.2">
      <c r="B616" s="206"/>
      <c r="C616" s="206"/>
      <c r="D616" s="206"/>
      <c r="E616" s="206"/>
      <c r="F616" s="206"/>
      <c r="G616" s="206"/>
      <c r="H616" s="206"/>
      <c r="I616" s="206"/>
    </row>
    <row r="617" spans="2:9" x14ac:dyDescent="0.2">
      <c r="B617" s="206"/>
      <c r="C617" s="206"/>
      <c r="D617" s="206"/>
      <c r="E617" s="206"/>
      <c r="F617" s="206"/>
      <c r="G617" s="206"/>
      <c r="H617" s="206"/>
      <c r="I617" s="206"/>
    </row>
    <row r="618" spans="2:9" ht="34.5" customHeight="1" x14ac:dyDescent="0.2">
      <c r="B618" s="206"/>
      <c r="C618" s="206"/>
      <c r="D618" s="206"/>
      <c r="E618" s="206"/>
      <c r="F618" s="206"/>
      <c r="G618" s="206"/>
      <c r="H618" s="206"/>
      <c r="I618" s="206"/>
    </row>
    <row r="619" spans="2:9" x14ac:dyDescent="0.2">
      <c r="B619" s="206"/>
      <c r="C619" s="206"/>
      <c r="D619" s="206"/>
      <c r="E619" s="206"/>
      <c r="F619" s="206"/>
      <c r="G619" s="206"/>
      <c r="H619" s="206"/>
      <c r="I619" s="206"/>
    </row>
    <row r="620" spans="2:9" x14ac:dyDescent="0.2">
      <c r="B620" s="206"/>
      <c r="C620" s="206"/>
      <c r="D620" s="206"/>
      <c r="E620" s="206"/>
      <c r="F620" s="206"/>
      <c r="G620" s="206"/>
      <c r="H620" s="206"/>
      <c r="I620" s="206"/>
    </row>
    <row r="621" spans="2:9" x14ac:dyDescent="0.2">
      <c r="B621" s="206"/>
      <c r="C621" s="206"/>
      <c r="D621" s="206"/>
      <c r="E621" s="206"/>
      <c r="F621" s="206"/>
      <c r="G621" s="206"/>
      <c r="H621" s="206"/>
      <c r="I621" s="206"/>
    </row>
    <row r="622" spans="2:9" x14ac:dyDescent="0.2">
      <c r="B622" s="206"/>
      <c r="C622" s="206"/>
      <c r="D622" s="206"/>
      <c r="E622" s="206"/>
      <c r="F622" s="206"/>
      <c r="G622" s="206"/>
      <c r="H622" s="206"/>
      <c r="I622" s="206"/>
    </row>
    <row r="623" spans="2:9" x14ac:dyDescent="0.2">
      <c r="B623" s="206"/>
      <c r="C623" s="206"/>
      <c r="D623" s="206"/>
      <c r="E623" s="206"/>
      <c r="F623" s="206"/>
      <c r="G623" s="206"/>
      <c r="H623" s="206"/>
      <c r="I623" s="206"/>
    </row>
    <row r="624" spans="2:9" x14ac:dyDescent="0.2">
      <c r="B624" s="206"/>
      <c r="C624" s="206"/>
      <c r="D624" s="206"/>
      <c r="E624" s="206"/>
      <c r="F624" s="206"/>
      <c r="G624" s="206"/>
      <c r="H624" s="206"/>
      <c r="I624" s="206"/>
    </row>
    <row r="625" spans="2:9" x14ac:dyDescent="0.2">
      <c r="B625" s="206"/>
      <c r="C625" s="206"/>
      <c r="D625" s="206"/>
      <c r="E625" s="206"/>
      <c r="F625" s="206"/>
      <c r="G625" s="206"/>
      <c r="H625" s="206"/>
      <c r="I625" s="206"/>
    </row>
    <row r="626" spans="2:9" x14ac:dyDescent="0.2">
      <c r="B626" s="206"/>
      <c r="C626" s="206"/>
      <c r="D626" s="206"/>
      <c r="E626" s="206"/>
      <c r="F626" s="206"/>
      <c r="G626" s="206"/>
      <c r="H626" s="206"/>
      <c r="I626" s="206"/>
    </row>
    <row r="627" spans="2:9" x14ac:dyDescent="0.2">
      <c r="B627" s="206"/>
      <c r="C627" s="206"/>
      <c r="D627" s="206"/>
      <c r="E627" s="206"/>
      <c r="F627" s="206"/>
      <c r="G627" s="206"/>
      <c r="H627" s="206"/>
      <c r="I627" s="206"/>
    </row>
    <row r="628" spans="2:9" x14ac:dyDescent="0.2">
      <c r="B628" s="206"/>
      <c r="C628" s="206"/>
      <c r="D628" s="206"/>
      <c r="E628" s="206"/>
      <c r="F628" s="206"/>
      <c r="G628" s="206"/>
      <c r="H628" s="206"/>
      <c r="I628" s="206"/>
    </row>
    <row r="629" spans="2:9" x14ac:dyDescent="0.2">
      <c r="B629" s="206"/>
      <c r="C629" s="206"/>
      <c r="D629" s="206"/>
      <c r="E629" s="206"/>
      <c r="F629" s="206"/>
      <c r="G629" s="206"/>
      <c r="H629" s="206"/>
      <c r="I629" s="206"/>
    </row>
    <row r="630" spans="2:9" x14ac:dyDescent="0.2">
      <c r="B630" s="206"/>
      <c r="C630" s="206"/>
      <c r="D630" s="206"/>
      <c r="E630" s="206"/>
      <c r="F630" s="206"/>
      <c r="G630" s="206"/>
      <c r="H630" s="206"/>
      <c r="I630" s="206"/>
    </row>
    <row r="631" spans="2:9" x14ac:dyDescent="0.2">
      <c r="B631" s="206"/>
      <c r="C631" s="206"/>
      <c r="D631" s="206"/>
      <c r="E631" s="206"/>
      <c r="F631" s="206"/>
      <c r="G631" s="206"/>
      <c r="H631" s="206"/>
      <c r="I631" s="206"/>
    </row>
    <row r="632" spans="2:9" x14ac:dyDescent="0.2">
      <c r="B632" s="206"/>
      <c r="C632" s="206"/>
      <c r="D632" s="206"/>
      <c r="E632" s="206"/>
      <c r="F632" s="206"/>
      <c r="G632" s="206"/>
      <c r="H632" s="206"/>
      <c r="I632" s="206"/>
    </row>
    <row r="633" spans="2:9" x14ac:dyDescent="0.2">
      <c r="B633" s="206"/>
      <c r="C633" s="206"/>
      <c r="D633" s="206"/>
      <c r="E633" s="206"/>
      <c r="F633" s="206"/>
      <c r="G633" s="206"/>
      <c r="H633" s="206"/>
      <c r="I633" s="206"/>
    </row>
    <row r="634" spans="2:9" x14ac:dyDescent="0.2">
      <c r="B634" s="206"/>
      <c r="C634" s="206"/>
      <c r="D634" s="206"/>
      <c r="E634" s="206"/>
      <c r="F634" s="206"/>
      <c r="G634" s="206"/>
      <c r="H634" s="206"/>
      <c r="I634" s="206"/>
    </row>
    <row r="635" spans="2:9" x14ac:dyDescent="0.2">
      <c r="B635" s="206"/>
      <c r="C635" s="206"/>
      <c r="D635" s="206"/>
      <c r="E635" s="206"/>
      <c r="F635" s="206"/>
      <c r="G635" s="206"/>
      <c r="H635" s="206"/>
      <c r="I635" s="206"/>
    </row>
    <row r="636" spans="2:9" x14ac:dyDescent="0.2">
      <c r="B636" s="206"/>
      <c r="C636" s="206"/>
      <c r="D636" s="206"/>
      <c r="E636" s="206"/>
      <c r="F636" s="206"/>
      <c r="G636" s="206"/>
      <c r="H636" s="206"/>
      <c r="I636" s="206"/>
    </row>
    <row r="637" spans="2:9" x14ac:dyDescent="0.2">
      <c r="B637" s="206"/>
      <c r="C637" s="206"/>
      <c r="D637" s="206"/>
      <c r="E637" s="206"/>
      <c r="F637" s="206"/>
      <c r="G637" s="206"/>
      <c r="H637" s="206"/>
      <c r="I637" s="206"/>
    </row>
    <row r="638" spans="2:9" x14ac:dyDescent="0.2">
      <c r="B638" s="206"/>
      <c r="C638" s="206"/>
      <c r="D638" s="206"/>
      <c r="E638" s="206"/>
      <c r="F638" s="206"/>
      <c r="G638" s="206"/>
      <c r="H638" s="206"/>
      <c r="I638" s="206"/>
    </row>
    <row r="639" spans="2:9" x14ac:dyDescent="0.2">
      <c r="B639" s="206"/>
      <c r="C639" s="206"/>
      <c r="D639" s="206"/>
      <c r="E639" s="206"/>
      <c r="F639" s="206"/>
      <c r="G639" s="206"/>
      <c r="H639" s="206"/>
      <c r="I639" s="206"/>
    </row>
    <row r="640" spans="2:9" x14ac:dyDescent="0.2">
      <c r="B640" s="206"/>
      <c r="C640" s="206"/>
      <c r="D640" s="206"/>
      <c r="E640" s="206"/>
      <c r="F640" s="206"/>
      <c r="G640" s="206"/>
      <c r="H640" s="206"/>
      <c r="I640" s="206"/>
    </row>
    <row r="641" spans="2:9" x14ac:dyDescent="0.2">
      <c r="B641" s="206"/>
      <c r="C641" s="206"/>
      <c r="D641" s="206"/>
      <c r="E641" s="206"/>
      <c r="F641" s="206"/>
      <c r="G641" s="206"/>
      <c r="H641" s="206"/>
      <c r="I641" s="206"/>
    </row>
    <row r="642" spans="2:9" x14ac:dyDescent="0.2">
      <c r="B642" s="206"/>
      <c r="C642" s="206"/>
      <c r="D642" s="206"/>
      <c r="E642" s="206"/>
      <c r="F642" s="206"/>
      <c r="G642" s="206"/>
      <c r="H642" s="206"/>
      <c r="I642" s="206"/>
    </row>
    <row r="643" spans="2:9" x14ac:dyDescent="0.2">
      <c r="B643" s="206"/>
      <c r="C643" s="206"/>
      <c r="D643" s="206"/>
      <c r="E643" s="206"/>
      <c r="F643" s="206"/>
      <c r="G643" s="206"/>
      <c r="H643" s="206"/>
      <c r="I643" s="206"/>
    </row>
    <row r="644" spans="2:9" x14ac:dyDescent="0.2">
      <c r="B644" s="206"/>
      <c r="C644" s="206"/>
      <c r="D644" s="206"/>
      <c r="E644" s="206"/>
      <c r="F644" s="206"/>
      <c r="G644" s="206"/>
      <c r="H644" s="206"/>
      <c r="I644" s="206"/>
    </row>
    <row r="645" spans="2:9" x14ac:dyDescent="0.2">
      <c r="B645" s="206"/>
      <c r="C645" s="206"/>
      <c r="D645" s="206"/>
      <c r="E645" s="206"/>
      <c r="F645" s="206"/>
      <c r="G645" s="206"/>
      <c r="H645" s="206"/>
      <c r="I645" s="206"/>
    </row>
    <row r="646" spans="2:9" x14ac:dyDescent="0.2">
      <c r="B646" s="206"/>
      <c r="C646" s="206"/>
      <c r="D646" s="206"/>
      <c r="E646" s="206"/>
      <c r="F646" s="206"/>
      <c r="G646" s="206"/>
      <c r="H646" s="206"/>
      <c r="I646" s="206"/>
    </row>
    <row r="647" spans="2:9" x14ac:dyDescent="0.2">
      <c r="B647" s="206"/>
      <c r="C647" s="206"/>
      <c r="D647" s="206"/>
      <c r="E647" s="206"/>
      <c r="F647" s="206"/>
      <c r="G647" s="206"/>
      <c r="H647" s="206"/>
      <c r="I647" s="206"/>
    </row>
    <row r="648" spans="2:9" x14ac:dyDescent="0.2">
      <c r="B648" s="206"/>
      <c r="C648" s="206"/>
      <c r="D648" s="206"/>
      <c r="E648" s="206"/>
      <c r="F648" s="206"/>
      <c r="G648" s="206"/>
      <c r="H648" s="206"/>
      <c r="I648" s="206"/>
    </row>
    <row r="649" spans="2:9" x14ac:dyDescent="0.2">
      <c r="B649" s="206"/>
      <c r="C649" s="206"/>
      <c r="D649" s="206"/>
      <c r="E649" s="206"/>
      <c r="F649" s="206"/>
      <c r="G649" s="206"/>
      <c r="H649" s="206"/>
      <c r="I649" s="206"/>
    </row>
    <row r="650" spans="2:9" x14ac:dyDescent="0.2">
      <c r="B650" s="206"/>
      <c r="C650" s="206"/>
      <c r="D650" s="206"/>
      <c r="E650" s="206"/>
      <c r="F650" s="206"/>
      <c r="G650" s="206"/>
      <c r="H650" s="206"/>
      <c r="I650" s="206"/>
    </row>
    <row r="651" spans="2:9" x14ac:dyDescent="0.2">
      <c r="B651" s="206"/>
      <c r="C651" s="206"/>
      <c r="D651" s="206"/>
      <c r="E651" s="206"/>
      <c r="F651" s="206"/>
      <c r="G651" s="206"/>
      <c r="H651" s="206"/>
      <c r="I651" s="206"/>
    </row>
    <row r="652" spans="2:9" x14ac:dyDescent="0.2">
      <c r="B652" s="206"/>
      <c r="C652" s="206"/>
      <c r="D652" s="206"/>
      <c r="E652" s="206"/>
      <c r="F652" s="206"/>
      <c r="G652" s="206"/>
      <c r="H652" s="206"/>
      <c r="I652" s="206"/>
    </row>
    <row r="653" spans="2:9" x14ac:dyDescent="0.2">
      <c r="B653" s="206"/>
      <c r="C653" s="206"/>
      <c r="D653" s="206"/>
      <c r="E653" s="206"/>
      <c r="F653" s="206"/>
      <c r="G653" s="206"/>
      <c r="H653" s="206"/>
      <c r="I653" s="206"/>
    </row>
    <row r="654" spans="2:9" x14ac:dyDescent="0.2">
      <c r="B654" s="206"/>
      <c r="C654" s="206"/>
      <c r="D654" s="206"/>
      <c r="E654" s="206"/>
      <c r="F654" s="206"/>
      <c r="G654" s="206"/>
      <c r="H654" s="206"/>
      <c r="I654" s="206"/>
    </row>
    <row r="655" spans="2:9" x14ac:dyDescent="0.2">
      <c r="B655" s="206"/>
      <c r="C655" s="206"/>
      <c r="D655" s="206"/>
      <c r="E655" s="206"/>
      <c r="F655" s="206"/>
      <c r="G655" s="206"/>
      <c r="H655" s="206"/>
      <c r="I655" s="206"/>
    </row>
    <row r="656" spans="2:9" x14ac:dyDescent="0.2">
      <c r="B656" s="206"/>
      <c r="C656" s="206"/>
      <c r="D656" s="206"/>
      <c r="E656" s="206"/>
      <c r="F656" s="206"/>
      <c r="G656" s="206"/>
      <c r="H656" s="206"/>
      <c r="I656" s="206"/>
    </row>
    <row r="657" spans="2:9" x14ac:dyDescent="0.2">
      <c r="B657" s="206"/>
      <c r="C657" s="206"/>
      <c r="D657" s="206"/>
      <c r="E657" s="206"/>
      <c r="F657" s="206"/>
      <c r="G657" s="206"/>
      <c r="H657" s="206"/>
      <c r="I657" s="206"/>
    </row>
    <row r="658" spans="2:9" x14ac:dyDescent="0.2">
      <c r="B658" s="206"/>
      <c r="C658" s="206"/>
      <c r="D658" s="206"/>
      <c r="E658" s="206"/>
      <c r="F658" s="206"/>
      <c r="G658" s="206"/>
      <c r="H658" s="206"/>
      <c r="I658" s="206"/>
    </row>
    <row r="659" spans="2:9" x14ac:dyDescent="0.2">
      <c r="B659" s="206"/>
      <c r="C659" s="206"/>
      <c r="D659" s="206"/>
      <c r="E659" s="206"/>
      <c r="F659" s="206"/>
      <c r="G659" s="206"/>
      <c r="H659" s="206"/>
      <c r="I659" s="206"/>
    </row>
    <row r="660" spans="2:9" x14ac:dyDescent="0.2">
      <c r="B660" s="206"/>
      <c r="C660" s="206"/>
      <c r="D660" s="206"/>
      <c r="E660" s="206"/>
      <c r="F660" s="206"/>
      <c r="G660" s="206"/>
      <c r="H660" s="206"/>
      <c r="I660" s="206"/>
    </row>
    <row r="661" spans="2:9" x14ac:dyDescent="0.2">
      <c r="B661" s="206"/>
      <c r="C661" s="206"/>
      <c r="D661" s="206"/>
      <c r="E661" s="206"/>
      <c r="F661" s="206"/>
      <c r="G661" s="206"/>
      <c r="H661" s="206"/>
      <c r="I661" s="206"/>
    </row>
    <row r="662" spans="2:9" x14ac:dyDescent="0.2">
      <c r="B662" s="206"/>
      <c r="C662" s="206"/>
      <c r="D662" s="206"/>
      <c r="E662" s="206"/>
      <c r="F662" s="206"/>
      <c r="G662" s="206"/>
      <c r="H662" s="206"/>
      <c r="I662" s="206"/>
    </row>
    <row r="663" spans="2:9" x14ac:dyDescent="0.2">
      <c r="B663" s="206"/>
      <c r="C663" s="206"/>
      <c r="D663" s="206"/>
      <c r="E663" s="206"/>
      <c r="F663" s="206"/>
      <c r="G663" s="206"/>
      <c r="H663" s="206"/>
      <c r="I663" s="206"/>
    </row>
    <row r="664" spans="2:9" x14ac:dyDescent="0.2">
      <c r="B664" s="206"/>
      <c r="C664" s="206"/>
      <c r="D664" s="206"/>
      <c r="E664" s="206"/>
      <c r="F664" s="206"/>
      <c r="G664" s="206"/>
      <c r="H664" s="206"/>
      <c r="I664" s="206"/>
    </row>
    <row r="665" spans="2:9" x14ac:dyDescent="0.2">
      <c r="B665" s="206"/>
      <c r="C665" s="206"/>
      <c r="D665" s="206"/>
      <c r="E665" s="206"/>
      <c r="F665" s="206"/>
      <c r="G665" s="206"/>
      <c r="H665" s="206"/>
      <c r="I665" s="206"/>
    </row>
    <row r="666" spans="2:9" x14ac:dyDescent="0.2">
      <c r="B666" s="206"/>
      <c r="C666" s="206"/>
      <c r="D666" s="206"/>
      <c r="E666" s="206"/>
      <c r="F666" s="206"/>
      <c r="G666" s="206"/>
      <c r="H666" s="206"/>
      <c r="I666" s="206"/>
    </row>
    <row r="667" spans="2:9" x14ac:dyDescent="0.2">
      <c r="B667" s="206"/>
      <c r="C667" s="206"/>
      <c r="D667" s="206"/>
      <c r="E667" s="206"/>
      <c r="F667" s="206"/>
      <c r="G667" s="206"/>
      <c r="H667" s="206"/>
      <c r="I667" s="206"/>
    </row>
    <row r="668" spans="2:9" x14ac:dyDescent="0.2">
      <c r="B668" s="206"/>
      <c r="C668" s="206"/>
      <c r="D668" s="206"/>
      <c r="E668" s="206"/>
      <c r="F668" s="206"/>
      <c r="G668" s="206"/>
      <c r="H668" s="206"/>
      <c r="I668" s="206"/>
    </row>
    <row r="669" spans="2:9" x14ac:dyDescent="0.2">
      <c r="B669" s="206"/>
      <c r="C669" s="206"/>
      <c r="D669" s="206"/>
      <c r="E669" s="206"/>
      <c r="F669" s="206"/>
      <c r="G669" s="206"/>
      <c r="H669" s="206"/>
      <c r="I669" s="206"/>
    </row>
    <row r="670" spans="2:9" x14ac:dyDescent="0.2">
      <c r="B670" s="206"/>
      <c r="C670" s="206"/>
      <c r="D670" s="206"/>
      <c r="E670" s="206"/>
      <c r="F670" s="206"/>
      <c r="G670" s="206"/>
      <c r="H670" s="206"/>
      <c r="I670" s="206"/>
    </row>
    <row r="671" spans="2:9" x14ac:dyDescent="0.2">
      <c r="B671" s="206"/>
      <c r="C671" s="206"/>
      <c r="D671" s="206"/>
      <c r="E671" s="206"/>
      <c r="F671" s="206"/>
      <c r="G671" s="206"/>
      <c r="H671" s="206"/>
      <c r="I671" s="206"/>
    </row>
    <row r="672" spans="2:9" x14ac:dyDescent="0.2">
      <c r="B672" s="206"/>
      <c r="C672" s="206"/>
      <c r="D672" s="206"/>
      <c r="E672" s="206"/>
      <c r="F672" s="206"/>
      <c r="G672" s="206"/>
      <c r="H672" s="206"/>
      <c r="I672" s="206"/>
    </row>
    <row r="673" spans="2:9" x14ac:dyDescent="0.2">
      <c r="B673" s="206"/>
      <c r="C673" s="206"/>
      <c r="D673" s="206"/>
      <c r="E673" s="206"/>
      <c r="F673" s="206"/>
      <c r="G673" s="206"/>
      <c r="H673" s="206"/>
      <c r="I673" s="206"/>
    </row>
    <row r="674" spans="2:9" x14ac:dyDescent="0.2">
      <c r="B674" s="206"/>
      <c r="C674" s="206"/>
      <c r="D674" s="206"/>
      <c r="E674" s="206"/>
      <c r="F674" s="206"/>
      <c r="G674" s="206"/>
      <c r="H674" s="206"/>
      <c r="I674" s="206"/>
    </row>
    <row r="675" spans="2:9" x14ac:dyDescent="0.2">
      <c r="B675" s="206"/>
      <c r="C675" s="206"/>
      <c r="D675" s="206"/>
      <c r="E675" s="206"/>
      <c r="F675" s="206"/>
      <c r="G675" s="206"/>
      <c r="H675" s="206"/>
      <c r="I675" s="206"/>
    </row>
    <row r="676" spans="2:9" x14ac:dyDescent="0.2">
      <c r="B676" s="206"/>
      <c r="C676" s="206"/>
      <c r="D676" s="206"/>
      <c r="E676" s="206"/>
      <c r="F676" s="206"/>
      <c r="G676" s="206"/>
      <c r="H676" s="206"/>
      <c r="I676" s="206"/>
    </row>
    <row r="677" spans="2:9" x14ac:dyDescent="0.2">
      <c r="B677" s="206"/>
      <c r="C677" s="206"/>
      <c r="D677" s="206"/>
      <c r="E677" s="206"/>
      <c r="F677" s="206"/>
      <c r="G677" s="206"/>
      <c r="H677" s="206"/>
      <c r="I677" s="206"/>
    </row>
  </sheetData>
  <mergeCells count="109">
    <mergeCell ref="C321:I321"/>
    <mergeCell ref="B208:B210"/>
    <mergeCell ref="B231:B232"/>
    <mergeCell ref="B198:B199"/>
    <mergeCell ref="B200:B201"/>
    <mergeCell ref="C223:I223"/>
    <mergeCell ref="B147:J147"/>
    <mergeCell ref="B271:B274"/>
    <mergeCell ref="B275:B278"/>
    <mergeCell ref="B294:B295"/>
    <mergeCell ref="B296:B310"/>
    <mergeCell ref="B311:B312"/>
    <mergeCell ref="B314:B316"/>
    <mergeCell ref="B233:B235"/>
    <mergeCell ref="B257:B258"/>
    <mergeCell ref="B252:B254"/>
    <mergeCell ref="B261:B262"/>
    <mergeCell ref="B245:B247"/>
    <mergeCell ref="B226:B229"/>
    <mergeCell ref="B263:B266"/>
    <mergeCell ref="B267:B270"/>
    <mergeCell ref="C192:I192"/>
    <mergeCell ref="C158:D158"/>
    <mergeCell ref="C152:I152"/>
    <mergeCell ref="C159:I159"/>
    <mergeCell ref="B17:J17"/>
    <mergeCell ref="B29:J29"/>
    <mergeCell ref="B38:J38"/>
    <mergeCell ref="B57:J57"/>
    <mergeCell ref="B63:J63"/>
    <mergeCell ref="B52:B53"/>
    <mergeCell ref="B154:E154"/>
    <mergeCell ref="C140:D140"/>
    <mergeCell ref="B141:J141"/>
    <mergeCell ref="B144:J144"/>
    <mergeCell ref="B106:B107"/>
    <mergeCell ref="C44:J44"/>
    <mergeCell ref="C127:J127"/>
    <mergeCell ref="C138:J138"/>
    <mergeCell ref="C71:J71"/>
    <mergeCell ref="B47:J47"/>
    <mergeCell ref="B121:J121"/>
    <mergeCell ref="B105:J105"/>
    <mergeCell ref="B119:J119"/>
    <mergeCell ref="B108:B109"/>
    <mergeCell ref="B112:B113"/>
    <mergeCell ref="B115:B116"/>
    <mergeCell ref="B130:J130"/>
    <mergeCell ref="B90:J90"/>
    <mergeCell ref="B74:J74"/>
    <mergeCell ref="C102:J102"/>
    <mergeCell ref="A4:B4"/>
    <mergeCell ref="C14:H14"/>
    <mergeCell ref="B1:I2"/>
    <mergeCell ref="A3:B3"/>
    <mergeCell ref="A5:B5"/>
    <mergeCell ref="A6:B6"/>
    <mergeCell ref="C6:D6"/>
    <mergeCell ref="E6:F6"/>
    <mergeCell ref="C13:E13"/>
    <mergeCell ref="A10:J10"/>
    <mergeCell ref="I3:J3"/>
    <mergeCell ref="C3:G3"/>
    <mergeCell ref="C4:J4"/>
    <mergeCell ref="C5:J5"/>
    <mergeCell ref="G6:J6"/>
    <mergeCell ref="A7:B7"/>
    <mergeCell ref="E7:F7"/>
    <mergeCell ref="G7:J7"/>
    <mergeCell ref="A9:J9"/>
    <mergeCell ref="C7:D7"/>
    <mergeCell ref="B324:B326"/>
    <mergeCell ref="B279:B280"/>
    <mergeCell ref="B281:B282"/>
    <mergeCell ref="B283:B286"/>
    <mergeCell ref="B288:B289"/>
    <mergeCell ref="B290:B293"/>
    <mergeCell ref="C491:J491"/>
    <mergeCell ref="C475:J475"/>
    <mergeCell ref="B363:B365"/>
    <mergeCell ref="B405:E405"/>
    <mergeCell ref="C448:H448"/>
    <mergeCell ref="C459:D459"/>
    <mergeCell ref="C460:I460"/>
    <mergeCell ref="B327:B328"/>
    <mergeCell ref="B329:B331"/>
    <mergeCell ref="B335:B337"/>
    <mergeCell ref="B338:B339"/>
    <mergeCell ref="B351:B352"/>
    <mergeCell ref="C439:H439"/>
    <mergeCell ref="C416:H416"/>
    <mergeCell ref="C428:I428"/>
    <mergeCell ref="C370:J370"/>
    <mergeCell ref="C403:I403"/>
    <mergeCell ref="C347:I347"/>
    <mergeCell ref="C409:H409"/>
    <mergeCell ref="C360:I360"/>
    <mergeCell ref="C548:J548"/>
    <mergeCell ref="C564:I564"/>
    <mergeCell ref="B566:E566"/>
    <mergeCell ref="C533:J533"/>
    <mergeCell ref="B536:B540"/>
    <mergeCell ref="B541:B542"/>
    <mergeCell ref="B526:B528"/>
    <mergeCell ref="B513:B525"/>
    <mergeCell ref="B494:B500"/>
    <mergeCell ref="B501:B502"/>
    <mergeCell ref="B503:B505"/>
    <mergeCell ref="B506:B510"/>
  </mergeCells>
  <phoneticPr fontId="6" type="noConversion"/>
  <pageMargins left="0.51181102362204722" right="0.51181102362204722" top="0.78740157480314965" bottom="0.78740157480314965" header="0.31496062992125984" footer="0.31496062992125984"/>
  <pageSetup paperSize="9" scale="58" orientation="portrait" r:id="rId1"/>
  <rowBreaks count="7" manualBreakCount="7">
    <brk id="56" max="9" man="1"/>
    <brk id="118" max="9" man="1"/>
    <brk id="241" max="9" man="1"/>
    <brk id="310" max="9" man="1"/>
    <brk id="369" max="9" man="1"/>
    <brk id="447" max="9" man="1"/>
    <brk id="512"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topLeftCell="A67" zoomScaleSheetLayoutView="100" workbookViewId="0">
      <selection activeCell="A11" sqref="A11:J11"/>
    </sheetView>
  </sheetViews>
  <sheetFormatPr defaultRowHeight="12.75" x14ac:dyDescent="0.2"/>
  <cols>
    <col min="2" max="2" width="14" customWidth="1"/>
    <col min="3" max="3" width="13.5703125" customWidth="1"/>
    <col min="4" max="4" width="13.140625" customWidth="1"/>
    <col min="5" max="5" width="15.28515625" customWidth="1"/>
    <col min="6" max="6" width="14.42578125" customWidth="1"/>
    <col min="7" max="7" width="10.140625" customWidth="1"/>
    <col min="8" max="8" width="13.28515625" customWidth="1"/>
    <col min="9" max="9" width="10" customWidth="1"/>
    <col min="10" max="10" width="10.5703125" customWidth="1"/>
  </cols>
  <sheetData>
    <row r="1" spans="1:11" ht="12.75" customHeight="1" x14ac:dyDescent="0.2">
      <c r="B1" s="1307"/>
      <c r="C1" s="1307"/>
      <c r="D1" s="1307"/>
      <c r="E1" s="1307"/>
      <c r="F1" s="1307"/>
      <c r="G1" s="1307"/>
      <c r="H1" s="1307"/>
      <c r="I1" s="1307"/>
      <c r="J1" s="1307"/>
      <c r="K1" s="1307"/>
    </row>
    <row r="2" spans="1:11" ht="69.95" customHeight="1" x14ac:dyDescent="0.2">
      <c r="A2" s="215"/>
      <c r="B2" s="1307"/>
      <c r="C2" s="1307"/>
      <c r="D2" s="1307"/>
      <c r="E2" s="1307"/>
      <c r="F2" s="1307"/>
      <c r="G2" s="1307"/>
      <c r="H2" s="1307"/>
      <c r="I2" s="1307"/>
      <c r="J2" s="1307"/>
      <c r="K2" s="1307"/>
    </row>
    <row r="3" spans="1:11" ht="16.5" customHeight="1" x14ac:dyDescent="0.2">
      <c r="A3" s="1316" t="s">
        <v>79</v>
      </c>
      <c r="B3" s="1317"/>
      <c r="C3" s="1321" t="str">
        <f>ORÇ!B2</f>
        <v>PREFEITURA MUNICIPAL DE OURÉM</v>
      </c>
      <c r="D3" s="1738"/>
      <c r="E3" s="1738"/>
      <c r="F3" s="1738"/>
      <c r="G3" s="1322"/>
      <c r="H3" s="1326" t="s">
        <v>85</v>
      </c>
      <c r="I3" s="1327"/>
      <c r="J3" s="1754" t="str">
        <f>ORÇ!I2</f>
        <v>OURÉM/PA</v>
      </c>
      <c r="K3" s="1754"/>
    </row>
    <row r="4" spans="1:11" ht="16.5" customHeight="1" x14ac:dyDescent="0.2">
      <c r="A4" s="1316" t="s">
        <v>80</v>
      </c>
      <c r="B4" s="1317"/>
      <c r="C4" s="1684" t="str">
        <f>ORÇ!B3</f>
        <v>CONSTRUÇÃO DO CENTRO DE FISIOTERAPIA, NO MUNICÍPIO DE OURÉM/PA</v>
      </c>
      <c r="D4" s="1684"/>
      <c r="E4" s="1684"/>
      <c r="F4" s="1684"/>
      <c r="G4" s="1684"/>
      <c r="H4" s="1684"/>
      <c r="I4" s="1684"/>
      <c r="J4" s="1684"/>
      <c r="K4" s="1684"/>
    </row>
    <row r="5" spans="1:11" ht="16.5" customHeight="1" x14ac:dyDescent="0.2">
      <c r="A5" s="1316" t="s">
        <v>161</v>
      </c>
      <c r="B5" s="1317"/>
      <c r="C5" s="1681" t="str">
        <f>ORÇ!B4</f>
        <v>AV. PADRE ANGELO MORETTE, S/Nº - OURÉM/PA</v>
      </c>
      <c r="D5" s="1681"/>
      <c r="E5" s="1681"/>
      <c r="F5" s="1681"/>
      <c r="G5" s="1681"/>
      <c r="H5" s="1681"/>
      <c r="I5" s="1681"/>
      <c r="J5" s="1681"/>
      <c r="K5" s="1681"/>
    </row>
    <row r="6" spans="1:11" ht="34.5" customHeight="1" x14ac:dyDescent="0.2">
      <c r="A6" s="1310" t="s">
        <v>81</v>
      </c>
      <c r="B6" s="1311"/>
      <c r="C6" s="1312">
        <f>ORÇ!B5</f>
        <v>0.2881986483454233</v>
      </c>
      <c r="D6" s="1680"/>
      <c r="E6" s="1342" t="s">
        <v>169</v>
      </c>
      <c r="F6" s="1343"/>
      <c r="G6" s="1482" t="str">
        <f>ORÇ!G5</f>
        <v>SINAPI FEVEREIRO 2022 - DESONERADA                                 SEDOP FEVEREIRO 2022 - DESONERADA</v>
      </c>
      <c r="H6" s="1482"/>
      <c r="I6" s="1482"/>
      <c r="J6" s="1482"/>
      <c r="K6" s="1482"/>
    </row>
    <row r="7" spans="1:11" x14ac:dyDescent="0.2">
      <c r="A7" s="1736" t="s">
        <v>82</v>
      </c>
      <c r="B7" s="1736"/>
      <c r="C7" s="1762" t="str">
        <f>ORÇ!B6</f>
        <v>MARUZA BAPTISTA</v>
      </c>
      <c r="D7" s="1762"/>
      <c r="E7" s="1308" t="s">
        <v>170</v>
      </c>
      <c r="F7" s="1308"/>
      <c r="G7" s="1764" t="str">
        <f>ORÇ!G7</f>
        <v>CAU: 28510-2 A</v>
      </c>
      <c r="H7" s="1765"/>
      <c r="I7" s="1765"/>
      <c r="J7" s="1765"/>
      <c r="K7" s="1766"/>
    </row>
    <row r="8" spans="1:11" ht="14.25" customHeight="1" thickBot="1" x14ac:dyDescent="0.25">
      <c r="A8" s="286"/>
      <c r="B8" s="284"/>
      <c r="C8" s="285"/>
      <c r="D8" s="285"/>
      <c r="E8" s="282"/>
      <c r="F8" s="282"/>
      <c r="G8" s="282"/>
      <c r="H8" s="282"/>
      <c r="I8" s="282"/>
      <c r="J8" s="282"/>
      <c r="K8" s="282"/>
    </row>
    <row r="9" spans="1:11" ht="15.75" customHeight="1" thickBot="1" x14ac:dyDescent="0.25">
      <c r="A9" s="1674" t="str">
        <f>CONCATENATE("MEMÓRIA DE CÁLCULO ",ORÇ!A93)</f>
        <v>MEMÓRIA DE CÁLCULO 6</v>
      </c>
      <c r="B9" s="1675"/>
      <c r="C9" s="1675"/>
      <c r="D9" s="1675"/>
      <c r="E9" s="1675"/>
      <c r="F9" s="1675"/>
      <c r="G9" s="1675"/>
      <c r="H9" s="1675"/>
      <c r="I9" s="1675"/>
      <c r="J9" s="1675"/>
      <c r="K9" s="1676"/>
    </row>
    <row r="10" spans="1:11" ht="12.75" customHeight="1" x14ac:dyDescent="0.2">
      <c r="A10" s="1677" t="str">
        <f>ORÇ!D93</f>
        <v>Cobertura</v>
      </c>
      <c r="B10" s="1677"/>
      <c r="C10" s="1677"/>
      <c r="D10" s="1677"/>
      <c r="E10" s="1677"/>
      <c r="F10" s="1677"/>
      <c r="G10" s="1677"/>
      <c r="H10" s="1677"/>
      <c r="I10" s="1677"/>
      <c r="J10" s="1677"/>
      <c r="K10" s="1677"/>
    </row>
    <row r="11" spans="1:11" ht="7.5" customHeight="1" x14ac:dyDescent="0.2">
      <c r="A11" s="73"/>
      <c r="B11" s="73"/>
      <c r="C11" s="73"/>
      <c r="D11" s="73"/>
      <c r="E11" s="73"/>
      <c r="F11" s="73"/>
      <c r="G11" s="73"/>
      <c r="H11" s="73"/>
      <c r="I11" s="73"/>
      <c r="J11" s="73"/>
    </row>
    <row r="12" spans="1:11" x14ac:dyDescent="0.2">
      <c r="A12" s="209">
        <f>ORÇ!A93</f>
        <v>6</v>
      </c>
      <c r="B12" s="1761" t="str">
        <f>ORÇ!D93</f>
        <v>Cobertura</v>
      </c>
      <c r="C12" s="1761"/>
      <c r="D12" s="1761"/>
      <c r="E12" s="1761"/>
      <c r="F12" s="32"/>
      <c r="G12" s="32"/>
      <c r="H12" s="32"/>
      <c r="I12" s="32"/>
      <c r="J12" s="32"/>
    </row>
    <row r="13" spans="1:11" ht="29.25" customHeight="1" x14ac:dyDescent="0.2">
      <c r="A13" s="164" t="str">
        <f>ORÇ!A94</f>
        <v>6.1</v>
      </c>
      <c r="B13" s="1710" t="str">
        <f>ORÇ!D94</f>
        <v>FABRICAÇÃO E INSTALAÇÃO DE TESOURA INTEIRA EM MADEIRA NÃO APARELHADA, VÃO DE 10 M, PARA TELHA ONDULADA DE FIBROCIMENTO, METÁLICA, PLÁSTICA OU TERMOACÚSTICA, INCLUSO IÇAMENTO. AF_07/2019</v>
      </c>
      <c r="C13" s="1710"/>
      <c r="D13" s="1710"/>
      <c r="E13" s="1710"/>
      <c r="F13" s="1710"/>
      <c r="G13" s="1710"/>
      <c r="H13" s="1710"/>
      <c r="I13" s="1710"/>
      <c r="J13" s="1710"/>
      <c r="K13" s="1710"/>
    </row>
    <row r="14" spans="1:11" s="21" customFormat="1" ht="13.5" customHeight="1" x14ac:dyDescent="0.2">
      <c r="A14" s="652"/>
      <c r="B14" s="477"/>
      <c r="C14" s="477"/>
      <c r="D14" s="477"/>
      <c r="E14" s="477"/>
      <c r="F14" s="477"/>
      <c r="G14" s="477"/>
      <c r="H14" s="477"/>
      <c r="I14" s="477"/>
      <c r="J14" s="477"/>
      <c r="K14" s="474"/>
    </row>
    <row r="15" spans="1:11" s="21" customFormat="1" ht="13.5" customHeight="1" x14ac:dyDescent="0.2">
      <c r="A15" s="652"/>
      <c r="B15" s="477"/>
      <c r="C15" s="751" t="s">
        <v>469</v>
      </c>
      <c r="D15" s="477"/>
      <c r="E15" s="1767" t="s">
        <v>1278</v>
      </c>
      <c r="F15" s="1767"/>
      <c r="G15" s="477"/>
      <c r="H15" s="477"/>
      <c r="I15" s="477"/>
      <c r="J15" s="477"/>
      <c r="K15" s="474"/>
    </row>
    <row r="16" spans="1:11" s="21" customFormat="1" ht="13.5" customHeight="1" x14ac:dyDescent="0.2">
      <c r="A16" s="652"/>
      <c r="B16" s="658" t="s">
        <v>881</v>
      </c>
      <c r="C16" s="751">
        <v>2</v>
      </c>
      <c r="D16" s="477"/>
      <c r="E16" s="1767"/>
      <c r="F16" s="1767"/>
      <c r="G16" s="477"/>
      <c r="H16" s="477"/>
      <c r="I16" s="477"/>
      <c r="J16" s="477"/>
      <c r="K16" s="474"/>
    </row>
    <row r="17" spans="1:11" s="21" customFormat="1" ht="13.5" customHeight="1" x14ac:dyDescent="0.2">
      <c r="A17" s="652"/>
      <c r="B17" s="477"/>
      <c r="C17" s="781"/>
      <c r="D17" s="477"/>
      <c r="E17" s="1767"/>
      <c r="F17" s="1767"/>
      <c r="G17" s="477"/>
      <c r="H17" s="477"/>
      <c r="I17" s="477"/>
      <c r="J17" s="477"/>
      <c r="K17" s="474"/>
    </row>
    <row r="18" spans="1:11" s="21" customFormat="1" ht="13.5" customHeight="1" x14ac:dyDescent="0.2">
      <c r="A18" s="652"/>
      <c r="B18" s="659" t="s">
        <v>1277</v>
      </c>
      <c r="C18" s="660">
        <f>C16</f>
        <v>2</v>
      </c>
      <c r="D18" s="477"/>
      <c r="E18" s="477"/>
      <c r="F18" s="477"/>
      <c r="G18" s="477"/>
      <c r="H18" s="477"/>
      <c r="I18" s="477"/>
      <c r="J18" s="477"/>
      <c r="K18" s="474"/>
    </row>
    <row r="19" spans="1:11" s="21" customFormat="1" ht="13.5" customHeight="1" x14ac:dyDescent="0.2">
      <c r="A19" s="652"/>
      <c r="B19" s="477"/>
      <c r="C19" s="781"/>
      <c r="D19" s="477"/>
      <c r="E19" s="477"/>
      <c r="F19" s="477"/>
      <c r="G19" s="477"/>
      <c r="H19" s="477"/>
      <c r="I19" s="477"/>
      <c r="J19" s="477"/>
      <c r="K19" s="474"/>
    </row>
    <row r="20" spans="1:11" ht="29.25" customHeight="1" x14ac:dyDescent="0.2">
      <c r="A20" s="164" t="str">
        <f>ORÇ!A95</f>
        <v>6.2</v>
      </c>
      <c r="B20" s="1710" t="str">
        <f>ORÇ!D95</f>
        <v>FABRICAÇÃO E INSTALAÇÃO DE MEIA TESOURA DE MADEIRA NÃO APARELHADA, COM VÃO DE 3 M, PARA TELHA ONDULADA DE FIBROCIMENTO, ALUMÍNIO, PLÁSTICA OU TERMOACÚSTICA, INCLUSO IÇAMENTO. AF_07/2019</v>
      </c>
      <c r="C20" s="1710"/>
      <c r="D20" s="1710"/>
      <c r="E20" s="1710"/>
      <c r="F20" s="1710"/>
      <c r="G20" s="1710"/>
      <c r="H20" s="1710"/>
      <c r="I20" s="1710"/>
      <c r="J20" s="1710"/>
      <c r="K20" s="1710"/>
    </row>
    <row r="21" spans="1:11" s="21" customFormat="1" ht="13.5" customHeight="1" x14ac:dyDescent="0.2">
      <c r="A21" s="652"/>
      <c r="B21" s="477"/>
      <c r="C21" s="477"/>
      <c r="D21" s="477"/>
      <c r="E21" s="477"/>
      <c r="F21" s="477"/>
      <c r="G21" s="477"/>
      <c r="H21" s="477"/>
      <c r="I21" s="477"/>
      <c r="J21" s="477"/>
      <c r="K21" s="474"/>
    </row>
    <row r="22" spans="1:11" s="21" customFormat="1" ht="13.5" customHeight="1" x14ac:dyDescent="0.2">
      <c r="A22" s="652"/>
      <c r="B22" s="477"/>
      <c r="C22" s="751" t="s">
        <v>469</v>
      </c>
      <c r="D22" s="477"/>
      <c r="E22" s="1767"/>
      <c r="F22" s="1767"/>
      <c r="G22" s="477"/>
      <c r="H22" s="477"/>
      <c r="I22" s="477"/>
      <c r="J22" s="477"/>
      <c r="K22" s="474"/>
    </row>
    <row r="23" spans="1:11" s="21" customFormat="1" ht="13.5" customHeight="1" x14ac:dyDescent="0.2">
      <c r="A23" s="652"/>
      <c r="B23" s="658" t="s">
        <v>1287</v>
      </c>
      <c r="C23" s="751">
        <v>2</v>
      </c>
      <c r="D23" s="477"/>
      <c r="E23" s="1767"/>
      <c r="F23" s="1767"/>
      <c r="G23" s="477"/>
      <c r="H23" s="477"/>
      <c r="I23" s="477"/>
      <c r="J23" s="477"/>
      <c r="K23" s="474"/>
    </row>
    <row r="24" spans="1:11" s="21" customFormat="1" ht="13.5" customHeight="1" x14ac:dyDescent="0.2">
      <c r="A24" s="652"/>
      <c r="B24" s="816" t="s">
        <v>885</v>
      </c>
      <c r="C24" s="751">
        <v>4</v>
      </c>
      <c r="D24" s="477"/>
      <c r="E24" s="1767"/>
      <c r="F24" s="1767"/>
      <c r="G24" s="477"/>
      <c r="H24" s="477"/>
      <c r="I24" s="477"/>
      <c r="J24" s="477"/>
      <c r="K24" s="474"/>
    </row>
    <row r="25" spans="1:11" s="21" customFormat="1" ht="13.5" customHeight="1" x14ac:dyDescent="0.2">
      <c r="A25" s="652"/>
      <c r="B25" s="477"/>
      <c r="C25" s="781"/>
      <c r="D25" s="477"/>
      <c r="E25" s="1767"/>
      <c r="F25" s="1767"/>
      <c r="G25" s="477"/>
      <c r="H25" s="477"/>
      <c r="I25" s="477"/>
      <c r="J25" s="477"/>
      <c r="K25" s="474"/>
    </row>
    <row r="26" spans="1:11" s="21" customFormat="1" ht="13.5" customHeight="1" x14ac:dyDescent="0.2">
      <c r="A26" s="652"/>
      <c r="B26" s="659" t="s">
        <v>1277</v>
      </c>
      <c r="C26" s="660">
        <f>ROUND(SUM(C23:C25),2)</f>
        <v>6</v>
      </c>
      <c r="D26" s="477"/>
      <c r="E26" s="477"/>
      <c r="F26" s="477"/>
      <c r="G26" s="477"/>
      <c r="H26" s="477"/>
      <c r="I26" s="477"/>
      <c r="J26" s="477"/>
      <c r="K26" s="474"/>
    </row>
    <row r="27" spans="1:11" s="21" customFormat="1" ht="13.5" customHeight="1" x14ac:dyDescent="0.2">
      <c r="A27" s="652"/>
      <c r="B27" s="477"/>
      <c r="C27" s="781"/>
      <c r="D27" s="477"/>
      <c r="E27" s="477"/>
      <c r="F27" s="477"/>
      <c r="G27" s="477"/>
      <c r="H27" s="477"/>
      <c r="I27" s="477"/>
      <c r="J27" s="477"/>
      <c r="K27" s="474"/>
    </row>
    <row r="28" spans="1:11" ht="29.25" customHeight="1" x14ac:dyDescent="0.2">
      <c r="A28" s="164" t="str">
        <f>ORÇ!A96</f>
        <v>6.3</v>
      </c>
      <c r="B28" s="1710" t="str">
        <f>ORÇ!D96</f>
        <v>FABRICAÇÃO E INSTALAÇÃO DE TESOURA INTEIRA EM MADEIRA NÃO APARELHADA, VÃO DE 16,35 M, PARA TELHA ONDULADA DE FIBROCIMENTO, INCLUSO IÇAMENTO.</v>
      </c>
      <c r="C28" s="1710"/>
      <c r="D28" s="1710"/>
      <c r="E28" s="1710"/>
      <c r="F28" s="1710"/>
      <c r="G28" s="1710"/>
      <c r="H28" s="1710"/>
      <c r="I28" s="1710"/>
      <c r="J28" s="1710"/>
      <c r="K28" s="1710"/>
    </row>
    <row r="29" spans="1:11" s="21" customFormat="1" ht="13.5" customHeight="1" x14ac:dyDescent="0.2">
      <c r="A29" s="652"/>
      <c r="B29" s="477"/>
      <c r="C29" s="477"/>
      <c r="D29" s="477"/>
      <c r="E29" s="477"/>
      <c r="F29" s="477"/>
      <c r="G29" s="477"/>
      <c r="H29" s="477"/>
      <c r="I29" s="477"/>
      <c r="J29" s="477"/>
      <c r="K29" s="474"/>
    </row>
    <row r="30" spans="1:11" s="21" customFormat="1" ht="13.5" customHeight="1" x14ac:dyDescent="0.2">
      <c r="A30" s="652"/>
      <c r="B30" s="477"/>
      <c r="C30" s="751" t="s">
        <v>469</v>
      </c>
      <c r="D30" s="477"/>
      <c r="E30" s="1767" t="s">
        <v>1278</v>
      </c>
      <c r="F30" s="1767"/>
      <c r="G30" s="477"/>
      <c r="H30" s="477"/>
      <c r="I30" s="477"/>
      <c r="J30" s="477"/>
      <c r="K30" s="474"/>
    </row>
    <row r="31" spans="1:11" s="21" customFormat="1" ht="13.5" customHeight="1" x14ac:dyDescent="0.2">
      <c r="A31" s="652"/>
      <c r="B31" s="658" t="s">
        <v>882</v>
      </c>
      <c r="C31" s="751">
        <v>8</v>
      </c>
      <c r="D31" s="477"/>
      <c r="E31" s="1767"/>
      <c r="F31" s="1767"/>
      <c r="G31" s="477"/>
      <c r="H31" s="477"/>
      <c r="I31" s="477"/>
      <c r="J31" s="477"/>
      <c r="K31" s="474"/>
    </row>
    <row r="32" spans="1:11" s="21" customFormat="1" ht="13.5" customHeight="1" x14ac:dyDescent="0.2">
      <c r="A32" s="652"/>
      <c r="B32" s="477"/>
      <c r="C32" s="781"/>
      <c r="D32" s="477"/>
      <c r="E32" s="1767"/>
      <c r="F32" s="1767"/>
      <c r="G32" s="477"/>
      <c r="H32" s="477"/>
      <c r="I32" s="477"/>
      <c r="J32" s="477"/>
      <c r="K32" s="474"/>
    </row>
    <row r="33" spans="1:11" s="21" customFormat="1" ht="13.5" customHeight="1" x14ac:dyDescent="0.2">
      <c r="A33" s="652"/>
      <c r="B33" s="659" t="s">
        <v>1277</v>
      </c>
      <c r="C33" s="660">
        <f>C31</f>
        <v>8</v>
      </c>
      <c r="D33" s="477"/>
      <c r="E33" s="477"/>
      <c r="F33" s="477"/>
      <c r="G33" s="477"/>
      <c r="H33" s="477"/>
      <c r="I33" s="477"/>
      <c r="J33" s="477"/>
      <c r="K33" s="474"/>
    </row>
    <row r="34" spans="1:11" s="21" customFormat="1" ht="13.5" customHeight="1" x14ac:dyDescent="0.2">
      <c r="A34" s="652"/>
      <c r="B34" s="477"/>
      <c r="C34" s="477"/>
      <c r="D34" s="477"/>
      <c r="E34" s="477"/>
      <c r="F34" s="477"/>
      <c r="G34" s="477"/>
      <c r="H34" s="477"/>
      <c r="I34" s="477"/>
      <c r="J34" s="477"/>
      <c r="K34" s="474"/>
    </row>
    <row r="35" spans="1:11" ht="30" customHeight="1" x14ac:dyDescent="0.2">
      <c r="A35" s="164" t="str">
        <f>ORÇ!A97</f>
        <v>6.4</v>
      </c>
      <c r="B35" s="1710" t="str">
        <f>ORÇ!D97</f>
        <v>TRAMA DE MADEIRA COMPOSTA POR TERÇAS PARA TELHADOS DE ATÉ 2 ÁGUAS PARA TELHA ESTRUTURAL DE FIBROCIMENTO, INCLUSO TRANSPORTE VERTICAL. AF_07/2019</v>
      </c>
      <c r="C35" s="1710"/>
      <c r="D35" s="1710"/>
      <c r="E35" s="1710"/>
      <c r="F35" s="1710"/>
      <c r="G35" s="1710"/>
      <c r="H35" s="1710"/>
      <c r="I35" s="1710"/>
      <c r="J35" s="1710"/>
      <c r="K35" s="1710"/>
    </row>
    <row r="36" spans="1:11" s="21" customFormat="1" ht="13.5" customHeight="1" x14ac:dyDescent="0.2">
      <c r="A36" s="652"/>
      <c r="B36" s="477"/>
      <c r="C36" s="477"/>
      <c r="D36" s="477"/>
      <c r="E36" s="477"/>
      <c r="F36" s="477"/>
      <c r="G36" s="477"/>
      <c r="H36" s="477"/>
      <c r="I36" s="477"/>
      <c r="J36" s="477"/>
      <c r="K36" s="474"/>
    </row>
    <row r="37" spans="1:11" s="245" customFormat="1" ht="13.5" customHeight="1" x14ac:dyDescent="0.2">
      <c r="A37" s="654"/>
      <c r="B37" s="657" t="s">
        <v>589</v>
      </c>
      <c r="C37" s="657" t="s">
        <v>880</v>
      </c>
      <c r="D37" s="657"/>
      <c r="E37" s="657" t="s">
        <v>206</v>
      </c>
      <c r="F37" s="657"/>
      <c r="G37" s="657" t="s">
        <v>213</v>
      </c>
      <c r="H37" s="655"/>
      <c r="I37" s="655"/>
      <c r="J37" s="655"/>
      <c r="K37" s="656"/>
    </row>
    <row r="38" spans="1:11" s="21" customFormat="1" ht="13.5" customHeight="1" x14ac:dyDescent="0.2">
      <c r="A38" s="652"/>
      <c r="B38" s="658" t="s">
        <v>881</v>
      </c>
      <c r="C38" s="480">
        <v>9.8000000000000007</v>
      </c>
      <c r="D38" s="480" t="s">
        <v>45</v>
      </c>
      <c r="E38" s="480">
        <v>5.45</v>
      </c>
      <c r="F38" s="480" t="s">
        <v>46</v>
      </c>
      <c r="G38" s="480">
        <f>ROUND(C38*E38,2)</f>
        <v>53.41</v>
      </c>
      <c r="H38" s="477"/>
      <c r="I38" s="477"/>
      <c r="J38" s="477"/>
      <c r="K38" s="474"/>
    </row>
    <row r="39" spans="1:11" s="21" customFormat="1" ht="29.25" customHeight="1" x14ac:dyDescent="0.2">
      <c r="A39" s="652"/>
      <c r="B39" s="658" t="s">
        <v>883</v>
      </c>
      <c r="C39" s="480">
        <v>2</v>
      </c>
      <c r="D39" s="480" t="s">
        <v>45</v>
      </c>
      <c r="E39" s="480">
        <v>1.95</v>
      </c>
      <c r="F39" s="480" t="s">
        <v>46</v>
      </c>
      <c r="G39" s="480">
        <f>ROUND(C39*E39,2)</f>
        <v>3.9</v>
      </c>
      <c r="H39" s="477"/>
      <c r="I39" s="477"/>
      <c r="J39" s="477"/>
      <c r="K39" s="474"/>
    </row>
    <row r="40" spans="1:11" s="21" customFormat="1" ht="29.25" customHeight="1" x14ac:dyDescent="0.2">
      <c r="A40" s="652"/>
      <c r="B40" s="658" t="s">
        <v>884</v>
      </c>
      <c r="C40" s="480">
        <v>24.6</v>
      </c>
      <c r="D40" s="480" t="s">
        <v>45</v>
      </c>
      <c r="E40" s="480">
        <v>16.350000000000001</v>
      </c>
      <c r="F40" s="480" t="s">
        <v>46</v>
      </c>
      <c r="G40" s="480">
        <f>ROUND(C40*E40,2)</f>
        <v>402.21</v>
      </c>
      <c r="H40" s="477"/>
      <c r="I40" s="477"/>
      <c r="J40" s="477"/>
      <c r="K40" s="474"/>
    </row>
    <row r="41" spans="1:11" s="21" customFormat="1" ht="13.5" customHeight="1" x14ac:dyDescent="0.2">
      <c r="A41" s="652"/>
      <c r="B41" s="658" t="s">
        <v>885</v>
      </c>
      <c r="C41" s="480">
        <v>9.3000000000000007</v>
      </c>
      <c r="D41" s="480" t="s">
        <v>45</v>
      </c>
      <c r="E41" s="480">
        <v>2.44</v>
      </c>
      <c r="F41" s="480" t="s">
        <v>46</v>
      </c>
      <c r="G41" s="480">
        <f>ROUND(C41*E41,2)</f>
        <v>22.69</v>
      </c>
      <c r="H41" s="477"/>
      <c r="I41" s="477"/>
      <c r="J41" s="477"/>
      <c r="K41" s="474"/>
    </row>
    <row r="42" spans="1:11" s="21" customFormat="1" ht="13.5" customHeight="1" x14ac:dyDescent="0.2">
      <c r="A42" s="652"/>
      <c r="B42" s="477"/>
      <c r="C42" s="477"/>
      <c r="D42" s="477"/>
      <c r="E42" s="477"/>
      <c r="F42" s="477"/>
      <c r="G42" s="477"/>
      <c r="H42" s="477"/>
      <c r="I42" s="477"/>
      <c r="J42" s="477"/>
      <c r="K42" s="474"/>
    </row>
    <row r="43" spans="1:11" s="21" customFormat="1" ht="13.5" customHeight="1" x14ac:dyDescent="0.2">
      <c r="A43" s="652"/>
      <c r="B43" s="659" t="s">
        <v>47</v>
      </c>
      <c r="C43" s="661">
        <f>ROUND(SUM(G38:G42),2)</f>
        <v>482.21</v>
      </c>
      <c r="D43" s="660" t="s">
        <v>4</v>
      </c>
      <c r="E43" s="477"/>
      <c r="F43" s="477"/>
      <c r="G43" s="477"/>
      <c r="H43" s="477"/>
      <c r="I43" s="477"/>
      <c r="J43" s="477"/>
      <c r="K43" s="474"/>
    </row>
    <row r="44" spans="1:11" s="21" customFormat="1" ht="13.5" customHeight="1" x14ac:dyDescent="0.2">
      <c r="A44" s="652"/>
      <c r="B44" s="477"/>
      <c r="C44" s="477"/>
      <c r="D44" s="477"/>
      <c r="E44" s="477"/>
      <c r="F44" s="477"/>
      <c r="G44" s="477"/>
      <c r="H44" s="477"/>
      <c r="I44" s="477"/>
      <c r="J44" s="477"/>
      <c r="K44" s="474"/>
    </row>
    <row r="45" spans="1:11" ht="30.75" customHeight="1" x14ac:dyDescent="0.2">
      <c r="A45" s="287" t="str">
        <f>ORÇ!A98</f>
        <v>6.5</v>
      </c>
      <c r="B45" s="1734" t="str">
        <f>ORÇ!D98</f>
        <v>TELHAMENTO COM TELHA ONDULADA DE FIBROCIMENTO E = 6 MM, COM RECOBRIMENTO LATERAL DE 1 1/4 DE ONDA PARA TELHADO COM INCLINAÇÃO MÁXIMA DE 10°, COM ATÉ 2 ÁGUAS, INCLUSO IÇAMENTO. AF_07/2019</v>
      </c>
      <c r="C45" s="1734"/>
      <c r="D45" s="1734"/>
      <c r="E45" s="1734"/>
      <c r="F45" s="1734"/>
      <c r="G45" s="1734"/>
      <c r="H45" s="1734"/>
      <c r="I45" s="1734"/>
      <c r="J45" s="1734"/>
      <c r="K45" s="1734"/>
    </row>
    <row r="46" spans="1:11" ht="16.5" customHeight="1" x14ac:dyDescent="0.2">
      <c r="A46" s="164"/>
      <c r="B46" s="288"/>
      <c r="C46" s="288"/>
      <c r="D46" s="288"/>
      <c r="E46" s="288"/>
      <c r="F46" s="288"/>
      <c r="G46" s="288"/>
      <c r="H46" s="288"/>
      <c r="I46" s="288"/>
      <c r="J46" s="288"/>
      <c r="K46" s="4"/>
    </row>
    <row r="47" spans="1:11" ht="16.5" customHeight="1" x14ac:dyDescent="0.2">
      <c r="A47" s="164"/>
      <c r="B47" s="1763" t="s">
        <v>886</v>
      </c>
      <c r="C47" s="1763"/>
      <c r="D47" s="1763"/>
      <c r="E47" s="533"/>
      <c r="F47" s="533"/>
      <c r="G47" s="533"/>
      <c r="H47" s="533"/>
      <c r="I47" s="533"/>
      <c r="J47" s="533"/>
      <c r="K47" s="4"/>
    </row>
    <row r="48" spans="1:11" x14ac:dyDescent="0.2">
      <c r="A48" s="163"/>
      <c r="B48" s="659" t="s">
        <v>47</v>
      </c>
      <c r="C48" s="661">
        <f>C43</f>
        <v>482.21</v>
      </c>
      <c r="D48" s="660" t="s">
        <v>4</v>
      </c>
      <c r="E48" s="212"/>
      <c r="F48" s="20"/>
      <c r="G48" s="198"/>
      <c r="H48" s="198"/>
      <c r="I48" s="198"/>
      <c r="J48" s="34"/>
      <c r="K48" s="4"/>
    </row>
    <row r="49" spans="1:11" x14ac:dyDescent="0.2">
      <c r="A49" s="198"/>
      <c r="B49" s="536"/>
      <c r="C49" s="210"/>
      <c r="D49" s="211"/>
      <c r="E49" s="212"/>
      <c r="F49" s="20"/>
      <c r="G49" s="198"/>
      <c r="H49" s="198"/>
      <c r="I49" s="198"/>
      <c r="J49" s="34"/>
      <c r="K49" s="4"/>
    </row>
    <row r="50" spans="1:11" ht="24" customHeight="1" x14ac:dyDescent="0.2">
      <c r="A50" s="287" t="str">
        <f>ORÇ!A99</f>
        <v>6.6</v>
      </c>
      <c r="B50" s="1734" t="str">
        <f>ORÇ!D99</f>
        <v>CUMEEIRA PARA TELHA DE FIBROCIMENTO ESTRUTURAL E = 6 MM, INCLUSO ACESSÓRIOS DE FIXAÇÃO E IÇAMENTO. AF_07/2019</v>
      </c>
      <c r="C50" s="1734"/>
      <c r="D50" s="1734"/>
      <c r="E50" s="1734"/>
      <c r="F50" s="1734"/>
      <c r="G50" s="1734"/>
      <c r="H50" s="1734"/>
      <c r="I50" s="1734"/>
      <c r="J50" s="1734"/>
      <c r="K50" s="1734"/>
    </row>
    <row r="51" spans="1:11" s="139" customFormat="1" ht="15" customHeight="1" x14ac:dyDescent="0.2">
      <c r="A51" s="420"/>
      <c r="B51" s="239" t="s">
        <v>589</v>
      </c>
      <c r="C51" s="239" t="s">
        <v>880</v>
      </c>
      <c r="D51" s="662"/>
      <c r="E51" s="663"/>
      <c r="F51" s="664"/>
      <c r="G51" s="420"/>
      <c r="H51" s="420"/>
      <c r="I51" s="420"/>
      <c r="J51" s="665"/>
      <c r="K51" s="455"/>
    </row>
    <row r="52" spans="1:11" x14ac:dyDescent="0.2">
      <c r="A52" s="198"/>
      <c r="B52" s="658" t="s">
        <v>881</v>
      </c>
      <c r="C52" s="480">
        <v>5.45</v>
      </c>
      <c r="D52" s="211"/>
      <c r="E52" s="212"/>
      <c r="F52" s="20"/>
      <c r="G52" s="198"/>
      <c r="H52" s="198"/>
      <c r="I52" s="198"/>
      <c r="J52" s="34"/>
      <c r="K52" s="4"/>
    </row>
    <row r="53" spans="1:11" x14ac:dyDescent="0.2">
      <c r="A53" s="198"/>
      <c r="B53" s="658" t="s">
        <v>882</v>
      </c>
      <c r="C53" s="480">
        <v>24.6</v>
      </c>
      <c r="D53" s="211"/>
      <c r="E53" s="212"/>
      <c r="F53" s="20"/>
      <c r="G53" s="198"/>
      <c r="H53" s="198"/>
      <c r="I53" s="198"/>
      <c r="J53" s="34"/>
      <c r="K53" s="4"/>
    </row>
    <row r="54" spans="1:11" x14ac:dyDescent="0.2">
      <c r="A54" s="198"/>
      <c r="B54" s="536"/>
      <c r="C54" s="210"/>
      <c r="D54" s="211"/>
      <c r="E54" s="212"/>
      <c r="F54" s="20"/>
      <c r="G54" s="198"/>
      <c r="H54" s="198"/>
      <c r="I54" s="198"/>
      <c r="J54" s="34"/>
      <c r="K54" s="4"/>
    </row>
    <row r="55" spans="1:11" s="21" customFormat="1" ht="13.5" customHeight="1" x14ac:dyDescent="0.2">
      <c r="A55" s="652"/>
      <c r="B55" s="659" t="s">
        <v>47</v>
      </c>
      <c r="C55" s="661">
        <f>ROUND(SUM(C52:C53),2)</f>
        <v>30.05</v>
      </c>
      <c r="D55" s="660" t="s">
        <v>12</v>
      </c>
      <c r="E55" s="477"/>
      <c r="F55" s="477"/>
      <c r="G55" s="477"/>
      <c r="H55" s="477"/>
      <c r="I55" s="477"/>
      <c r="J55" s="477"/>
      <c r="K55" s="474"/>
    </row>
    <row r="56" spans="1:11" x14ac:dyDescent="0.2">
      <c r="A56" s="198"/>
      <c r="B56" s="536"/>
      <c r="C56" s="210"/>
      <c r="D56" s="211"/>
      <c r="E56" s="212"/>
      <c r="F56" s="20"/>
      <c r="G56" s="198"/>
      <c r="H56" s="198"/>
      <c r="I56" s="198"/>
      <c r="J56" s="34"/>
      <c r="K56" s="4"/>
    </row>
    <row r="57" spans="1:11" s="140" customFormat="1" ht="18" customHeight="1" x14ac:dyDescent="0.2">
      <c r="A57" s="308" t="str">
        <f>ORÇ!A100</f>
        <v>6.7</v>
      </c>
      <c r="B57" s="1760" t="str">
        <f>ORÇ!D100</f>
        <v>FORRO DE PVC, LISO, PARA AMBIENTES COMERCIAIS, INCLUSIVE ESTRUTURA DE FIXAÇÃO. AF_05/2017_P</v>
      </c>
      <c r="C57" s="1760"/>
      <c r="D57" s="1760"/>
      <c r="E57" s="1760"/>
      <c r="F57" s="1760"/>
      <c r="G57" s="1760"/>
      <c r="H57" s="1760"/>
      <c r="I57" s="1760"/>
      <c r="J57" s="1760"/>
      <c r="K57" s="1760"/>
    </row>
    <row r="58" spans="1:11" s="21" customFormat="1" x14ac:dyDescent="0.2">
      <c r="A58" s="768"/>
      <c r="B58" s="203"/>
      <c r="C58" s="203"/>
      <c r="D58" s="203"/>
      <c r="E58" s="185"/>
      <c r="F58" s="190"/>
      <c r="G58" s="185"/>
      <c r="H58" s="190"/>
      <c r="I58" s="703"/>
      <c r="J58" s="703"/>
      <c r="K58" s="703"/>
    </row>
    <row r="59" spans="1:11" s="140" customFormat="1" ht="14.25" customHeight="1" x14ac:dyDescent="0.2">
      <c r="A59" s="162"/>
      <c r="B59" s="239" t="s">
        <v>589</v>
      </c>
      <c r="C59" s="239" t="s">
        <v>496</v>
      </c>
      <c r="D59" s="663"/>
      <c r="E59" s="663"/>
      <c r="F59" s="671"/>
      <c r="G59" s="162"/>
      <c r="H59" s="162"/>
      <c r="I59" s="162"/>
      <c r="J59" s="769"/>
      <c r="K59" s="473"/>
    </row>
    <row r="60" spans="1:11" s="458" customFormat="1" x14ac:dyDescent="0.2">
      <c r="A60" s="485"/>
      <c r="B60" s="770" t="str">
        <f>'10.PAV.'!B47</f>
        <v>Pediatria</v>
      </c>
      <c r="C60" s="678">
        <f>'10.PAV.'!C47</f>
        <v>23.25</v>
      </c>
      <c r="D60" s="368"/>
      <c r="E60" s="368"/>
      <c r="F60" s="485"/>
      <c r="G60" s="485"/>
      <c r="H60" s="485"/>
      <c r="I60" s="485"/>
      <c r="J60" s="572"/>
    </row>
    <row r="61" spans="1:11" s="458" customFormat="1" x14ac:dyDescent="0.2">
      <c r="A61" s="485"/>
      <c r="B61" s="770" t="str">
        <f>'10.PAV.'!B48</f>
        <v>Almoxarifado</v>
      </c>
      <c r="C61" s="678">
        <f>'10.PAV.'!C48</f>
        <v>7.5</v>
      </c>
      <c r="D61" s="368"/>
      <c r="E61" s="368"/>
      <c r="F61" s="485"/>
      <c r="G61" s="485"/>
      <c r="H61" s="485"/>
      <c r="I61" s="485"/>
      <c r="J61" s="572"/>
    </row>
    <row r="62" spans="1:11" s="458" customFormat="1" x14ac:dyDescent="0.2">
      <c r="A62" s="485"/>
      <c r="B62" s="770" t="str">
        <f>'10.PAV.'!B49</f>
        <v>BHO Fem.</v>
      </c>
      <c r="C62" s="678">
        <f>'10.PAV.'!C49</f>
        <v>3.42</v>
      </c>
      <c r="D62" s="368"/>
      <c r="E62" s="368"/>
      <c r="F62" s="485"/>
      <c r="G62" s="485"/>
      <c r="H62" s="485"/>
      <c r="I62" s="485"/>
      <c r="J62" s="572"/>
    </row>
    <row r="63" spans="1:11" s="458" customFormat="1" x14ac:dyDescent="0.2">
      <c r="A63" s="485"/>
      <c r="B63" s="770" t="str">
        <f>'10.PAV.'!B50</f>
        <v>BHO Masc.</v>
      </c>
      <c r="C63" s="678">
        <f>'10.PAV.'!C50</f>
        <v>3.42</v>
      </c>
      <c r="D63" s="368"/>
      <c r="E63" s="368"/>
      <c r="F63" s="485"/>
      <c r="G63" s="485"/>
      <c r="H63" s="485"/>
      <c r="I63" s="485"/>
      <c r="J63" s="572"/>
    </row>
    <row r="64" spans="1:11" s="458" customFormat="1" x14ac:dyDescent="0.2">
      <c r="A64" s="485"/>
      <c r="B64" s="770" t="str">
        <f>'10.PAV.'!B51</f>
        <v>Copa</v>
      </c>
      <c r="C64" s="678">
        <f>'10.PAV.'!C51</f>
        <v>9.0299999999999994</v>
      </c>
      <c r="D64" s="368"/>
      <c r="E64" s="368"/>
      <c r="F64" s="485"/>
      <c r="G64" s="485"/>
      <c r="H64" s="485"/>
      <c r="I64" s="485"/>
      <c r="J64" s="572"/>
    </row>
    <row r="65" spans="1:11" s="458" customFormat="1" x14ac:dyDescent="0.2">
      <c r="A65" s="485"/>
      <c r="B65" s="770" t="str">
        <f>'10.PAV.'!B52</f>
        <v>DML</v>
      </c>
      <c r="C65" s="678">
        <f>'10.PAV.'!C52</f>
        <v>2.6</v>
      </c>
      <c r="D65" s="368"/>
      <c r="E65" s="368"/>
      <c r="F65" s="485"/>
      <c r="G65" s="485"/>
      <c r="H65" s="485"/>
      <c r="I65" s="485"/>
      <c r="J65" s="572"/>
    </row>
    <row r="66" spans="1:11" s="21" customFormat="1" x14ac:dyDescent="0.2">
      <c r="A66" s="196"/>
      <c r="B66" s="770" t="str">
        <f>'10.PAV.'!B53</f>
        <v>Saúna</v>
      </c>
      <c r="C66" s="678">
        <f>'10.PAV.'!C53</f>
        <v>10</v>
      </c>
      <c r="D66" s="212"/>
      <c r="E66" s="212"/>
      <c r="F66" s="529"/>
      <c r="G66" s="196"/>
      <c r="H66" s="196"/>
      <c r="I66" s="196"/>
      <c r="J66" s="771"/>
      <c r="K66" s="474"/>
    </row>
    <row r="67" spans="1:11" s="21" customFormat="1" x14ac:dyDescent="0.2">
      <c r="A67" s="196"/>
      <c r="B67" s="770" t="str">
        <f>'10.PAV.'!B54</f>
        <v>Circulação 3</v>
      </c>
      <c r="C67" s="678">
        <f>'10.PAV.'!C54</f>
        <v>42.76</v>
      </c>
      <c r="D67" s="212"/>
      <c r="E67" s="212"/>
      <c r="F67" s="529"/>
      <c r="G67" s="196"/>
      <c r="H67" s="196"/>
      <c r="I67" s="196"/>
      <c r="J67" s="771"/>
      <c r="K67" s="474"/>
    </row>
    <row r="68" spans="1:11" s="458" customFormat="1" ht="17.25" customHeight="1" x14ac:dyDescent="0.2">
      <c r="A68" s="485"/>
      <c r="B68" s="770" t="str">
        <f>'10.PAV.'!B55</f>
        <v>Administração</v>
      </c>
      <c r="C68" s="678">
        <f>'10.PAV.'!C55</f>
        <v>11.54</v>
      </c>
      <c r="D68" s="368"/>
      <c r="E68" s="368"/>
      <c r="F68" s="485"/>
      <c r="G68" s="485"/>
      <c r="H68" s="485"/>
      <c r="I68" s="485"/>
      <c r="J68" s="572"/>
    </row>
    <row r="69" spans="1:11" s="458" customFormat="1" ht="15.75" customHeight="1" x14ac:dyDescent="0.2">
      <c r="A69" s="485"/>
      <c r="B69" s="770" t="str">
        <f>'10.PAV.'!B56</f>
        <v>Estoque</v>
      </c>
      <c r="C69" s="678">
        <f>'10.PAV.'!C56</f>
        <v>9.32</v>
      </c>
      <c r="D69" s="368"/>
      <c r="E69" s="368"/>
      <c r="F69" s="485"/>
      <c r="G69" s="485"/>
      <c r="H69" s="485"/>
      <c r="I69" s="485"/>
      <c r="J69" s="572"/>
    </row>
    <row r="70" spans="1:11" s="458" customFormat="1" ht="15.75" customHeight="1" x14ac:dyDescent="0.2">
      <c r="A70" s="485"/>
      <c r="B70" s="770" t="str">
        <f>'10.PAV.'!B57</f>
        <v>Hall</v>
      </c>
      <c r="C70" s="678">
        <f>'10.PAV.'!C57</f>
        <v>11.42</v>
      </c>
      <c r="D70" s="368"/>
      <c r="E70" s="368"/>
      <c r="F70" s="485"/>
      <c r="G70" s="485"/>
      <c r="H70" s="485"/>
      <c r="I70" s="485"/>
      <c r="J70" s="572"/>
    </row>
    <row r="71" spans="1:11" s="458" customFormat="1" x14ac:dyDescent="0.2">
      <c r="A71" s="485"/>
      <c r="B71" s="770" t="str">
        <f>'10.PAV.'!B58</f>
        <v>WC PCD 3</v>
      </c>
      <c r="C71" s="678">
        <f>'10.PAV.'!C58</f>
        <v>4.62</v>
      </c>
      <c r="D71" s="368"/>
      <c r="E71" s="368"/>
      <c r="F71" s="485"/>
      <c r="G71" s="485"/>
      <c r="H71" s="485"/>
      <c r="I71" s="485"/>
      <c r="J71" s="572"/>
    </row>
    <row r="72" spans="1:11" s="458" customFormat="1" ht="15.75" customHeight="1" x14ac:dyDescent="0.2">
      <c r="A72" s="485"/>
      <c r="B72" s="770" t="str">
        <f>'10.PAV.'!B59</f>
        <v>Consultório 03</v>
      </c>
      <c r="C72" s="678">
        <f>'10.PAV.'!C59</f>
        <v>12</v>
      </c>
      <c r="D72" s="368"/>
      <c r="E72" s="368"/>
      <c r="F72" s="485"/>
      <c r="G72" s="485"/>
      <c r="H72" s="485"/>
      <c r="I72" s="485"/>
      <c r="J72" s="572"/>
    </row>
    <row r="73" spans="1:11" s="21" customFormat="1" ht="15.75" customHeight="1" x14ac:dyDescent="0.2">
      <c r="A73" s="196"/>
      <c r="B73" s="770" t="str">
        <f>'10.PAV.'!B60</f>
        <v>Mecanoterapia</v>
      </c>
      <c r="C73" s="678">
        <f>'10.PAV.'!C60</f>
        <v>52.58</v>
      </c>
      <c r="D73" s="212"/>
      <c r="E73" s="212"/>
      <c r="F73" s="529"/>
      <c r="G73" s="196"/>
      <c r="H73" s="196"/>
      <c r="I73" s="196"/>
      <c r="J73" s="771"/>
      <c r="K73" s="474"/>
    </row>
    <row r="74" spans="1:11" s="21" customFormat="1" x14ac:dyDescent="0.2">
      <c r="A74" s="196"/>
      <c r="B74" s="770" t="str">
        <f>'10.PAV.'!B61</f>
        <v>WC PCD 2</v>
      </c>
      <c r="C74" s="678">
        <f>'10.PAV.'!C61</f>
        <v>4.37</v>
      </c>
      <c r="D74" s="212"/>
      <c r="E74" s="212"/>
      <c r="F74" s="529"/>
      <c r="G74" s="196"/>
      <c r="H74" s="196"/>
      <c r="I74" s="196"/>
      <c r="J74" s="771"/>
      <c r="K74" s="474"/>
    </row>
    <row r="75" spans="1:11" s="458" customFormat="1" x14ac:dyDescent="0.2">
      <c r="A75" s="485"/>
      <c r="B75" s="770" t="str">
        <f>'10.PAV.'!B62</f>
        <v>WC PCD 1</v>
      </c>
      <c r="C75" s="678">
        <f>'10.PAV.'!C62</f>
        <v>4.37</v>
      </c>
      <c r="D75" s="368"/>
      <c r="E75" s="368"/>
      <c r="F75" s="485"/>
      <c r="G75" s="485"/>
      <c r="H75" s="485"/>
      <c r="I75" s="485"/>
      <c r="J75" s="572"/>
    </row>
    <row r="76" spans="1:11" s="458" customFormat="1" ht="14.25" customHeight="1" x14ac:dyDescent="0.2">
      <c r="A76" s="485"/>
      <c r="B76" s="770" t="str">
        <f>'10.PAV.'!B63</f>
        <v>Consultório 02</v>
      </c>
      <c r="C76" s="678">
        <f>'10.PAV.'!C63</f>
        <v>12.5</v>
      </c>
      <c r="D76" s="368"/>
      <c r="E76" s="368"/>
      <c r="F76" s="485"/>
      <c r="G76" s="485"/>
      <c r="H76" s="485"/>
      <c r="I76" s="485"/>
      <c r="J76" s="572"/>
    </row>
    <row r="77" spans="1:11" s="458" customFormat="1" ht="14.25" customHeight="1" x14ac:dyDescent="0.2">
      <c r="A77" s="485"/>
      <c r="B77" s="770" t="str">
        <f>'10.PAV.'!B64</f>
        <v>Consultório 01</v>
      </c>
      <c r="C77" s="678">
        <f>'10.PAV.'!C64</f>
        <v>12.5</v>
      </c>
      <c r="D77" s="368"/>
      <c r="E77" s="368"/>
      <c r="F77" s="485"/>
      <c r="G77" s="485"/>
      <c r="H77" s="485"/>
      <c r="I77" s="485"/>
      <c r="J77" s="572"/>
    </row>
    <row r="78" spans="1:11" s="458" customFormat="1" x14ac:dyDescent="0.2">
      <c r="A78" s="485"/>
      <c r="B78" s="770" t="str">
        <f>'10.PAV.'!B65</f>
        <v>Circulação 2</v>
      </c>
      <c r="C78" s="678">
        <f>'10.PAV.'!C65</f>
        <v>40.75</v>
      </c>
      <c r="D78" s="368"/>
      <c r="E78" s="368"/>
      <c r="F78" s="485"/>
      <c r="G78" s="485"/>
      <c r="H78" s="485"/>
      <c r="I78" s="485"/>
      <c r="J78" s="572"/>
    </row>
    <row r="79" spans="1:11" s="458" customFormat="1" ht="25.5" x14ac:dyDescent="0.2">
      <c r="A79" s="485"/>
      <c r="B79" s="770" t="str">
        <f>'10.PAV.'!B66</f>
        <v>Eletrotermoterap.</v>
      </c>
      <c r="C79" s="678">
        <f>'10.PAV.'!C66</f>
        <v>82.94</v>
      </c>
      <c r="D79" s="368"/>
      <c r="E79" s="368"/>
      <c r="F79" s="485"/>
      <c r="G79" s="485"/>
      <c r="H79" s="485"/>
      <c r="I79" s="485"/>
      <c r="J79" s="572"/>
    </row>
    <row r="80" spans="1:11" s="21" customFormat="1" ht="16.5" customHeight="1" x14ac:dyDescent="0.2">
      <c r="A80" s="196"/>
      <c r="B80" s="770" t="str">
        <f>'10.PAV.'!B67</f>
        <v>WC PCD Fem.</v>
      </c>
      <c r="C80" s="678">
        <f>'10.PAV.'!C67</f>
        <v>3.96</v>
      </c>
      <c r="D80" s="212"/>
      <c r="E80" s="212"/>
      <c r="F80" s="529"/>
      <c r="G80" s="196"/>
      <c r="H80" s="196"/>
      <c r="I80" s="196"/>
      <c r="J80" s="771"/>
      <c r="K80" s="474"/>
    </row>
    <row r="81" spans="1:11" s="21" customFormat="1" x14ac:dyDescent="0.2">
      <c r="A81" s="196"/>
      <c r="B81" s="770" t="str">
        <f>'10.PAV.'!B68</f>
        <v>Fraldário</v>
      </c>
      <c r="C81" s="678">
        <f>'10.PAV.'!C68</f>
        <v>4.7699999999999996</v>
      </c>
      <c r="D81" s="212"/>
      <c r="E81" s="212"/>
      <c r="F81" s="529"/>
      <c r="G81" s="196"/>
      <c r="H81" s="196"/>
      <c r="I81" s="196"/>
      <c r="J81" s="771"/>
      <c r="K81" s="474"/>
    </row>
    <row r="82" spans="1:11" s="458" customFormat="1" x14ac:dyDescent="0.2">
      <c r="A82" s="485"/>
      <c r="B82" s="770" t="str">
        <f>'10.PAV.'!B69</f>
        <v>Circulação 1</v>
      </c>
      <c r="C82" s="678">
        <f>'10.PAV.'!C69</f>
        <v>12.62</v>
      </c>
      <c r="D82" s="368"/>
      <c r="E82" s="368"/>
      <c r="F82" s="485"/>
      <c r="G82" s="485"/>
      <c r="H82" s="485"/>
      <c r="I82" s="485"/>
      <c r="J82" s="572"/>
    </row>
    <row r="83" spans="1:11" s="458" customFormat="1" ht="17.25" customHeight="1" x14ac:dyDescent="0.2">
      <c r="A83" s="485"/>
      <c r="B83" s="770" t="str">
        <f>'10.PAV.'!B70</f>
        <v>WC PCD Masc.</v>
      </c>
      <c r="C83" s="678">
        <f>'10.PAV.'!C70</f>
        <v>3.96</v>
      </c>
      <c r="D83" s="368"/>
      <c r="E83" s="368"/>
      <c r="F83" s="485"/>
      <c r="G83" s="485"/>
      <c r="H83" s="485"/>
      <c r="I83" s="485"/>
      <c r="J83" s="572"/>
    </row>
    <row r="84" spans="1:11" s="458" customFormat="1" ht="15.75" customHeight="1" x14ac:dyDescent="0.2">
      <c r="A84" s="485"/>
      <c r="B84" s="770" t="str">
        <f>'10.PAV.'!B71</f>
        <v>Recepção</v>
      </c>
      <c r="C84" s="678">
        <f>'10.PAV.'!C71</f>
        <v>53.41</v>
      </c>
      <c r="D84" s="368"/>
      <c r="E84" s="368"/>
      <c r="F84" s="485"/>
      <c r="G84" s="485"/>
      <c r="H84" s="485"/>
      <c r="I84" s="485"/>
      <c r="J84" s="572"/>
    </row>
    <row r="85" spans="1:11" s="21" customFormat="1" x14ac:dyDescent="0.2">
      <c r="A85" s="196"/>
      <c r="B85" s="709"/>
      <c r="C85" s="212"/>
      <c r="D85" s="212"/>
      <c r="E85" s="212"/>
      <c r="F85" s="529"/>
      <c r="G85" s="196"/>
      <c r="H85" s="196"/>
      <c r="I85" s="196"/>
      <c r="J85" s="771"/>
      <c r="K85" s="474"/>
    </row>
    <row r="86" spans="1:11" s="21" customFormat="1" ht="13.5" customHeight="1" x14ac:dyDescent="0.2">
      <c r="A86" s="652"/>
      <c r="B86" s="659" t="s">
        <v>47</v>
      </c>
      <c r="C86" s="661">
        <f>ROUND(SUM(C60:C84),2)</f>
        <v>439.61</v>
      </c>
      <c r="D86" s="660" t="s">
        <v>4</v>
      </c>
      <c r="E86" s="477"/>
      <c r="F86" s="477"/>
      <c r="G86" s="477"/>
      <c r="H86" s="477"/>
      <c r="I86" s="477"/>
      <c r="J86" s="477"/>
      <c r="K86" s="474"/>
    </row>
    <row r="87" spans="1:11" x14ac:dyDescent="0.2">
      <c r="A87" s="198"/>
      <c r="B87" s="709"/>
      <c r="C87" s="210"/>
      <c r="D87" s="211"/>
      <c r="E87" s="212"/>
      <c r="F87" s="20"/>
      <c r="G87" s="198"/>
      <c r="H87" s="198"/>
      <c r="I87" s="198"/>
      <c r="J87" s="34"/>
      <c r="K87" s="4"/>
    </row>
  </sheetData>
  <mergeCells count="31">
    <mergeCell ref="H3:I3"/>
    <mergeCell ref="B50:K50"/>
    <mergeCell ref="B47:D47"/>
    <mergeCell ref="B45:K45"/>
    <mergeCell ref="G7:K7"/>
    <mergeCell ref="A10:K10"/>
    <mergeCell ref="A9:K9"/>
    <mergeCell ref="B13:K13"/>
    <mergeCell ref="B28:K28"/>
    <mergeCell ref="B35:K35"/>
    <mergeCell ref="E30:F32"/>
    <mergeCell ref="E15:F17"/>
    <mergeCell ref="E7:F7"/>
    <mergeCell ref="B20:K20"/>
    <mergeCell ref="E22:F25"/>
    <mergeCell ref="B57:K57"/>
    <mergeCell ref="B1:K2"/>
    <mergeCell ref="B12:E12"/>
    <mergeCell ref="A5:B5"/>
    <mergeCell ref="A6:B6"/>
    <mergeCell ref="C6:D6"/>
    <mergeCell ref="A3:B3"/>
    <mergeCell ref="A4:B4"/>
    <mergeCell ref="E6:F6"/>
    <mergeCell ref="A7:B7"/>
    <mergeCell ref="C7:D7"/>
    <mergeCell ref="C3:G3"/>
    <mergeCell ref="C4:K4"/>
    <mergeCell ref="C5:K5"/>
    <mergeCell ref="G6:K6"/>
    <mergeCell ref="J3:K3"/>
  </mergeCells>
  <pageMargins left="0.51181102362204722" right="0.51181102362204722" top="0.78740157480314965" bottom="0.78740157480314965" header="0.31496062992125984" footer="0.31496062992125984"/>
  <pageSetup paperSize="9" scale="70" orientation="portrait" r:id="rId1"/>
  <rowBreaks count="1" manualBreakCount="1">
    <brk id="56"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2"/>
  <sheetViews>
    <sheetView showGridLines="0" view="pageBreakPreview" topLeftCell="A154" zoomScaleSheetLayoutView="100" workbookViewId="0">
      <selection activeCell="A11" sqref="A11:J11"/>
    </sheetView>
  </sheetViews>
  <sheetFormatPr defaultRowHeight="12.75" x14ac:dyDescent="0.2"/>
  <cols>
    <col min="1" max="1" width="13.42578125" customWidth="1"/>
    <col min="2" max="2" width="16.42578125" customWidth="1"/>
    <col min="3" max="3" width="11.85546875" customWidth="1"/>
    <col min="4" max="4" width="11.7109375" customWidth="1"/>
    <col min="5" max="5" width="14" customWidth="1"/>
    <col min="6" max="6" width="13" customWidth="1"/>
    <col min="7" max="8" width="15.28515625" customWidth="1"/>
    <col min="9" max="9" width="16.5703125" customWidth="1"/>
    <col min="10" max="10" width="12.42578125" customWidth="1"/>
    <col min="11" max="11" width="21.42578125" customWidth="1"/>
  </cols>
  <sheetData>
    <row r="1" spans="1:10" x14ac:dyDescent="0.2">
      <c r="B1" s="1307"/>
      <c r="C1" s="1307"/>
      <c r="D1" s="1307"/>
      <c r="E1" s="1307"/>
      <c r="F1" s="1307"/>
      <c r="G1" s="1307"/>
      <c r="H1" s="1307"/>
      <c r="I1" s="1307"/>
    </row>
    <row r="2" spans="1:10" ht="69.95" customHeight="1" x14ac:dyDescent="0.2">
      <c r="A2" s="215"/>
      <c r="B2" s="1365"/>
      <c r="C2" s="1365"/>
      <c r="D2" s="1365"/>
      <c r="E2" s="1365"/>
      <c r="F2" s="1365"/>
      <c r="G2" s="1365"/>
      <c r="H2" s="1365"/>
      <c r="I2" s="1307"/>
      <c r="J2" s="218"/>
    </row>
    <row r="3" spans="1:10" ht="15.75" customHeight="1" x14ac:dyDescent="0.2">
      <c r="A3" s="1749" t="s">
        <v>79</v>
      </c>
      <c r="B3" s="1317"/>
      <c r="C3" s="1321" t="str">
        <f>ORÇ!B2</f>
        <v>PREFEITURA MUNICIPAL DE OURÉM</v>
      </c>
      <c r="D3" s="1738"/>
      <c r="E3" s="1738"/>
      <c r="F3" s="1738"/>
      <c r="G3" s="1322"/>
      <c r="H3" s="276" t="s">
        <v>85</v>
      </c>
      <c r="I3" s="1754" t="str">
        <f>ORÇ!I2</f>
        <v>OURÉM/PA</v>
      </c>
      <c r="J3" s="1754"/>
    </row>
    <row r="4" spans="1:10" ht="15.75" customHeight="1" x14ac:dyDescent="0.2">
      <c r="A4" s="1749" t="s">
        <v>80</v>
      </c>
      <c r="B4" s="1317"/>
      <c r="C4" s="1684" t="str">
        <f>ORÇ!B3</f>
        <v>CONSTRUÇÃO DO CENTRO DE FISIOTERAPIA, NO MUNICÍPIO DE OURÉM/PA</v>
      </c>
      <c r="D4" s="1684"/>
      <c r="E4" s="1684"/>
      <c r="F4" s="1684"/>
      <c r="G4" s="1684"/>
      <c r="H4" s="1684"/>
      <c r="I4" s="1684"/>
      <c r="J4" s="1684"/>
    </row>
    <row r="5" spans="1:10" ht="15.75" customHeight="1" x14ac:dyDescent="0.2">
      <c r="A5" s="1749" t="s">
        <v>161</v>
      </c>
      <c r="B5" s="1317"/>
      <c r="C5" s="1681" t="str">
        <f>ORÇ!B4</f>
        <v>AV. PADRE ANGELO MORETTE, S/Nº - OURÉM/PA</v>
      </c>
      <c r="D5" s="1681"/>
      <c r="E5" s="1681"/>
      <c r="F5" s="1681"/>
      <c r="G5" s="1681"/>
      <c r="H5" s="1681"/>
      <c r="I5" s="1681"/>
      <c r="J5" s="1681"/>
    </row>
    <row r="6" spans="1:10" ht="30.75" customHeight="1" x14ac:dyDescent="0.2">
      <c r="A6" s="1310" t="s">
        <v>81</v>
      </c>
      <c r="B6" s="1311"/>
      <c r="C6" s="1785">
        <f>ORÇ!B5</f>
        <v>0.2881986483454233</v>
      </c>
      <c r="D6" s="1785"/>
      <c r="E6" s="1308" t="s">
        <v>169</v>
      </c>
      <c r="F6" s="1308"/>
      <c r="G6" s="1482" t="str">
        <f>ORÇ!G5</f>
        <v>SINAPI FEVEREIRO 2022 - DESONERADA                                 SEDOP FEVEREIRO 2022 - DESONERADA</v>
      </c>
      <c r="H6" s="1482"/>
      <c r="I6" s="1482"/>
      <c r="J6" s="1482"/>
    </row>
    <row r="7" spans="1:10" ht="25.5" customHeight="1" x14ac:dyDescent="0.2">
      <c r="A7" s="1749" t="s">
        <v>82</v>
      </c>
      <c r="B7" s="1317"/>
      <c r="C7" s="1762" t="str">
        <f>ORÇ!B6</f>
        <v>MARUZA BAPTISTA</v>
      </c>
      <c r="D7" s="1762"/>
      <c r="E7" s="1308" t="s">
        <v>170</v>
      </c>
      <c r="F7" s="1308"/>
      <c r="G7" s="1344" t="str">
        <f>ORÇ!G7</f>
        <v>CAU: 28510-2 A</v>
      </c>
      <c r="H7" s="1344"/>
      <c r="I7" s="1344"/>
      <c r="J7" s="1344"/>
    </row>
    <row r="8" spans="1:10" ht="12" customHeight="1" thickBot="1" x14ac:dyDescent="0.25">
      <c r="A8" s="5"/>
      <c r="B8" s="6"/>
      <c r="C8" s="6"/>
      <c r="D8" s="6"/>
      <c r="E8" s="6"/>
      <c r="F8" s="6"/>
      <c r="G8" s="6"/>
      <c r="H8" s="6"/>
      <c r="I8" s="6"/>
      <c r="J8" s="6"/>
    </row>
    <row r="9" spans="1:10" ht="16.5" customHeight="1" thickBot="1" x14ac:dyDescent="0.25">
      <c r="A9" s="1674" t="str">
        <f>CONCATENATE("MEMÓRIA DE CÁLCULO ",ORÇ!A102)</f>
        <v>MEMÓRIA DE CÁLCULO 7</v>
      </c>
      <c r="B9" s="1675"/>
      <c r="C9" s="1675"/>
      <c r="D9" s="1675"/>
      <c r="E9" s="1675"/>
      <c r="F9" s="1675"/>
      <c r="G9" s="1675"/>
      <c r="H9" s="1675"/>
      <c r="I9" s="1675"/>
      <c r="J9" s="1676"/>
    </row>
    <row r="10" spans="1:10" ht="12.75" customHeight="1" x14ac:dyDescent="0.2">
      <c r="A10" s="1677" t="str">
        <f>ORÇ!D102</f>
        <v>Alvenarias e Divisórias</v>
      </c>
      <c r="B10" s="1677"/>
      <c r="C10" s="1677"/>
      <c r="D10" s="1677"/>
      <c r="E10" s="1677"/>
      <c r="F10" s="1677"/>
      <c r="G10" s="1677"/>
      <c r="H10" s="1677"/>
      <c r="I10" s="1677"/>
      <c r="J10" s="1677"/>
    </row>
    <row r="11" spans="1:10" x14ac:dyDescent="0.2">
      <c r="A11" s="5"/>
      <c r="B11" s="6"/>
      <c r="C11" s="6"/>
      <c r="D11" s="6"/>
      <c r="E11" s="6"/>
      <c r="F11" s="6"/>
      <c r="G11" s="6"/>
      <c r="H11" s="6"/>
      <c r="I11" s="6"/>
      <c r="J11" s="6"/>
    </row>
    <row r="12" spans="1:10" x14ac:dyDescent="0.2">
      <c r="A12" s="226">
        <f>ORÇ!A102</f>
        <v>7</v>
      </c>
      <c r="B12" s="31" t="str">
        <f>ORÇ!D102</f>
        <v>Alvenarias e Divisórias</v>
      </c>
      <c r="C12" s="8"/>
      <c r="D12" s="8"/>
      <c r="E12" s="8"/>
      <c r="F12" s="8"/>
      <c r="G12" s="8"/>
      <c r="H12" s="8"/>
      <c r="I12" s="8"/>
      <c r="J12" s="8"/>
    </row>
    <row r="13" spans="1:10" x14ac:dyDescent="0.2">
      <c r="A13" s="226" t="str">
        <f>ORÇ!A103</f>
        <v>7.1</v>
      </c>
      <c r="B13" s="145" t="str">
        <f>ORÇ!D103</f>
        <v>Alvenaria</v>
      </c>
      <c r="C13" s="156"/>
      <c r="D13" s="156"/>
      <c r="E13" s="156"/>
      <c r="F13" s="156"/>
      <c r="G13" s="156"/>
      <c r="H13" s="156"/>
      <c r="I13" s="156"/>
      <c r="J13" s="156"/>
    </row>
    <row r="14" spans="1:10" x14ac:dyDescent="0.2">
      <c r="A14" s="226" t="str">
        <f>ORÇ!A104</f>
        <v>7.1.1</v>
      </c>
      <c r="B14" s="236" t="str">
        <f>ORÇ!D104</f>
        <v>ALVENARIA DE VEDAÇÃO DE BLOCOS CERÂMICOS FURADOS NA HORIZONTAL DE 9X19X29 CM (ESPESSURA 9 CM) E ARGAMASSA DE ASSENTAMENTO COM PREPARO MANUAL. AF_12/2021</v>
      </c>
      <c r="C14" s="183"/>
      <c r="D14" s="183"/>
      <c r="E14" s="183"/>
      <c r="F14" s="183"/>
      <c r="G14" s="183"/>
      <c r="H14" s="183"/>
      <c r="I14" s="183"/>
      <c r="J14" s="183"/>
    </row>
    <row r="15" spans="1:10" x14ac:dyDescent="0.2">
      <c r="A15" s="95"/>
      <c r="B15" s="95"/>
      <c r="C15" s="95"/>
      <c r="D15" s="95"/>
      <c r="E15" s="95"/>
      <c r="F15" s="95"/>
      <c r="G15" s="95"/>
      <c r="H15" s="95"/>
      <c r="I15" s="95"/>
      <c r="J15" s="95"/>
    </row>
    <row r="16" spans="1:10" x14ac:dyDescent="0.2">
      <c r="A16" s="95"/>
      <c r="B16" s="424" t="s">
        <v>459</v>
      </c>
      <c r="C16" s="424" t="s">
        <v>313</v>
      </c>
      <c r="D16" s="424"/>
      <c r="E16" s="424" t="s">
        <v>311</v>
      </c>
      <c r="F16" s="424"/>
      <c r="G16" s="424" t="s">
        <v>213</v>
      </c>
      <c r="H16" s="95"/>
      <c r="I16" s="95"/>
      <c r="J16" s="95"/>
    </row>
    <row r="17" spans="1:10" x14ac:dyDescent="0.2">
      <c r="A17" s="95"/>
      <c r="B17" s="1771" t="s">
        <v>533</v>
      </c>
      <c r="C17" s="1772"/>
      <c r="D17" s="1772"/>
      <c r="E17" s="1772"/>
      <c r="F17" s="1772"/>
      <c r="G17" s="1773"/>
      <c r="H17" s="95"/>
      <c r="I17" s="95"/>
      <c r="J17" s="95"/>
    </row>
    <row r="18" spans="1:10" x14ac:dyDescent="0.2">
      <c r="A18" s="95"/>
      <c r="B18" s="1777" t="s">
        <v>523</v>
      </c>
      <c r="C18" s="233">
        <v>16.350000000000001</v>
      </c>
      <c r="D18" s="233" t="s">
        <v>45</v>
      </c>
      <c r="E18" s="233">
        <v>2.6</v>
      </c>
      <c r="F18" s="233" t="s">
        <v>46</v>
      </c>
      <c r="G18" s="233">
        <f t="shared" ref="G18:G28" si="0">ROUND(C18*E18,2)</f>
        <v>42.51</v>
      </c>
      <c r="H18" s="95"/>
      <c r="I18" s="95"/>
      <c r="J18" s="95"/>
    </row>
    <row r="19" spans="1:10" x14ac:dyDescent="0.2">
      <c r="A19" s="95"/>
      <c r="B19" s="1778"/>
      <c r="C19" s="233">
        <v>24.9</v>
      </c>
      <c r="D19" s="233" t="s">
        <v>45</v>
      </c>
      <c r="E19" s="233">
        <v>2.6</v>
      </c>
      <c r="F19" s="233" t="s">
        <v>46</v>
      </c>
      <c r="G19" s="233">
        <f t="shared" si="0"/>
        <v>64.739999999999995</v>
      </c>
      <c r="H19" s="95"/>
      <c r="I19" s="95"/>
      <c r="J19" s="95"/>
    </row>
    <row r="20" spans="1:10" x14ac:dyDescent="0.2">
      <c r="A20" s="95"/>
      <c r="B20" s="1778"/>
      <c r="C20" s="233">
        <v>5.6</v>
      </c>
      <c r="D20" s="233" t="s">
        <v>45</v>
      </c>
      <c r="E20" s="233">
        <v>2.6</v>
      </c>
      <c r="F20" s="233" t="s">
        <v>46</v>
      </c>
      <c r="G20" s="233">
        <f t="shared" si="0"/>
        <v>14.56</v>
      </c>
      <c r="H20" s="95"/>
      <c r="I20" s="95"/>
      <c r="J20" s="95"/>
    </row>
    <row r="21" spans="1:10" x14ac:dyDescent="0.2">
      <c r="A21" s="95"/>
      <c r="B21" s="1778"/>
      <c r="C21" s="233">
        <v>4.05</v>
      </c>
      <c r="D21" s="233" t="s">
        <v>45</v>
      </c>
      <c r="E21" s="233">
        <v>2.6</v>
      </c>
      <c r="F21" s="233" t="s">
        <v>46</v>
      </c>
      <c r="G21" s="233">
        <f t="shared" si="0"/>
        <v>10.53</v>
      </c>
      <c r="H21" s="95"/>
      <c r="I21" s="95"/>
      <c r="J21" s="95"/>
    </row>
    <row r="22" spans="1:10" x14ac:dyDescent="0.2">
      <c r="A22" s="95"/>
      <c r="B22" s="1778"/>
      <c r="C22" s="233">
        <v>9.8000000000000007</v>
      </c>
      <c r="D22" s="233" t="s">
        <v>45</v>
      </c>
      <c r="E22" s="233">
        <v>2.6</v>
      </c>
      <c r="F22" s="233" t="s">
        <v>46</v>
      </c>
      <c r="G22" s="233">
        <f t="shared" si="0"/>
        <v>25.48</v>
      </c>
      <c r="H22" s="95"/>
      <c r="I22" s="95"/>
      <c r="J22" s="95"/>
    </row>
    <row r="23" spans="1:10" x14ac:dyDescent="0.2">
      <c r="A23" s="95"/>
      <c r="B23" s="1778"/>
      <c r="C23" s="233">
        <v>2.2000000000000002</v>
      </c>
      <c r="D23" s="233" t="s">
        <v>45</v>
      </c>
      <c r="E23" s="233">
        <v>2.6</v>
      </c>
      <c r="F23" s="233" t="s">
        <v>46</v>
      </c>
      <c r="G23" s="233">
        <f t="shared" si="0"/>
        <v>5.72</v>
      </c>
      <c r="H23" s="95"/>
      <c r="I23" s="95"/>
      <c r="J23" s="95"/>
    </row>
    <row r="24" spans="1:10" x14ac:dyDescent="0.2">
      <c r="A24" s="95"/>
      <c r="B24" s="1778"/>
      <c r="C24" s="233">
        <v>5.6</v>
      </c>
      <c r="D24" s="233" t="s">
        <v>45</v>
      </c>
      <c r="E24" s="233">
        <v>2.6</v>
      </c>
      <c r="F24" s="233" t="s">
        <v>46</v>
      </c>
      <c r="G24" s="233">
        <f t="shared" si="0"/>
        <v>14.56</v>
      </c>
      <c r="H24" s="95"/>
      <c r="I24" s="95"/>
      <c r="J24" s="95"/>
    </row>
    <row r="25" spans="1:10" x14ac:dyDescent="0.2">
      <c r="A25" s="95"/>
      <c r="B25" s="1779"/>
      <c r="C25" s="233">
        <v>26.85</v>
      </c>
      <c r="D25" s="233" t="s">
        <v>45</v>
      </c>
      <c r="E25" s="233">
        <v>2.6</v>
      </c>
      <c r="F25" s="233" t="s">
        <v>46</v>
      </c>
      <c r="G25" s="233">
        <f t="shared" si="0"/>
        <v>69.81</v>
      </c>
      <c r="H25" s="95"/>
      <c r="I25" s="95"/>
      <c r="J25" s="95"/>
    </row>
    <row r="26" spans="1:10" x14ac:dyDescent="0.2">
      <c r="A26" s="95"/>
      <c r="B26" s="1774" t="s">
        <v>461</v>
      </c>
      <c r="C26" s="233">
        <v>5</v>
      </c>
      <c r="D26" s="233" t="s">
        <v>45</v>
      </c>
      <c r="E26" s="233">
        <v>2.6</v>
      </c>
      <c r="F26" s="233" t="s">
        <v>46</v>
      </c>
      <c r="G26" s="233">
        <f t="shared" si="0"/>
        <v>13</v>
      </c>
      <c r="H26" s="95"/>
      <c r="I26" s="95"/>
      <c r="J26" s="95"/>
    </row>
    <row r="27" spans="1:10" x14ac:dyDescent="0.2">
      <c r="A27" s="95"/>
      <c r="B27" s="1776"/>
      <c r="C27" s="233">
        <v>4.5999999999999996</v>
      </c>
      <c r="D27" s="233" t="s">
        <v>45</v>
      </c>
      <c r="E27" s="233">
        <v>2.6</v>
      </c>
      <c r="F27" s="233" t="s">
        <v>46</v>
      </c>
      <c r="G27" s="233">
        <f t="shared" si="0"/>
        <v>11.96</v>
      </c>
      <c r="H27" s="95"/>
      <c r="I27" s="95"/>
      <c r="J27" s="95"/>
    </row>
    <row r="28" spans="1:10" x14ac:dyDescent="0.2">
      <c r="A28" s="95"/>
      <c r="B28" s="422" t="s">
        <v>462</v>
      </c>
      <c r="C28" s="233">
        <v>3</v>
      </c>
      <c r="D28" s="233" t="s">
        <v>45</v>
      </c>
      <c r="E28" s="233">
        <v>2.6</v>
      </c>
      <c r="F28" s="233" t="s">
        <v>46</v>
      </c>
      <c r="G28" s="233">
        <f t="shared" si="0"/>
        <v>7.8</v>
      </c>
      <c r="H28" s="95"/>
      <c r="I28" s="95"/>
      <c r="J28" s="95"/>
    </row>
    <row r="29" spans="1:10" x14ac:dyDescent="0.2">
      <c r="A29" s="95"/>
      <c r="B29" s="422" t="s">
        <v>524</v>
      </c>
      <c r="C29" s="233">
        <v>2.4</v>
      </c>
      <c r="D29" s="233" t="s">
        <v>45</v>
      </c>
      <c r="E29" s="233">
        <v>2.6</v>
      </c>
      <c r="F29" s="233" t="s">
        <v>46</v>
      </c>
      <c r="G29" s="233">
        <f t="shared" ref="G29:G36" si="1">ROUND(C29*E29,2)</f>
        <v>6.24</v>
      </c>
      <c r="H29" s="95"/>
      <c r="I29" s="95"/>
      <c r="J29" s="95"/>
    </row>
    <row r="30" spans="1:10" x14ac:dyDescent="0.2">
      <c r="A30" s="95"/>
      <c r="B30" s="1774" t="s">
        <v>525</v>
      </c>
      <c r="C30" s="233">
        <v>3.15</v>
      </c>
      <c r="D30" s="233" t="s">
        <v>45</v>
      </c>
      <c r="E30" s="233">
        <v>2.6</v>
      </c>
      <c r="F30" s="233" t="s">
        <v>46</v>
      </c>
      <c r="G30" s="233">
        <f t="shared" si="1"/>
        <v>8.19</v>
      </c>
      <c r="H30" s="95"/>
      <c r="I30" s="95"/>
      <c r="J30" s="95"/>
    </row>
    <row r="31" spans="1:10" x14ac:dyDescent="0.2">
      <c r="A31" s="95"/>
      <c r="B31" s="1775"/>
      <c r="C31" s="233">
        <v>5.05</v>
      </c>
      <c r="D31" s="233" t="s">
        <v>45</v>
      </c>
      <c r="E31" s="233">
        <v>2.6</v>
      </c>
      <c r="F31" s="233" t="s">
        <v>46</v>
      </c>
      <c r="G31" s="233">
        <f t="shared" ref="G31:G34" si="2">ROUND(C31*E31,2)</f>
        <v>13.13</v>
      </c>
      <c r="H31" s="95"/>
      <c r="I31" s="95"/>
      <c r="J31" s="95"/>
    </row>
    <row r="32" spans="1:10" x14ac:dyDescent="0.2">
      <c r="A32" s="95"/>
      <c r="B32" s="1775"/>
      <c r="C32" s="233">
        <v>3.8</v>
      </c>
      <c r="D32" s="233" t="s">
        <v>45</v>
      </c>
      <c r="E32" s="233">
        <v>2.6</v>
      </c>
      <c r="F32" s="233" t="s">
        <v>46</v>
      </c>
      <c r="G32" s="233">
        <f t="shared" si="2"/>
        <v>9.8800000000000008</v>
      </c>
      <c r="H32" s="95"/>
      <c r="I32" s="95"/>
      <c r="J32" s="95"/>
    </row>
    <row r="33" spans="1:10" x14ac:dyDescent="0.2">
      <c r="A33" s="95"/>
      <c r="B33" s="1775"/>
      <c r="C33" s="233">
        <v>8.4499999999999993</v>
      </c>
      <c r="D33" s="233" t="s">
        <v>45</v>
      </c>
      <c r="E33" s="233">
        <v>2.6</v>
      </c>
      <c r="F33" s="233" t="s">
        <v>46</v>
      </c>
      <c r="G33" s="233">
        <f t="shared" si="2"/>
        <v>21.97</v>
      </c>
      <c r="H33" s="95"/>
      <c r="I33" s="95"/>
      <c r="J33" s="95"/>
    </row>
    <row r="34" spans="1:10" x14ac:dyDescent="0.2">
      <c r="A34" s="95"/>
      <c r="B34" s="1776"/>
      <c r="C34" s="233">
        <v>4.3499999999999996</v>
      </c>
      <c r="D34" s="233" t="s">
        <v>45</v>
      </c>
      <c r="E34" s="233">
        <v>2.6</v>
      </c>
      <c r="F34" s="233" t="s">
        <v>46</v>
      </c>
      <c r="G34" s="233">
        <f t="shared" si="2"/>
        <v>11.31</v>
      </c>
      <c r="H34" s="95"/>
      <c r="I34" s="95"/>
      <c r="J34" s="95"/>
    </row>
    <row r="35" spans="1:10" x14ac:dyDescent="0.2">
      <c r="A35" s="95"/>
      <c r="B35" s="1774" t="s">
        <v>463</v>
      </c>
      <c r="C35" s="233">
        <v>2.15</v>
      </c>
      <c r="D35" s="233" t="s">
        <v>45</v>
      </c>
      <c r="E35" s="233">
        <v>2.6</v>
      </c>
      <c r="F35" s="233" t="s">
        <v>46</v>
      </c>
      <c r="G35" s="233">
        <f t="shared" si="1"/>
        <v>5.59</v>
      </c>
      <c r="H35" s="95"/>
      <c r="I35" s="95"/>
      <c r="J35" s="95"/>
    </row>
    <row r="36" spans="1:10" x14ac:dyDescent="0.2">
      <c r="A36" s="95"/>
      <c r="B36" s="1776"/>
      <c r="C36" s="233">
        <v>1.3</v>
      </c>
      <c r="D36" s="233" t="s">
        <v>45</v>
      </c>
      <c r="E36" s="233">
        <v>2.6</v>
      </c>
      <c r="F36" s="233" t="s">
        <v>46</v>
      </c>
      <c r="G36" s="233">
        <f t="shared" si="1"/>
        <v>3.38</v>
      </c>
      <c r="H36" s="95"/>
      <c r="I36" s="95"/>
      <c r="J36" s="95"/>
    </row>
    <row r="37" spans="1:10" s="139" customFormat="1" ht="15" customHeight="1" x14ac:dyDescent="0.2">
      <c r="A37" s="95"/>
      <c r="B37" s="423" t="s">
        <v>478</v>
      </c>
      <c r="C37" s="303">
        <v>4.05</v>
      </c>
      <c r="D37" s="303" t="s">
        <v>45</v>
      </c>
      <c r="E37" s="303">
        <v>2.6</v>
      </c>
      <c r="F37" s="303" t="s">
        <v>46</v>
      </c>
      <c r="G37" s="303">
        <f t="shared" ref="G37:G49" si="3">ROUND(C37*E37,2)</f>
        <v>10.53</v>
      </c>
      <c r="H37" s="95"/>
      <c r="I37" s="95"/>
      <c r="J37" s="95"/>
    </row>
    <row r="38" spans="1:10" x14ac:dyDescent="0.2">
      <c r="A38" s="95"/>
      <c r="B38" s="422" t="s">
        <v>465</v>
      </c>
      <c r="C38" s="233">
        <v>4.05</v>
      </c>
      <c r="D38" s="233" t="s">
        <v>45</v>
      </c>
      <c r="E38" s="233">
        <v>2.6</v>
      </c>
      <c r="F38" s="233" t="s">
        <v>46</v>
      </c>
      <c r="G38" s="233">
        <f>ROUND(C38*E38,2)</f>
        <v>10.53</v>
      </c>
      <c r="H38" s="95"/>
      <c r="I38" s="95"/>
      <c r="J38" s="95"/>
    </row>
    <row r="39" spans="1:10" x14ac:dyDescent="0.2">
      <c r="A39" s="95"/>
      <c r="B39" s="422" t="s">
        <v>466</v>
      </c>
      <c r="C39" s="233">
        <v>5</v>
      </c>
      <c r="D39" s="233" t="s">
        <v>45</v>
      </c>
      <c r="E39" s="233">
        <v>2.6</v>
      </c>
      <c r="F39" s="233" t="s">
        <v>46</v>
      </c>
      <c r="G39" s="233">
        <f>ROUND(C39*E39,2)</f>
        <v>13</v>
      </c>
      <c r="H39" s="95"/>
      <c r="I39" s="95"/>
      <c r="J39" s="95"/>
    </row>
    <row r="40" spans="1:10" x14ac:dyDescent="0.2">
      <c r="A40" s="95"/>
      <c r="B40" s="1774" t="s">
        <v>479</v>
      </c>
      <c r="C40" s="233">
        <v>2.95</v>
      </c>
      <c r="D40" s="233" t="s">
        <v>45</v>
      </c>
      <c r="E40" s="233">
        <v>2.6</v>
      </c>
      <c r="F40" s="233" t="s">
        <v>46</v>
      </c>
      <c r="G40" s="233">
        <f t="shared" si="3"/>
        <v>7.67</v>
      </c>
      <c r="H40" s="95"/>
      <c r="I40" s="95"/>
      <c r="J40" s="95"/>
    </row>
    <row r="41" spans="1:10" x14ac:dyDescent="0.2">
      <c r="A41" s="95"/>
      <c r="B41" s="1776"/>
      <c r="C41" s="233">
        <v>1.65</v>
      </c>
      <c r="D41" s="233" t="s">
        <v>45</v>
      </c>
      <c r="E41" s="233">
        <v>2.6</v>
      </c>
      <c r="F41" s="233" t="s">
        <v>46</v>
      </c>
      <c r="G41" s="233">
        <f t="shared" ref="G41:G43" si="4">ROUND(C41*E41,2)</f>
        <v>4.29</v>
      </c>
      <c r="H41" s="95"/>
      <c r="I41" s="95"/>
      <c r="J41" s="95"/>
    </row>
    <row r="42" spans="1:10" x14ac:dyDescent="0.2">
      <c r="A42" s="95"/>
      <c r="B42" s="1774" t="s">
        <v>526</v>
      </c>
      <c r="C42" s="233">
        <v>16</v>
      </c>
      <c r="D42" s="233" t="s">
        <v>45</v>
      </c>
      <c r="E42" s="233">
        <v>2.6</v>
      </c>
      <c r="F42" s="233" t="s">
        <v>46</v>
      </c>
      <c r="G42" s="233">
        <f t="shared" si="4"/>
        <v>41.6</v>
      </c>
      <c r="H42" s="95"/>
      <c r="I42" s="95"/>
      <c r="J42" s="95"/>
    </row>
    <row r="43" spans="1:10" x14ac:dyDescent="0.2">
      <c r="A43" s="95"/>
      <c r="B43" s="1775"/>
      <c r="C43" s="233">
        <v>13.4</v>
      </c>
      <c r="D43" s="233" t="s">
        <v>45</v>
      </c>
      <c r="E43" s="233">
        <v>2.6</v>
      </c>
      <c r="F43" s="233" t="s">
        <v>46</v>
      </c>
      <c r="G43" s="233">
        <f t="shared" si="4"/>
        <v>34.840000000000003</v>
      </c>
      <c r="H43" s="95"/>
      <c r="I43" s="95"/>
      <c r="J43" s="95"/>
    </row>
    <row r="44" spans="1:10" x14ac:dyDescent="0.2">
      <c r="A44" s="95"/>
      <c r="B44" s="1774" t="s">
        <v>527</v>
      </c>
      <c r="C44" s="233">
        <v>5</v>
      </c>
      <c r="D44" s="233" t="s">
        <v>45</v>
      </c>
      <c r="E44" s="233">
        <v>2.6</v>
      </c>
      <c r="F44" s="233" t="s">
        <v>46</v>
      </c>
      <c r="G44" s="233">
        <f t="shared" si="3"/>
        <v>13</v>
      </c>
      <c r="H44" s="95"/>
      <c r="I44" s="95"/>
      <c r="J44" s="95"/>
    </row>
    <row r="45" spans="1:10" x14ac:dyDescent="0.2">
      <c r="A45" s="95"/>
      <c r="B45" s="1776"/>
      <c r="C45" s="233">
        <v>5</v>
      </c>
      <c r="D45" s="233" t="s">
        <v>45</v>
      </c>
      <c r="E45" s="233">
        <v>2.6</v>
      </c>
      <c r="F45" s="233" t="s">
        <v>46</v>
      </c>
      <c r="G45" s="233">
        <f t="shared" ref="G45" si="5">ROUND(C45*E45,2)</f>
        <v>13</v>
      </c>
      <c r="H45" s="95"/>
      <c r="I45" s="95"/>
      <c r="J45" s="95"/>
    </row>
    <row r="46" spans="1:10" x14ac:dyDescent="0.2">
      <c r="A46" s="95"/>
      <c r="B46" s="422" t="s">
        <v>601</v>
      </c>
      <c r="C46" s="233">
        <v>1.8</v>
      </c>
      <c r="D46" s="233" t="s">
        <v>45</v>
      </c>
      <c r="E46" s="233">
        <v>2.6</v>
      </c>
      <c r="F46" s="233" t="s">
        <v>46</v>
      </c>
      <c r="G46" s="233">
        <f t="shared" si="3"/>
        <v>4.68</v>
      </c>
      <c r="H46" s="95"/>
      <c r="I46" s="95"/>
      <c r="J46" s="95"/>
    </row>
    <row r="47" spans="1:10" x14ac:dyDescent="0.2">
      <c r="A47" s="95"/>
      <c r="B47" s="1774" t="s">
        <v>464</v>
      </c>
      <c r="C47" s="233">
        <v>8.5500000000000007</v>
      </c>
      <c r="D47" s="233" t="s">
        <v>45</v>
      </c>
      <c r="E47" s="233">
        <v>2.6</v>
      </c>
      <c r="F47" s="233" t="s">
        <v>46</v>
      </c>
      <c r="G47" s="233">
        <f t="shared" si="3"/>
        <v>22.23</v>
      </c>
      <c r="H47" s="95"/>
      <c r="I47" s="95"/>
      <c r="J47" s="95"/>
    </row>
    <row r="48" spans="1:10" x14ac:dyDescent="0.2">
      <c r="A48" s="95"/>
      <c r="B48" s="1776"/>
      <c r="C48" s="233">
        <v>8.5500000000000007</v>
      </c>
      <c r="D48" s="233" t="s">
        <v>45</v>
      </c>
      <c r="E48" s="233">
        <v>2.6</v>
      </c>
      <c r="F48" s="233" t="s">
        <v>46</v>
      </c>
      <c r="G48" s="233">
        <f t="shared" si="3"/>
        <v>22.23</v>
      </c>
      <c r="H48" s="95"/>
      <c r="I48" s="95"/>
      <c r="J48" s="95"/>
    </row>
    <row r="49" spans="1:10" x14ac:dyDescent="0.2">
      <c r="A49" s="95"/>
      <c r="B49" s="422" t="s">
        <v>528</v>
      </c>
      <c r="C49" s="233">
        <v>5</v>
      </c>
      <c r="D49" s="233" t="s">
        <v>45</v>
      </c>
      <c r="E49" s="233">
        <v>2.6</v>
      </c>
      <c r="F49" s="233" t="s">
        <v>46</v>
      </c>
      <c r="G49" s="233">
        <f t="shared" si="3"/>
        <v>13</v>
      </c>
      <c r="H49" s="95"/>
      <c r="I49" s="95"/>
      <c r="J49" s="95"/>
    </row>
    <row r="50" spans="1:10" x14ac:dyDescent="0.2">
      <c r="A50" s="95"/>
      <c r="B50" s="1774" t="s">
        <v>529</v>
      </c>
      <c r="C50" s="233">
        <v>5</v>
      </c>
      <c r="D50" s="233" t="s">
        <v>45</v>
      </c>
      <c r="E50" s="233">
        <v>2.6</v>
      </c>
      <c r="F50" s="233" t="s">
        <v>46</v>
      </c>
      <c r="G50" s="233">
        <f t="shared" ref="G50:G53" si="6">ROUND(C50*E50,2)</f>
        <v>13</v>
      </c>
      <c r="H50" s="95"/>
      <c r="I50" s="95"/>
      <c r="J50" s="95"/>
    </row>
    <row r="51" spans="1:10" x14ac:dyDescent="0.2">
      <c r="A51" s="95"/>
      <c r="B51" s="1776"/>
      <c r="C51" s="233">
        <v>5</v>
      </c>
      <c r="D51" s="233" t="s">
        <v>45</v>
      </c>
      <c r="E51" s="233">
        <v>2.6</v>
      </c>
      <c r="F51" s="233" t="s">
        <v>46</v>
      </c>
      <c r="G51" s="233">
        <f t="shared" ref="G51" si="7">ROUND(C51*E51,2)</f>
        <v>13</v>
      </c>
      <c r="H51" s="95"/>
      <c r="I51" s="95"/>
      <c r="J51" s="95"/>
    </row>
    <row r="52" spans="1:10" x14ac:dyDescent="0.2">
      <c r="A52" s="95"/>
      <c r="B52" s="422" t="s">
        <v>481</v>
      </c>
      <c r="C52" s="233">
        <v>1.8</v>
      </c>
      <c r="D52" s="233" t="s">
        <v>45</v>
      </c>
      <c r="E52" s="233">
        <v>2.6</v>
      </c>
      <c r="F52" s="233" t="s">
        <v>46</v>
      </c>
      <c r="G52" s="233">
        <f t="shared" si="6"/>
        <v>4.68</v>
      </c>
      <c r="H52" s="95"/>
      <c r="I52" s="95"/>
      <c r="J52" s="95"/>
    </row>
    <row r="53" spans="1:10" s="139" customFormat="1" x14ac:dyDescent="0.2">
      <c r="A53" s="95"/>
      <c r="B53" s="1780" t="s">
        <v>530</v>
      </c>
      <c r="C53" s="303">
        <v>5</v>
      </c>
      <c r="D53" s="303" t="s">
        <v>45</v>
      </c>
      <c r="E53" s="303">
        <v>2.6</v>
      </c>
      <c r="F53" s="303" t="s">
        <v>46</v>
      </c>
      <c r="G53" s="303">
        <f t="shared" si="6"/>
        <v>13</v>
      </c>
      <c r="H53" s="95"/>
      <c r="I53" s="95"/>
      <c r="J53" s="95"/>
    </row>
    <row r="54" spans="1:10" s="139" customFormat="1" x14ac:dyDescent="0.2">
      <c r="A54" s="95"/>
      <c r="B54" s="1781"/>
      <c r="C54" s="303">
        <v>4.9000000000000004</v>
      </c>
      <c r="D54" s="303" t="s">
        <v>45</v>
      </c>
      <c r="E54" s="303">
        <v>2.6</v>
      </c>
      <c r="F54" s="303" t="s">
        <v>46</v>
      </c>
      <c r="G54" s="303">
        <f t="shared" ref="G54" si="8">ROUND(C54*E54,2)</f>
        <v>12.74</v>
      </c>
      <c r="H54" s="95"/>
      <c r="I54" s="95"/>
      <c r="J54" s="95"/>
    </row>
    <row r="55" spans="1:10" x14ac:dyDescent="0.2">
      <c r="A55" s="95"/>
      <c r="B55" s="422" t="s">
        <v>467</v>
      </c>
      <c r="C55" s="233">
        <v>4.2</v>
      </c>
      <c r="D55" s="233" t="s">
        <v>45</v>
      </c>
      <c r="E55" s="233">
        <v>2.6</v>
      </c>
      <c r="F55" s="233" t="s">
        <v>46</v>
      </c>
      <c r="G55" s="233">
        <f t="shared" ref="G55" si="9">ROUND(C55*E55,2)</f>
        <v>10.92</v>
      </c>
      <c r="H55" s="95"/>
      <c r="I55" s="95"/>
      <c r="J55" s="95"/>
    </row>
    <row r="56" spans="1:10" x14ac:dyDescent="0.2">
      <c r="A56" s="95"/>
      <c r="B56" s="1771" t="s">
        <v>534</v>
      </c>
      <c r="C56" s="1772"/>
      <c r="D56" s="1772"/>
      <c r="E56" s="1772"/>
      <c r="F56" s="1772"/>
      <c r="G56" s="1773"/>
      <c r="H56" s="95"/>
      <c r="I56" s="95"/>
      <c r="J56" s="95"/>
    </row>
    <row r="57" spans="1:10" x14ac:dyDescent="0.2">
      <c r="A57" s="95"/>
      <c r="B57" s="1774" t="s">
        <v>280</v>
      </c>
      <c r="C57" s="233">
        <v>5.45</v>
      </c>
      <c r="D57" s="233" t="s">
        <v>45</v>
      </c>
      <c r="E57" s="233">
        <v>1.65</v>
      </c>
      <c r="F57" s="233" t="s">
        <v>46</v>
      </c>
      <c r="G57" s="233">
        <f t="shared" ref="G57" si="10">ROUND(C57*E57,2)</f>
        <v>8.99</v>
      </c>
      <c r="H57" s="95"/>
      <c r="I57" s="95"/>
      <c r="J57" s="95"/>
    </row>
    <row r="58" spans="1:10" x14ac:dyDescent="0.2">
      <c r="A58" s="95"/>
      <c r="B58" s="1775"/>
      <c r="C58" s="233">
        <v>9.9</v>
      </c>
      <c r="D58" s="233" t="s">
        <v>45</v>
      </c>
      <c r="E58" s="233">
        <v>1.65</v>
      </c>
      <c r="F58" s="233" t="s">
        <v>46</v>
      </c>
      <c r="G58" s="233">
        <f t="shared" ref="G58:G60" si="11">ROUND(C58*E58,2)</f>
        <v>16.34</v>
      </c>
      <c r="H58" s="95"/>
      <c r="I58" s="95"/>
      <c r="J58" s="95"/>
    </row>
    <row r="59" spans="1:10" x14ac:dyDescent="0.2">
      <c r="A59" s="95"/>
      <c r="B59" s="1775"/>
      <c r="C59" s="233">
        <v>5.45</v>
      </c>
      <c r="D59" s="233" t="s">
        <v>45</v>
      </c>
      <c r="E59" s="233">
        <v>1.65</v>
      </c>
      <c r="F59" s="233" t="s">
        <v>46</v>
      </c>
      <c r="G59" s="233">
        <f t="shared" ref="G59" si="12">ROUND(C59*E59,2)</f>
        <v>8.99</v>
      </c>
      <c r="H59" s="95"/>
      <c r="I59" s="95"/>
      <c r="J59" s="95"/>
    </row>
    <row r="60" spans="1:10" x14ac:dyDescent="0.2">
      <c r="A60" s="95"/>
      <c r="B60" s="1776"/>
      <c r="C60" s="233">
        <v>10.1</v>
      </c>
      <c r="D60" s="233" t="s">
        <v>45</v>
      </c>
      <c r="E60" s="233">
        <v>1.65</v>
      </c>
      <c r="F60" s="233" t="s">
        <v>46</v>
      </c>
      <c r="G60" s="233">
        <f t="shared" si="11"/>
        <v>16.670000000000002</v>
      </c>
      <c r="H60" s="95"/>
      <c r="I60" s="95"/>
      <c r="J60" s="95"/>
    </row>
    <row r="61" spans="1:10" x14ac:dyDescent="0.2">
      <c r="A61" s="95"/>
      <c r="B61" s="1771" t="s">
        <v>535</v>
      </c>
      <c r="C61" s="1772"/>
      <c r="D61" s="1772"/>
      <c r="E61" s="1772"/>
      <c r="F61" s="1772"/>
      <c r="G61" s="1773"/>
      <c r="H61" s="95"/>
      <c r="I61" s="95"/>
      <c r="J61" s="95"/>
    </row>
    <row r="62" spans="1:10" x14ac:dyDescent="0.2">
      <c r="A62" s="95"/>
      <c r="B62" s="1774" t="s">
        <v>536</v>
      </c>
      <c r="C62" s="233">
        <v>2.35</v>
      </c>
      <c r="D62" s="233" t="s">
        <v>45</v>
      </c>
      <c r="E62" s="233">
        <v>0.95</v>
      </c>
      <c r="F62" s="233" t="s">
        <v>46</v>
      </c>
      <c r="G62" s="233">
        <f t="shared" ref="G62:G66" si="13">ROUND(C62*E62,2)</f>
        <v>2.23</v>
      </c>
      <c r="H62" s="95"/>
      <c r="I62" s="95"/>
      <c r="J62" s="95"/>
    </row>
    <row r="63" spans="1:10" x14ac:dyDescent="0.2">
      <c r="A63" s="95"/>
      <c r="B63" s="1775"/>
      <c r="C63" s="233">
        <v>26.45</v>
      </c>
      <c r="D63" s="233" t="s">
        <v>45</v>
      </c>
      <c r="E63" s="233">
        <v>0.95</v>
      </c>
      <c r="F63" s="233" t="s">
        <v>46</v>
      </c>
      <c r="G63" s="233">
        <f t="shared" si="13"/>
        <v>25.13</v>
      </c>
      <c r="H63" s="95"/>
      <c r="I63" s="95"/>
      <c r="J63" s="95"/>
    </row>
    <row r="64" spans="1:10" x14ac:dyDescent="0.2">
      <c r="A64" s="95"/>
      <c r="B64" s="1775"/>
      <c r="C64" s="233">
        <v>16.350000000000001</v>
      </c>
      <c r="D64" s="233" t="s">
        <v>45</v>
      </c>
      <c r="E64" s="233">
        <v>0.95</v>
      </c>
      <c r="F64" s="233" t="s">
        <v>46</v>
      </c>
      <c r="G64" s="233">
        <f t="shared" si="13"/>
        <v>15.53</v>
      </c>
      <c r="H64" s="95"/>
      <c r="I64" s="95"/>
      <c r="J64" s="95"/>
    </row>
    <row r="65" spans="1:10" x14ac:dyDescent="0.2">
      <c r="A65" s="95"/>
      <c r="B65" s="1775"/>
      <c r="C65" s="233">
        <v>24.4</v>
      </c>
      <c r="D65" s="233" t="s">
        <v>45</v>
      </c>
      <c r="E65" s="233">
        <v>0.95</v>
      </c>
      <c r="F65" s="233" t="s">
        <v>46</v>
      </c>
      <c r="G65" s="233">
        <f t="shared" si="13"/>
        <v>23.18</v>
      </c>
      <c r="H65" s="95"/>
      <c r="I65" s="95"/>
      <c r="J65" s="95"/>
    </row>
    <row r="66" spans="1:10" x14ac:dyDescent="0.2">
      <c r="A66" s="95"/>
      <c r="B66" s="1776"/>
      <c r="C66" s="233">
        <v>4.05</v>
      </c>
      <c r="D66" s="233" t="s">
        <v>45</v>
      </c>
      <c r="E66" s="233">
        <v>0.95</v>
      </c>
      <c r="F66" s="233" t="s">
        <v>46</v>
      </c>
      <c r="G66" s="233">
        <f t="shared" si="13"/>
        <v>3.85</v>
      </c>
      <c r="H66" s="95"/>
      <c r="I66" s="95"/>
      <c r="J66" s="95"/>
    </row>
    <row r="67" spans="1:10" x14ac:dyDescent="0.2">
      <c r="A67" s="95"/>
      <c r="B67" s="196"/>
      <c r="C67" s="196"/>
      <c r="D67" s="196"/>
      <c r="E67" s="196"/>
      <c r="F67" s="196"/>
      <c r="G67" s="196"/>
      <c r="H67" s="95"/>
      <c r="I67" s="95"/>
      <c r="J67" s="95"/>
    </row>
    <row r="68" spans="1:10" x14ac:dyDescent="0.2">
      <c r="A68" s="95"/>
      <c r="B68" s="365" t="s">
        <v>460</v>
      </c>
      <c r="C68" s="366">
        <f>ROUND(SUM(G18:G67),2)</f>
        <v>759.21</v>
      </c>
      <c r="D68" s="367" t="s">
        <v>4</v>
      </c>
      <c r="E68" s="95"/>
      <c r="F68" s="95"/>
      <c r="G68" s="95"/>
      <c r="H68" s="95"/>
      <c r="I68" s="95"/>
      <c r="J68" s="95"/>
    </row>
    <row r="69" spans="1:10" x14ac:dyDescent="0.2">
      <c r="A69" s="95"/>
      <c r="B69" s="368"/>
      <c r="C69" s="368"/>
      <c r="D69" s="368"/>
      <c r="E69" s="95"/>
      <c r="F69" s="95"/>
      <c r="G69" s="95"/>
      <c r="H69" s="95"/>
      <c r="I69" s="95"/>
      <c r="J69" s="95"/>
    </row>
    <row r="70" spans="1:10" x14ac:dyDescent="0.2">
      <c r="A70" s="95"/>
      <c r="B70" s="1768" t="s">
        <v>538</v>
      </c>
      <c r="C70" s="1768"/>
      <c r="D70" s="1768"/>
      <c r="E70" s="1768"/>
      <c r="F70" s="1768"/>
      <c r="G70" s="1768"/>
      <c r="H70" s="1768"/>
      <c r="I70" s="1768"/>
      <c r="J70" s="95"/>
    </row>
    <row r="71" spans="1:10" s="325" customFormat="1" x14ac:dyDescent="0.2">
      <c r="A71" s="253"/>
      <c r="B71" s="425" t="s">
        <v>537</v>
      </c>
      <c r="C71" s="375" t="s">
        <v>405</v>
      </c>
      <c r="D71" s="375"/>
      <c r="E71" s="375" t="s">
        <v>311</v>
      </c>
      <c r="F71" s="239"/>
      <c r="G71" s="375" t="s">
        <v>469</v>
      </c>
      <c r="H71" s="239"/>
      <c r="I71" s="375" t="s">
        <v>213</v>
      </c>
    </row>
    <row r="72" spans="1:10" x14ac:dyDescent="0.2">
      <c r="A72" s="95"/>
      <c r="B72" s="1769" t="s">
        <v>280</v>
      </c>
      <c r="C72" s="375">
        <v>1.6</v>
      </c>
      <c r="D72" s="303" t="s">
        <v>45</v>
      </c>
      <c r="E72" s="429">
        <v>2.1</v>
      </c>
      <c r="F72" s="303" t="s">
        <v>45</v>
      </c>
      <c r="G72" s="303">
        <v>1</v>
      </c>
      <c r="H72" s="303" t="s">
        <v>46</v>
      </c>
      <c r="I72" s="303">
        <f t="shared" ref="I72:I87" si="14">ROUND(C72*E72*G72,2)</f>
        <v>3.36</v>
      </c>
    </row>
    <row r="73" spans="1:10" x14ac:dyDescent="0.2">
      <c r="A73" s="95"/>
      <c r="B73" s="1770"/>
      <c r="C73" s="375">
        <v>3</v>
      </c>
      <c r="D73" s="303" t="s">
        <v>45</v>
      </c>
      <c r="E73" s="429">
        <v>2.1</v>
      </c>
      <c r="F73" s="303" t="s">
        <v>45</v>
      </c>
      <c r="G73" s="303">
        <v>1</v>
      </c>
      <c r="H73" s="303" t="s">
        <v>46</v>
      </c>
      <c r="I73" s="303">
        <f t="shared" si="14"/>
        <v>6.3</v>
      </c>
    </row>
    <row r="74" spans="1:10" x14ac:dyDescent="0.2">
      <c r="A74" s="95"/>
      <c r="B74" s="427" t="s">
        <v>540</v>
      </c>
      <c r="C74" s="375">
        <v>0.9</v>
      </c>
      <c r="D74" s="303" t="s">
        <v>45</v>
      </c>
      <c r="E74" s="429">
        <v>2.1</v>
      </c>
      <c r="F74" s="303" t="s">
        <v>45</v>
      </c>
      <c r="G74" s="303">
        <v>5</v>
      </c>
      <c r="H74" s="303" t="s">
        <v>46</v>
      </c>
      <c r="I74" s="303">
        <f t="shared" si="14"/>
        <v>9.4499999999999993</v>
      </c>
    </row>
    <row r="75" spans="1:10" x14ac:dyDescent="0.2">
      <c r="A75" s="95"/>
      <c r="B75" s="427" t="s">
        <v>481</v>
      </c>
      <c r="C75" s="375">
        <v>0.9</v>
      </c>
      <c r="D75" s="303" t="s">
        <v>45</v>
      </c>
      <c r="E75" s="429">
        <v>2.1</v>
      </c>
      <c r="F75" s="303" t="s">
        <v>45</v>
      </c>
      <c r="G75" s="303">
        <v>1</v>
      </c>
      <c r="H75" s="303" t="s">
        <v>46</v>
      </c>
      <c r="I75" s="303">
        <f t="shared" si="14"/>
        <v>1.89</v>
      </c>
    </row>
    <row r="76" spans="1:10" x14ac:dyDescent="0.2">
      <c r="A76" s="95"/>
      <c r="B76" s="427" t="s">
        <v>539</v>
      </c>
      <c r="C76" s="375">
        <v>0.9</v>
      </c>
      <c r="D76" s="303" t="s">
        <v>45</v>
      </c>
      <c r="E76" s="429">
        <v>2.1</v>
      </c>
      <c r="F76" s="303" t="s">
        <v>45</v>
      </c>
      <c r="G76" s="303">
        <v>3</v>
      </c>
      <c r="H76" s="303" t="s">
        <v>46</v>
      </c>
      <c r="I76" s="303">
        <f t="shared" si="14"/>
        <v>5.67</v>
      </c>
    </row>
    <row r="77" spans="1:10" x14ac:dyDescent="0.2">
      <c r="A77" s="95"/>
      <c r="B77" s="427" t="s">
        <v>467</v>
      </c>
      <c r="C77" s="375">
        <v>1.8</v>
      </c>
      <c r="D77" s="303" t="s">
        <v>45</v>
      </c>
      <c r="E77" s="429">
        <v>2.1</v>
      </c>
      <c r="F77" s="303" t="s">
        <v>45</v>
      </c>
      <c r="G77" s="303">
        <v>1</v>
      </c>
      <c r="H77" s="303" t="s">
        <v>46</v>
      </c>
      <c r="I77" s="303">
        <f t="shared" si="14"/>
        <v>3.78</v>
      </c>
    </row>
    <row r="78" spans="1:10" x14ac:dyDescent="0.2">
      <c r="A78" s="95"/>
      <c r="B78" s="427" t="s">
        <v>464</v>
      </c>
      <c r="C78" s="375">
        <v>1.8</v>
      </c>
      <c r="D78" s="303" t="s">
        <v>45</v>
      </c>
      <c r="E78" s="429">
        <v>2.1</v>
      </c>
      <c r="F78" s="303" t="s">
        <v>45</v>
      </c>
      <c r="G78" s="303">
        <v>1</v>
      </c>
      <c r="H78" s="303" t="s">
        <v>46</v>
      </c>
      <c r="I78" s="303">
        <f t="shared" si="14"/>
        <v>3.78</v>
      </c>
    </row>
    <row r="79" spans="1:10" x14ac:dyDescent="0.2">
      <c r="A79" s="95"/>
      <c r="B79" s="427" t="s">
        <v>541</v>
      </c>
      <c r="C79" s="375">
        <v>1</v>
      </c>
      <c r="D79" s="303" t="s">
        <v>45</v>
      </c>
      <c r="E79" s="429">
        <v>2</v>
      </c>
      <c r="F79" s="303" t="s">
        <v>45</v>
      </c>
      <c r="G79" s="303">
        <v>1</v>
      </c>
      <c r="H79" s="303" t="s">
        <v>46</v>
      </c>
      <c r="I79" s="303">
        <f t="shared" si="14"/>
        <v>2</v>
      </c>
    </row>
    <row r="80" spans="1:10" x14ac:dyDescent="0.2">
      <c r="A80" s="95"/>
      <c r="B80" s="1769" t="s">
        <v>461</v>
      </c>
      <c r="C80" s="375">
        <v>0.9</v>
      </c>
      <c r="D80" s="303" t="s">
        <v>45</v>
      </c>
      <c r="E80" s="429">
        <v>2.1</v>
      </c>
      <c r="F80" s="303" t="s">
        <v>45</v>
      </c>
      <c r="G80" s="303">
        <v>1</v>
      </c>
      <c r="H80" s="303" t="s">
        <v>46</v>
      </c>
      <c r="I80" s="303">
        <f t="shared" si="14"/>
        <v>1.89</v>
      </c>
    </row>
    <row r="81" spans="1:10" x14ac:dyDescent="0.2">
      <c r="A81" s="95"/>
      <c r="B81" s="1770"/>
      <c r="C81" s="375">
        <v>1.8</v>
      </c>
      <c r="D81" s="303" t="s">
        <v>45</v>
      </c>
      <c r="E81" s="429">
        <v>2.1</v>
      </c>
      <c r="F81" s="303" t="s">
        <v>45</v>
      </c>
      <c r="G81" s="303">
        <v>1</v>
      </c>
      <c r="H81" s="303" t="s">
        <v>46</v>
      </c>
      <c r="I81" s="303">
        <f t="shared" si="14"/>
        <v>3.78</v>
      </c>
    </row>
    <row r="82" spans="1:10" x14ac:dyDescent="0.2">
      <c r="A82" s="95"/>
      <c r="B82" s="427" t="s">
        <v>462</v>
      </c>
      <c r="C82" s="375">
        <v>0.8</v>
      </c>
      <c r="D82" s="303" t="s">
        <v>45</v>
      </c>
      <c r="E82" s="429">
        <v>2.1</v>
      </c>
      <c r="F82" s="303" t="s">
        <v>45</v>
      </c>
      <c r="G82" s="303">
        <v>1</v>
      </c>
      <c r="H82" s="303" t="s">
        <v>46</v>
      </c>
      <c r="I82" s="303">
        <f t="shared" si="14"/>
        <v>1.68</v>
      </c>
    </row>
    <row r="83" spans="1:10" x14ac:dyDescent="0.2">
      <c r="A83" s="95"/>
      <c r="B83" s="427" t="s">
        <v>542</v>
      </c>
      <c r="C83" s="375">
        <v>0.8</v>
      </c>
      <c r="D83" s="303" t="s">
        <v>45</v>
      </c>
      <c r="E83" s="429">
        <v>2.1</v>
      </c>
      <c r="F83" s="303" t="s">
        <v>45</v>
      </c>
      <c r="G83" s="303">
        <v>2</v>
      </c>
      <c r="H83" s="303" t="s">
        <v>46</v>
      </c>
      <c r="I83" s="303">
        <f t="shared" si="14"/>
        <v>3.36</v>
      </c>
    </row>
    <row r="84" spans="1:10" x14ac:dyDescent="0.2">
      <c r="A84" s="95"/>
      <c r="B84" s="427" t="s">
        <v>211</v>
      </c>
      <c r="C84" s="375">
        <v>0.8</v>
      </c>
      <c r="D84" s="303" t="s">
        <v>45</v>
      </c>
      <c r="E84" s="429">
        <v>2.1</v>
      </c>
      <c r="F84" s="303" t="s">
        <v>45</v>
      </c>
      <c r="G84" s="303">
        <v>2</v>
      </c>
      <c r="H84" s="303" t="s">
        <v>46</v>
      </c>
      <c r="I84" s="303">
        <f t="shared" si="14"/>
        <v>3.36</v>
      </c>
    </row>
    <row r="85" spans="1:10" x14ac:dyDescent="0.2">
      <c r="A85" s="95"/>
      <c r="B85" s="427" t="s">
        <v>463</v>
      </c>
      <c r="C85" s="375">
        <v>0.8</v>
      </c>
      <c r="D85" s="303" t="s">
        <v>45</v>
      </c>
      <c r="E85" s="429">
        <v>2.1</v>
      </c>
      <c r="F85" s="303" t="s">
        <v>45</v>
      </c>
      <c r="G85" s="303">
        <v>1</v>
      </c>
      <c r="H85" s="303" t="s">
        <v>46</v>
      </c>
      <c r="I85" s="303">
        <f t="shared" si="14"/>
        <v>1.68</v>
      </c>
    </row>
    <row r="86" spans="1:10" x14ac:dyDescent="0.2">
      <c r="A86" s="95"/>
      <c r="B86" s="427" t="s">
        <v>478</v>
      </c>
      <c r="C86" s="375">
        <v>0.8</v>
      </c>
      <c r="D86" s="303" t="s">
        <v>45</v>
      </c>
      <c r="E86" s="429">
        <v>2.1</v>
      </c>
      <c r="F86" s="303" t="s">
        <v>45</v>
      </c>
      <c r="G86" s="303">
        <v>1</v>
      </c>
      <c r="H86" s="303" t="s">
        <v>46</v>
      </c>
      <c r="I86" s="303">
        <f t="shared" si="14"/>
        <v>1.68</v>
      </c>
    </row>
    <row r="87" spans="1:10" x14ac:dyDescent="0.2">
      <c r="A87" s="95"/>
      <c r="B87" s="427" t="s">
        <v>465</v>
      </c>
      <c r="C87" s="375">
        <v>0.8</v>
      </c>
      <c r="D87" s="303" t="s">
        <v>45</v>
      </c>
      <c r="E87" s="429">
        <v>2.1</v>
      </c>
      <c r="F87" s="303" t="s">
        <v>45</v>
      </c>
      <c r="G87" s="303">
        <v>1</v>
      </c>
      <c r="H87" s="303" t="s">
        <v>46</v>
      </c>
      <c r="I87" s="303">
        <f t="shared" si="14"/>
        <v>1.68</v>
      </c>
    </row>
    <row r="88" spans="1:10" x14ac:dyDescent="0.2">
      <c r="A88" s="95"/>
      <c r="B88" s="1768" t="s">
        <v>543</v>
      </c>
      <c r="C88" s="1768"/>
      <c r="D88" s="1768"/>
      <c r="E88" s="1768"/>
      <c r="F88" s="1768"/>
      <c r="G88" s="1768"/>
      <c r="H88" s="1768"/>
      <c r="I88" s="1768"/>
      <c r="J88" s="95"/>
    </row>
    <row r="89" spans="1:10" s="325" customFormat="1" x14ac:dyDescent="0.2">
      <c r="A89" s="253"/>
      <c r="B89" s="425" t="s">
        <v>537</v>
      </c>
      <c r="C89" s="375" t="s">
        <v>405</v>
      </c>
      <c r="D89" s="375"/>
      <c r="E89" s="375" t="s">
        <v>311</v>
      </c>
      <c r="F89" s="239"/>
      <c r="G89" s="375" t="s">
        <v>469</v>
      </c>
      <c r="H89" s="239"/>
      <c r="I89" s="375" t="s">
        <v>213</v>
      </c>
    </row>
    <row r="90" spans="1:10" s="139" customFormat="1" ht="15.75" customHeight="1" x14ac:dyDescent="0.2">
      <c r="A90" s="95"/>
      <c r="B90" s="1782" t="s">
        <v>280</v>
      </c>
      <c r="C90" s="429">
        <v>1.4</v>
      </c>
      <c r="D90" s="303" t="s">
        <v>45</v>
      </c>
      <c r="E90" s="429">
        <v>2.2000000000000002</v>
      </c>
      <c r="F90" s="303" t="s">
        <v>45</v>
      </c>
      <c r="G90" s="303">
        <v>1</v>
      </c>
      <c r="H90" s="303" t="s">
        <v>46</v>
      </c>
      <c r="I90" s="303">
        <f t="shared" ref="I90:I108" si="15">ROUND(C90*E90*G90,2)</f>
        <v>3.08</v>
      </c>
    </row>
    <row r="91" spans="1:10" s="139" customFormat="1" ht="15.75" customHeight="1" x14ac:dyDescent="0.2">
      <c r="A91" s="95"/>
      <c r="B91" s="1783"/>
      <c r="C91" s="429">
        <v>4.55</v>
      </c>
      <c r="D91" s="303" t="s">
        <v>45</v>
      </c>
      <c r="E91" s="429">
        <v>2.2000000000000002</v>
      </c>
      <c r="F91" s="303" t="s">
        <v>45</v>
      </c>
      <c r="G91" s="303">
        <v>1</v>
      </c>
      <c r="H91" s="303" t="s">
        <v>46</v>
      </c>
      <c r="I91" s="303">
        <f t="shared" si="15"/>
        <v>10.01</v>
      </c>
    </row>
    <row r="92" spans="1:10" s="139" customFormat="1" ht="15.75" customHeight="1" x14ac:dyDescent="0.2">
      <c r="A92" s="95"/>
      <c r="B92" s="428" t="s">
        <v>540</v>
      </c>
      <c r="C92" s="429">
        <v>1</v>
      </c>
      <c r="D92" s="303" t="s">
        <v>45</v>
      </c>
      <c r="E92" s="429">
        <v>0.8</v>
      </c>
      <c r="F92" s="303" t="s">
        <v>45</v>
      </c>
      <c r="G92" s="303">
        <v>5</v>
      </c>
      <c r="H92" s="303" t="s">
        <v>46</v>
      </c>
      <c r="I92" s="303">
        <f t="shared" si="15"/>
        <v>4</v>
      </c>
    </row>
    <row r="93" spans="1:10" s="139" customFormat="1" ht="15.75" customHeight="1" x14ac:dyDescent="0.2">
      <c r="A93" s="95"/>
      <c r="B93" s="428" t="s">
        <v>481</v>
      </c>
      <c r="C93" s="429">
        <v>1</v>
      </c>
      <c r="D93" s="303" t="s">
        <v>45</v>
      </c>
      <c r="E93" s="429">
        <v>0.8</v>
      </c>
      <c r="F93" s="303" t="s">
        <v>45</v>
      </c>
      <c r="G93" s="303">
        <v>1</v>
      </c>
      <c r="H93" s="303" t="s">
        <v>46</v>
      </c>
      <c r="I93" s="303">
        <f t="shared" si="15"/>
        <v>0.8</v>
      </c>
    </row>
    <row r="94" spans="1:10" s="139" customFormat="1" ht="15.75" customHeight="1" x14ac:dyDescent="0.2">
      <c r="A94" s="95"/>
      <c r="B94" s="428" t="s">
        <v>539</v>
      </c>
      <c r="C94" s="429">
        <v>2.2000000000000002</v>
      </c>
      <c r="D94" s="303" t="s">
        <v>45</v>
      </c>
      <c r="E94" s="429">
        <v>0.8</v>
      </c>
      <c r="F94" s="303" t="s">
        <v>45</v>
      </c>
      <c r="G94" s="303">
        <v>3</v>
      </c>
      <c r="H94" s="303" t="s">
        <v>46</v>
      </c>
      <c r="I94" s="303">
        <f t="shared" si="15"/>
        <v>5.28</v>
      </c>
    </row>
    <row r="95" spans="1:10" s="139" customFormat="1" ht="15.75" customHeight="1" x14ac:dyDescent="0.2">
      <c r="A95" s="95"/>
      <c r="B95" s="428" t="s">
        <v>467</v>
      </c>
      <c r="C95" s="429">
        <v>3.5</v>
      </c>
      <c r="D95" s="303" t="s">
        <v>45</v>
      </c>
      <c r="E95" s="429">
        <v>0.8</v>
      </c>
      <c r="F95" s="303" t="s">
        <v>45</v>
      </c>
      <c r="G95" s="303">
        <v>3</v>
      </c>
      <c r="H95" s="303" t="s">
        <v>46</v>
      </c>
      <c r="I95" s="303">
        <f t="shared" si="15"/>
        <v>8.4</v>
      </c>
      <c r="J95" s="844"/>
    </row>
    <row r="96" spans="1:10" s="139" customFormat="1" ht="15.75" customHeight="1" x14ac:dyDescent="0.2">
      <c r="A96" s="95"/>
      <c r="B96" s="428" t="s">
        <v>464</v>
      </c>
      <c r="C96" s="429">
        <v>2.5</v>
      </c>
      <c r="D96" s="303" t="s">
        <v>45</v>
      </c>
      <c r="E96" s="429">
        <v>0.8</v>
      </c>
      <c r="F96" s="303" t="s">
        <v>45</v>
      </c>
      <c r="G96" s="303">
        <v>2</v>
      </c>
      <c r="H96" s="303" t="s">
        <v>46</v>
      </c>
      <c r="I96" s="303">
        <f t="shared" si="15"/>
        <v>4</v>
      </c>
      <c r="J96" s="844"/>
    </row>
    <row r="97" spans="1:10" s="139" customFormat="1" ht="15.75" customHeight="1" x14ac:dyDescent="0.2">
      <c r="A97" s="95"/>
      <c r="B97" s="428" t="s">
        <v>541</v>
      </c>
      <c r="C97" s="429">
        <v>1</v>
      </c>
      <c r="D97" s="303" t="s">
        <v>45</v>
      </c>
      <c r="E97" s="429">
        <v>0.2</v>
      </c>
      <c r="F97" s="303" t="s">
        <v>45</v>
      </c>
      <c r="G97" s="303">
        <v>1</v>
      </c>
      <c r="H97" s="303" t="s">
        <v>46</v>
      </c>
      <c r="I97" s="303">
        <f t="shared" si="15"/>
        <v>0.2</v>
      </c>
      <c r="J97" s="844"/>
    </row>
    <row r="98" spans="1:10" s="139" customFormat="1" ht="15.75" customHeight="1" x14ac:dyDescent="0.2">
      <c r="A98" s="95"/>
      <c r="B98" s="428" t="s">
        <v>461</v>
      </c>
      <c r="C98" s="429">
        <v>3.5</v>
      </c>
      <c r="D98" s="303" t="s">
        <v>45</v>
      </c>
      <c r="E98" s="429">
        <v>0.8</v>
      </c>
      <c r="F98" s="303" t="s">
        <v>45</v>
      </c>
      <c r="G98" s="303">
        <v>1</v>
      </c>
      <c r="H98" s="303" t="s">
        <v>46</v>
      </c>
      <c r="I98" s="303">
        <f t="shared" si="15"/>
        <v>2.8</v>
      </c>
      <c r="J98" s="844"/>
    </row>
    <row r="99" spans="1:10" s="139" customFormat="1" ht="15.75" customHeight="1" x14ac:dyDescent="0.2">
      <c r="A99" s="95"/>
      <c r="B99" s="428" t="s">
        <v>462</v>
      </c>
      <c r="C99" s="429">
        <v>1.5</v>
      </c>
      <c r="D99" s="303" t="s">
        <v>45</v>
      </c>
      <c r="E99" s="429">
        <v>0.8</v>
      </c>
      <c r="F99" s="303" t="s">
        <v>45</v>
      </c>
      <c r="G99" s="303">
        <v>1</v>
      </c>
      <c r="H99" s="303" t="s">
        <v>46</v>
      </c>
      <c r="I99" s="303">
        <f t="shared" si="15"/>
        <v>1.2</v>
      </c>
      <c r="J99" s="844"/>
    </row>
    <row r="100" spans="1:10" s="139" customFormat="1" ht="15.75" customHeight="1" x14ac:dyDescent="0.2">
      <c r="A100" s="95"/>
      <c r="B100" s="428" t="s">
        <v>542</v>
      </c>
      <c r="C100" s="429">
        <v>1</v>
      </c>
      <c r="D100" s="303" t="s">
        <v>45</v>
      </c>
      <c r="E100" s="429">
        <v>0.8</v>
      </c>
      <c r="F100" s="303" t="s">
        <v>45</v>
      </c>
      <c r="G100" s="303">
        <v>2</v>
      </c>
      <c r="H100" s="303" t="s">
        <v>46</v>
      </c>
      <c r="I100" s="303">
        <f t="shared" si="15"/>
        <v>1.6</v>
      </c>
      <c r="J100" s="844"/>
    </row>
    <row r="101" spans="1:10" s="139" customFormat="1" ht="15.75" customHeight="1" x14ac:dyDescent="0.2">
      <c r="A101" s="95"/>
      <c r="B101" s="1782" t="s">
        <v>211</v>
      </c>
      <c r="C101" s="429">
        <v>1.5</v>
      </c>
      <c r="D101" s="303" t="s">
        <v>45</v>
      </c>
      <c r="E101" s="429">
        <v>0.8</v>
      </c>
      <c r="F101" s="303" t="s">
        <v>45</v>
      </c>
      <c r="G101" s="303">
        <v>1</v>
      </c>
      <c r="H101" s="303" t="s">
        <v>46</v>
      </c>
      <c r="I101" s="303">
        <f t="shared" si="15"/>
        <v>1.2</v>
      </c>
      <c r="J101" s="844"/>
    </row>
    <row r="102" spans="1:10" s="139" customFormat="1" ht="15.75" customHeight="1" x14ac:dyDescent="0.2">
      <c r="A102" s="95"/>
      <c r="B102" s="1783"/>
      <c r="C102" s="429">
        <v>2.2000000000000002</v>
      </c>
      <c r="D102" s="303" t="s">
        <v>45</v>
      </c>
      <c r="E102" s="429">
        <v>0.8</v>
      </c>
      <c r="F102" s="303" t="s">
        <v>45</v>
      </c>
      <c r="G102" s="303">
        <v>1</v>
      </c>
      <c r="H102" s="303" t="s">
        <v>46</v>
      </c>
      <c r="I102" s="303">
        <f t="shared" ref="I102" si="16">ROUND(C102*E102*G102,2)</f>
        <v>1.76</v>
      </c>
      <c r="J102" s="844"/>
    </row>
    <row r="103" spans="1:10" s="139" customFormat="1" ht="15.75" customHeight="1" x14ac:dyDescent="0.2">
      <c r="A103" s="95"/>
      <c r="B103" s="428" t="s">
        <v>463</v>
      </c>
      <c r="C103" s="429">
        <v>1</v>
      </c>
      <c r="D103" s="303" t="s">
        <v>45</v>
      </c>
      <c r="E103" s="429">
        <v>0.8</v>
      </c>
      <c r="F103" s="303" t="s">
        <v>45</v>
      </c>
      <c r="G103" s="303">
        <v>1</v>
      </c>
      <c r="H103" s="303" t="s">
        <v>46</v>
      </c>
      <c r="I103" s="303">
        <f t="shared" si="15"/>
        <v>0.8</v>
      </c>
      <c r="J103" s="844"/>
    </row>
    <row r="104" spans="1:10" s="139" customFormat="1" ht="15.75" customHeight="1" x14ac:dyDescent="0.2">
      <c r="A104" s="95"/>
      <c r="B104" s="428" t="s">
        <v>478</v>
      </c>
      <c r="C104" s="429">
        <v>2.5</v>
      </c>
      <c r="D104" s="303" t="s">
        <v>45</v>
      </c>
      <c r="E104" s="429">
        <v>0.8</v>
      </c>
      <c r="F104" s="303" t="s">
        <v>45</v>
      </c>
      <c r="G104" s="303">
        <v>1</v>
      </c>
      <c r="H104" s="303" t="s">
        <v>46</v>
      </c>
      <c r="I104" s="303">
        <f t="shared" si="15"/>
        <v>2</v>
      </c>
    </row>
    <row r="105" spans="1:10" s="139" customFormat="1" ht="15.75" customHeight="1" x14ac:dyDescent="0.2">
      <c r="A105" s="95"/>
      <c r="B105" s="428" t="s">
        <v>465</v>
      </c>
      <c r="C105" s="429">
        <v>1.5</v>
      </c>
      <c r="D105" s="303" t="s">
        <v>45</v>
      </c>
      <c r="E105" s="429">
        <v>0.8</v>
      </c>
      <c r="F105" s="303" t="s">
        <v>45</v>
      </c>
      <c r="G105" s="303">
        <v>1</v>
      </c>
      <c r="H105" s="303" t="s">
        <v>46</v>
      </c>
      <c r="I105" s="303">
        <f t="shared" si="15"/>
        <v>1.2</v>
      </c>
    </row>
    <row r="106" spans="1:10" x14ac:dyDescent="0.2">
      <c r="A106" s="95"/>
      <c r="B106" s="1768" t="s">
        <v>544</v>
      </c>
      <c r="C106" s="1768"/>
      <c r="D106" s="1768"/>
      <c r="E106" s="1768"/>
      <c r="F106" s="1768"/>
      <c r="G106" s="1768"/>
      <c r="H106" s="1768"/>
      <c r="I106" s="1768"/>
      <c r="J106" s="95"/>
    </row>
    <row r="107" spans="1:10" s="325" customFormat="1" x14ac:dyDescent="0.2">
      <c r="A107" s="253"/>
      <c r="B107" s="425" t="s">
        <v>537</v>
      </c>
      <c r="C107" s="426" t="s">
        <v>405</v>
      </c>
      <c r="D107" s="426"/>
      <c r="E107" s="426" t="s">
        <v>311</v>
      </c>
      <c r="F107" s="239"/>
      <c r="G107" s="426" t="s">
        <v>469</v>
      </c>
      <c r="H107" s="239"/>
      <c r="I107" s="426" t="s">
        <v>213</v>
      </c>
    </row>
    <row r="108" spans="1:10" x14ac:dyDescent="0.2">
      <c r="A108" s="95"/>
      <c r="B108" s="1784" t="s">
        <v>504</v>
      </c>
      <c r="C108" s="375">
        <v>1.5</v>
      </c>
      <c r="D108" s="303" t="s">
        <v>45</v>
      </c>
      <c r="E108" s="429">
        <v>2</v>
      </c>
      <c r="F108" s="303" t="s">
        <v>45</v>
      </c>
      <c r="G108" s="303">
        <v>1</v>
      </c>
      <c r="H108" s="303" t="s">
        <v>46</v>
      </c>
      <c r="I108" s="303">
        <f t="shared" si="15"/>
        <v>3</v>
      </c>
    </row>
    <row r="109" spans="1:10" x14ac:dyDescent="0.2">
      <c r="A109" s="95"/>
      <c r="B109" s="1784"/>
      <c r="C109" s="375">
        <v>1.5</v>
      </c>
      <c r="D109" s="303" t="s">
        <v>45</v>
      </c>
      <c r="E109" s="429">
        <v>2.5</v>
      </c>
      <c r="F109" s="303" t="s">
        <v>45</v>
      </c>
      <c r="G109" s="303">
        <v>1</v>
      </c>
      <c r="H109" s="303" t="s">
        <v>46</v>
      </c>
      <c r="I109" s="303">
        <f t="shared" ref="I109" si="17">ROUND(C109*E109*G109,2)</f>
        <v>3.75</v>
      </c>
    </row>
    <row r="110" spans="1:10" x14ac:dyDescent="0.2">
      <c r="A110" s="95"/>
      <c r="B110" s="368"/>
      <c r="C110" s="368"/>
      <c r="D110" s="368"/>
      <c r="E110" s="436"/>
      <c r="F110" s="95"/>
      <c r="G110" s="95"/>
      <c r="H110" s="95"/>
      <c r="I110" s="95"/>
      <c r="J110" s="95"/>
    </row>
    <row r="111" spans="1:10" x14ac:dyDescent="0.2">
      <c r="A111" s="95"/>
      <c r="B111" s="365" t="s">
        <v>468</v>
      </c>
      <c r="C111" s="366">
        <f>ROUND(SUM(I72:I109),2)</f>
        <v>110.42</v>
      </c>
      <c r="D111" s="367" t="s">
        <v>4</v>
      </c>
      <c r="E111" s="436"/>
      <c r="F111" s="95"/>
      <c r="G111" s="95"/>
      <c r="H111" s="95"/>
      <c r="I111" s="95"/>
      <c r="J111" s="95"/>
    </row>
    <row r="112" spans="1:10" x14ac:dyDescent="0.2">
      <c r="A112" s="95"/>
      <c r="B112" s="368"/>
      <c r="C112" s="368"/>
      <c r="D112" s="368"/>
      <c r="E112" s="95"/>
      <c r="F112" s="95"/>
      <c r="G112" s="95"/>
      <c r="H112" s="95"/>
      <c r="I112" s="95"/>
      <c r="J112" s="95"/>
    </row>
    <row r="113" spans="1:10" x14ac:dyDescent="0.2">
      <c r="A113" s="95"/>
      <c r="B113" s="369"/>
      <c r="C113" s="370" t="s">
        <v>471</v>
      </c>
      <c r="D113" s="370"/>
      <c r="E113" s="370" t="s">
        <v>468</v>
      </c>
      <c r="F113" s="370"/>
      <c r="G113" s="371" t="s">
        <v>213</v>
      </c>
      <c r="H113" s="95"/>
      <c r="I113" s="95"/>
      <c r="J113" s="95"/>
    </row>
    <row r="114" spans="1:10" x14ac:dyDescent="0.2">
      <c r="A114" s="95"/>
      <c r="B114" s="372" t="s">
        <v>470</v>
      </c>
      <c r="C114" s="373">
        <f>C68</f>
        <v>759.21</v>
      </c>
      <c r="D114" s="373" t="s">
        <v>215</v>
      </c>
      <c r="E114" s="373">
        <f>C111</f>
        <v>110.42</v>
      </c>
      <c r="F114" s="373" t="s">
        <v>46</v>
      </c>
      <c r="G114" s="374">
        <f>ROUND(C114-E114,2)</f>
        <v>648.79</v>
      </c>
      <c r="H114" s="95"/>
      <c r="I114" s="95"/>
      <c r="J114" s="95"/>
    </row>
    <row r="115" spans="1:10" s="21" customFormat="1" x14ac:dyDescent="0.2">
      <c r="A115" s="95"/>
      <c r="B115" s="95"/>
      <c r="C115" s="95"/>
      <c r="D115" s="95"/>
      <c r="E115" s="95"/>
      <c r="F115" s="95"/>
      <c r="G115" s="95"/>
      <c r="H115" s="95"/>
      <c r="I115" s="95"/>
      <c r="J115" s="95"/>
    </row>
    <row r="116" spans="1:10" s="21" customFormat="1" x14ac:dyDescent="0.2">
      <c r="A116" s="226" t="str">
        <f>ORÇ!A105</f>
        <v>7.1.2</v>
      </c>
      <c r="B116" s="461" t="str">
        <f>ORÇ!D105</f>
        <v>FIXAÇÃO (ENCUNHAMENTO) DE ALVENARIA DE VEDAÇÃO COM ARGAMASSA APLICADA COM BISNAGA. AF_03/2016</v>
      </c>
      <c r="C116" s="183"/>
      <c r="D116" s="183"/>
      <c r="E116" s="183"/>
      <c r="F116" s="183"/>
      <c r="G116" s="183"/>
      <c r="H116" s="183"/>
      <c r="I116" s="183"/>
      <c r="J116" s="183"/>
    </row>
    <row r="117" spans="1:10" s="21" customFormat="1" x14ac:dyDescent="0.2">
      <c r="A117" s="95"/>
      <c r="B117" s="95"/>
      <c r="C117" s="95"/>
      <c r="D117" s="95"/>
      <c r="E117" s="95"/>
      <c r="F117" s="95"/>
      <c r="G117" s="95"/>
      <c r="H117" s="95"/>
      <c r="I117" s="95"/>
      <c r="J117" s="95"/>
    </row>
    <row r="118" spans="1:10" s="21" customFormat="1" x14ac:dyDescent="0.2">
      <c r="A118" s="95"/>
      <c r="B118" s="465" t="s">
        <v>459</v>
      </c>
      <c r="C118" s="465" t="s">
        <v>313</v>
      </c>
      <c r="D118" s="95"/>
      <c r="E118" s="95"/>
      <c r="F118" s="95"/>
      <c r="G118" s="95"/>
      <c r="H118" s="95"/>
      <c r="I118" s="95"/>
      <c r="J118" s="95"/>
    </row>
    <row r="119" spans="1:10" s="21" customFormat="1" x14ac:dyDescent="0.2">
      <c r="A119" s="95"/>
      <c r="B119" s="1787" t="s">
        <v>533</v>
      </c>
      <c r="C119" s="1788"/>
      <c r="D119" s="95"/>
      <c r="E119" s="95"/>
      <c r="F119" s="95"/>
      <c r="G119" s="95"/>
      <c r="H119" s="95"/>
      <c r="I119" s="95"/>
      <c r="J119" s="95"/>
    </row>
    <row r="120" spans="1:10" s="21" customFormat="1" x14ac:dyDescent="0.2">
      <c r="A120" s="95"/>
      <c r="B120" s="1777" t="s">
        <v>523</v>
      </c>
      <c r="C120" s="233">
        <v>16.350000000000001</v>
      </c>
      <c r="D120" s="95"/>
      <c r="E120" s="95"/>
      <c r="F120" s="95"/>
      <c r="G120" s="95"/>
      <c r="H120" s="95"/>
      <c r="I120" s="95"/>
      <c r="J120" s="95"/>
    </row>
    <row r="121" spans="1:10" s="21" customFormat="1" x14ac:dyDescent="0.2">
      <c r="A121" s="95"/>
      <c r="B121" s="1778"/>
      <c r="C121" s="233">
        <v>24.9</v>
      </c>
      <c r="D121" s="95"/>
      <c r="E121" s="95"/>
      <c r="F121" s="95"/>
      <c r="G121" s="95"/>
      <c r="H121" s="95"/>
      <c r="I121" s="95"/>
      <c r="J121" s="95"/>
    </row>
    <row r="122" spans="1:10" s="21" customFormat="1" x14ac:dyDescent="0.2">
      <c r="A122" s="95"/>
      <c r="B122" s="1778"/>
      <c r="C122" s="233">
        <v>5.6</v>
      </c>
      <c r="D122" s="95"/>
      <c r="E122" s="95"/>
      <c r="F122" s="95"/>
      <c r="G122" s="95"/>
      <c r="H122" s="95"/>
      <c r="I122" s="95"/>
      <c r="J122" s="95"/>
    </row>
    <row r="123" spans="1:10" s="21" customFormat="1" x14ac:dyDescent="0.2">
      <c r="A123" s="95"/>
      <c r="B123" s="1778"/>
      <c r="C123" s="233">
        <v>4.05</v>
      </c>
      <c r="D123" s="95"/>
      <c r="E123" s="95"/>
      <c r="F123" s="95"/>
      <c r="G123" s="95"/>
      <c r="H123" s="95"/>
      <c r="I123" s="95"/>
      <c r="J123" s="95"/>
    </row>
    <row r="124" spans="1:10" s="21" customFormat="1" x14ac:dyDescent="0.2">
      <c r="A124" s="95"/>
      <c r="B124" s="1778"/>
      <c r="C124" s="233">
        <v>9.8000000000000007</v>
      </c>
      <c r="D124" s="95"/>
      <c r="E124" s="95"/>
      <c r="F124" s="95"/>
      <c r="G124" s="95"/>
      <c r="H124" s="95"/>
      <c r="I124" s="95"/>
      <c r="J124" s="95"/>
    </row>
    <row r="125" spans="1:10" s="21" customFormat="1" x14ac:dyDescent="0.2">
      <c r="A125" s="95"/>
      <c r="B125" s="1778"/>
      <c r="C125" s="233">
        <v>2.2000000000000002</v>
      </c>
      <c r="D125" s="95"/>
      <c r="E125" s="95"/>
      <c r="F125" s="95"/>
      <c r="G125" s="95"/>
      <c r="H125" s="95"/>
      <c r="I125" s="95"/>
      <c r="J125" s="95"/>
    </row>
    <row r="126" spans="1:10" s="21" customFormat="1" x14ac:dyDescent="0.2">
      <c r="A126" s="95"/>
      <c r="B126" s="1778"/>
      <c r="C126" s="233">
        <v>5.6</v>
      </c>
      <c r="D126" s="95"/>
      <c r="E126" s="95"/>
      <c r="F126" s="95"/>
      <c r="G126" s="95"/>
      <c r="H126" s="95"/>
      <c r="I126" s="95"/>
      <c r="J126" s="95"/>
    </row>
    <row r="127" spans="1:10" s="21" customFormat="1" x14ac:dyDescent="0.2">
      <c r="A127" s="95"/>
      <c r="B127" s="1779"/>
      <c r="C127" s="233">
        <v>26.85</v>
      </c>
      <c r="D127" s="95"/>
      <c r="E127" s="95"/>
      <c r="F127" s="95"/>
      <c r="G127" s="95"/>
      <c r="H127" s="95"/>
      <c r="I127" s="95"/>
      <c r="J127" s="95"/>
    </row>
    <row r="128" spans="1:10" s="21" customFormat="1" x14ac:dyDescent="0.2">
      <c r="A128" s="95"/>
      <c r="B128" s="1774" t="s">
        <v>461</v>
      </c>
      <c r="C128" s="233">
        <v>5</v>
      </c>
      <c r="D128" s="95"/>
      <c r="E128" s="95"/>
      <c r="F128" s="95"/>
      <c r="G128" s="95"/>
      <c r="H128" s="95"/>
      <c r="I128" s="95"/>
      <c r="J128" s="95"/>
    </row>
    <row r="129" spans="1:10" s="21" customFormat="1" x14ac:dyDescent="0.2">
      <c r="A129" s="95"/>
      <c r="B129" s="1776"/>
      <c r="C129" s="233">
        <v>4.5999999999999996</v>
      </c>
      <c r="D129" s="95"/>
      <c r="E129" s="95"/>
      <c r="F129" s="95"/>
      <c r="G129" s="95"/>
      <c r="H129" s="95"/>
      <c r="I129" s="95"/>
      <c r="J129" s="95"/>
    </row>
    <row r="130" spans="1:10" s="21" customFormat="1" x14ac:dyDescent="0.2">
      <c r="A130" s="95"/>
      <c r="B130" s="422" t="s">
        <v>462</v>
      </c>
      <c r="C130" s="233">
        <v>3</v>
      </c>
      <c r="D130" s="95"/>
      <c r="E130" s="95"/>
      <c r="F130" s="95"/>
      <c r="G130" s="95"/>
      <c r="H130" s="95"/>
      <c r="I130" s="95"/>
      <c r="J130" s="95"/>
    </row>
    <row r="131" spans="1:10" s="21" customFormat="1" x14ac:dyDescent="0.2">
      <c r="A131" s="95"/>
      <c r="B131" s="422" t="s">
        <v>524</v>
      </c>
      <c r="C131" s="233">
        <v>2.4</v>
      </c>
      <c r="D131" s="95"/>
      <c r="E131" s="95"/>
      <c r="F131" s="95"/>
      <c r="G131" s="95"/>
      <c r="H131" s="95"/>
      <c r="I131" s="95"/>
      <c r="J131" s="95"/>
    </row>
    <row r="132" spans="1:10" s="21" customFormat="1" x14ac:dyDescent="0.2">
      <c r="A132" s="95"/>
      <c r="B132" s="1774" t="s">
        <v>525</v>
      </c>
      <c r="C132" s="233">
        <v>3.15</v>
      </c>
      <c r="D132" s="95"/>
      <c r="E132" s="95"/>
      <c r="F132" s="95"/>
      <c r="G132" s="95"/>
      <c r="H132" s="95"/>
      <c r="I132" s="95"/>
      <c r="J132" s="95"/>
    </row>
    <row r="133" spans="1:10" s="21" customFormat="1" x14ac:dyDescent="0.2">
      <c r="A133" s="95"/>
      <c r="B133" s="1775"/>
      <c r="C133" s="233">
        <v>5.05</v>
      </c>
      <c r="D133" s="95"/>
      <c r="E133" s="95"/>
      <c r="F133" s="95"/>
      <c r="G133" s="95"/>
      <c r="H133" s="95"/>
      <c r="I133" s="95"/>
      <c r="J133" s="95"/>
    </row>
    <row r="134" spans="1:10" s="21" customFormat="1" x14ac:dyDescent="0.2">
      <c r="A134" s="95"/>
      <c r="B134" s="1775"/>
      <c r="C134" s="233">
        <v>3.8</v>
      </c>
      <c r="D134" s="95"/>
      <c r="E134" s="95"/>
      <c r="F134" s="95"/>
      <c r="G134" s="95"/>
      <c r="H134" s="95"/>
      <c r="I134" s="95"/>
      <c r="J134" s="95"/>
    </row>
    <row r="135" spans="1:10" s="21" customFormat="1" x14ac:dyDescent="0.2">
      <c r="A135" s="95"/>
      <c r="B135" s="1775"/>
      <c r="C135" s="233">
        <v>8.4499999999999993</v>
      </c>
      <c r="D135" s="95"/>
      <c r="E135" s="95"/>
      <c r="F135" s="95"/>
      <c r="G135" s="95"/>
      <c r="H135" s="95"/>
      <c r="I135" s="95"/>
      <c r="J135" s="95"/>
    </row>
    <row r="136" spans="1:10" s="21" customFormat="1" x14ac:dyDescent="0.2">
      <c r="A136" s="95"/>
      <c r="B136" s="1776"/>
      <c r="C136" s="233">
        <v>4.3499999999999996</v>
      </c>
      <c r="D136" s="95"/>
      <c r="E136" s="95"/>
      <c r="F136" s="95"/>
      <c r="G136" s="95"/>
      <c r="H136" s="95"/>
      <c r="I136" s="95"/>
      <c r="J136" s="95"/>
    </row>
    <row r="137" spans="1:10" s="21" customFormat="1" x14ac:dyDescent="0.2">
      <c r="A137" s="95"/>
      <c r="B137" s="1774" t="s">
        <v>463</v>
      </c>
      <c r="C137" s="233">
        <v>2.15</v>
      </c>
      <c r="D137" s="95"/>
      <c r="E137" s="95"/>
      <c r="F137" s="95"/>
      <c r="G137" s="95"/>
      <c r="H137" s="95"/>
      <c r="I137" s="95"/>
      <c r="J137" s="95"/>
    </row>
    <row r="138" spans="1:10" s="21" customFormat="1" x14ac:dyDescent="0.2">
      <c r="A138" s="95"/>
      <c r="B138" s="1776"/>
      <c r="C138" s="233">
        <v>1.3</v>
      </c>
      <c r="D138" s="95"/>
      <c r="E138" s="95"/>
      <c r="F138" s="95"/>
      <c r="G138" s="95"/>
      <c r="H138" s="95"/>
      <c r="I138" s="95"/>
      <c r="J138" s="95"/>
    </row>
    <row r="139" spans="1:10" s="140" customFormat="1" ht="15" customHeight="1" x14ac:dyDescent="0.2">
      <c r="A139" s="95"/>
      <c r="B139" s="423" t="s">
        <v>478</v>
      </c>
      <c r="C139" s="303">
        <v>4.05</v>
      </c>
      <c r="D139" s="95"/>
      <c r="E139" s="95"/>
      <c r="F139" s="95"/>
      <c r="G139" s="95"/>
      <c r="H139" s="95"/>
      <c r="I139" s="95"/>
      <c r="J139" s="95"/>
    </row>
    <row r="140" spans="1:10" s="21" customFormat="1" x14ac:dyDescent="0.2">
      <c r="A140" s="95"/>
      <c r="B140" s="422" t="s">
        <v>465</v>
      </c>
      <c r="C140" s="233">
        <v>4.05</v>
      </c>
      <c r="D140" s="95"/>
      <c r="E140" s="95"/>
      <c r="F140" s="95"/>
      <c r="G140" s="95"/>
      <c r="H140" s="95"/>
      <c r="I140" s="95"/>
      <c r="J140" s="95"/>
    </row>
    <row r="141" spans="1:10" s="21" customFormat="1" x14ac:dyDescent="0.2">
      <c r="A141" s="95"/>
      <c r="B141" s="422" t="s">
        <v>466</v>
      </c>
      <c r="C141" s="233">
        <v>5</v>
      </c>
      <c r="D141" s="95"/>
      <c r="E141" s="95"/>
      <c r="F141" s="95"/>
      <c r="G141" s="95"/>
      <c r="H141" s="95"/>
      <c r="I141" s="95"/>
      <c r="J141" s="95"/>
    </row>
    <row r="142" spans="1:10" s="21" customFormat="1" x14ac:dyDescent="0.2">
      <c r="A142" s="95"/>
      <c r="B142" s="1774" t="s">
        <v>479</v>
      </c>
      <c r="C142" s="233">
        <v>2.95</v>
      </c>
      <c r="D142" s="95"/>
      <c r="E142" s="95"/>
      <c r="F142" s="95"/>
      <c r="G142" s="95"/>
      <c r="H142" s="95"/>
      <c r="I142" s="95"/>
      <c r="J142" s="95"/>
    </row>
    <row r="143" spans="1:10" s="21" customFormat="1" x14ac:dyDescent="0.2">
      <c r="A143" s="95"/>
      <c r="B143" s="1776"/>
      <c r="C143" s="233">
        <v>1.65</v>
      </c>
      <c r="D143" s="95"/>
      <c r="E143" s="95"/>
      <c r="F143" s="95"/>
      <c r="G143" s="95"/>
      <c r="H143" s="95"/>
      <c r="I143" s="95"/>
      <c r="J143" s="95"/>
    </row>
    <row r="144" spans="1:10" s="21" customFormat="1" x14ac:dyDescent="0.2">
      <c r="A144" s="95"/>
      <c r="B144" s="1774" t="s">
        <v>526</v>
      </c>
      <c r="C144" s="233">
        <v>16</v>
      </c>
      <c r="D144" s="95"/>
      <c r="E144" s="95"/>
      <c r="F144" s="95"/>
      <c r="G144" s="95"/>
      <c r="H144" s="95"/>
      <c r="I144" s="95"/>
      <c r="J144" s="95"/>
    </row>
    <row r="145" spans="1:10" s="21" customFormat="1" x14ac:dyDescent="0.2">
      <c r="A145" s="95"/>
      <c r="B145" s="1775"/>
      <c r="C145" s="233">
        <v>13.4</v>
      </c>
      <c r="D145" s="95"/>
      <c r="E145" s="95"/>
      <c r="F145" s="95"/>
      <c r="G145" s="95"/>
      <c r="H145" s="95"/>
      <c r="I145" s="95"/>
      <c r="J145" s="95"/>
    </row>
    <row r="146" spans="1:10" s="21" customFormat="1" x14ac:dyDescent="0.2">
      <c r="A146" s="95"/>
      <c r="B146" s="1774" t="s">
        <v>527</v>
      </c>
      <c r="C146" s="233">
        <v>5</v>
      </c>
      <c r="D146" s="95"/>
      <c r="E146" s="95"/>
      <c r="F146" s="95"/>
      <c r="G146" s="95"/>
      <c r="H146" s="95"/>
      <c r="I146" s="95"/>
      <c r="J146" s="95"/>
    </row>
    <row r="147" spans="1:10" s="21" customFormat="1" x14ac:dyDescent="0.2">
      <c r="A147" s="95"/>
      <c r="B147" s="1776"/>
      <c r="C147" s="233">
        <v>5</v>
      </c>
      <c r="D147" s="95"/>
      <c r="E147" s="95"/>
      <c r="F147" s="95"/>
      <c r="G147" s="95"/>
      <c r="H147" s="95"/>
      <c r="I147" s="95"/>
      <c r="J147" s="95"/>
    </row>
    <row r="148" spans="1:10" s="21" customFormat="1" x14ac:dyDescent="0.2">
      <c r="A148" s="95"/>
      <c r="B148" s="422" t="s">
        <v>601</v>
      </c>
      <c r="C148" s="233">
        <v>1.8</v>
      </c>
      <c r="D148" s="95"/>
      <c r="E148" s="95"/>
      <c r="F148" s="95"/>
      <c r="G148" s="95"/>
      <c r="H148" s="95"/>
      <c r="I148" s="95"/>
      <c r="J148" s="95"/>
    </row>
    <row r="149" spans="1:10" s="21" customFormat="1" x14ac:dyDescent="0.2">
      <c r="A149" s="95"/>
      <c r="B149" s="1774" t="s">
        <v>464</v>
      </c>
      <c r="C149" s="233">
        <v>8.5500000000000007</v>
      </c>
      <c r="D149" s="95"/>
      <c r="E149" s="95"/>
      <c r="F149" s="95"/>
      <c r="G149" s="95"/>
      <c r="H149" s="95"/>
      <c r="I149" s="95"/>
      <c r="J149" s="95"/>
    </row>
    <row r="150" spans="1:10" s="21" customFormat="1" x14ac:dyDescent="0.2">
      <c r="A150" s="95"/>
      <c r="B150" s="1776"/>
      <c r="C150" s="233">
        <v>8.5500000000000007</v>
      </c>
      <c r="D150" s="95"/>
      <c r="E150" s="95"/>
      <c r="F150" s="95"/>
      <c r="G150" s="95"/>
      <c r="H150" s="95"/>
      <c r="I150" s="95"/>
      <c r="J150" s="95"/>
    </row>
    <row r="151" spans="1:10" s="21" customFormat="1" x14ac:dyDescent="0.2">
      <c r="A151" s="95"/>
      <c r="B151" s="422" t="s">
        <v>528</v>
      </c>
      <c r="C151" s="233">
        <v>5</v>
      </c>
      <c r="D151" s="95"/>
      <c r="E151" s="95"/>
      <c r="F151" s="95"/>
      <c r="G151" s="95"/>
      <c r="H151" s="95"/>
      <c r="I151" s="95"/>
      <c r="J151" s="95"/>
    </row>
    <row r="152" spans="1:10" s="21" customFormat="1" x14ac:dyDescent="0.2">
      <c r="A152" s="95"/>
      <c r="B152" s="1774" t="s">
        <v>529</v>
      </c>
      <c r="C152" s="233">
        <v>5</v>
      </c>
      <c r="D152" s="95"/>
      <c r="E152" s="95"/>
      <c r="F152" s="95"/>
      <c r="G152" s="95"/>
      <c r="H152" s="95"/>
      <c r="I152" s="95"/>
      <c r="J152" s="95"/>
    </row>
    <row r="153" spans="1:10" s="21" customFormat="1" x14ac:dyDescent="0.2">
      <c r="A153" s="95"/>
      <c r="B153" s="1776"/>
      <c r="C153" s="233">
        <v>5</v>
      </c>
      <c r="D153" s="95"/>
      <c r="E153" s="95"/>
      <c r="F153" s="95"/>
      <c r="G153" s="95"/>
      <c r="H153" s="95"/>
      <c r="I153" s="95"/>
      <c r="J153" s="95"/>
    </row>
    <row r="154" spans="1:10" s="21" customFormat="1" x14ac:dyDescent="0.2">
      <c r="A154" s="95"/>
      <c r="B154" s="422" t="s">
        <v>481</v>
      </c>
      <c r="C154" s="233">
        <v>1.8</v>
      </c>
      <c r="D154" s="95"/>
      <c r="E154" s="95"/>
      <c r="F154" s="95"/>
      <c r="G154" s="95"/>
      <c r="H154" s="95"/>
      <c r="I154" s="95"/>
      <c r="J154" s="95"/>
    </row>
    <row r="155" spans="1:10" s="140" customFormat="1" x14ac:dyDescent="0.2">
      <c r="A155" s="95"/>
      <c r="B155" s="1780" t="s">
        <v>530</v>
      </c>
      <c r="C155" s="303">
        <v>5</v>
      </c>
      <c r="D155" s="95"/>
      <c r="E155" s="95"/>
      <c r="F155" s="95"/>
      <c r="G155" s="95"/>
      <c r="H155" s="95"/>
      <c r="I155" s="95"/>
      <c r="J155" s="95"/>
    </row>
    <row r="156" spans="1:10" s="140" customFormat="1" x14ac:dyDescent="0.2">
      <c r="A156" s="95"/>
      <c r="B156" s="1781"/>
      <c r="C156" s="303">
        <v>4.9000000000000004</v>
      </c>
      <c r="D156" s="95"/>
      <c r="E156" s="95"/>
      <c r="F156" s="95"/>
      <c r="G156" s="95"/>
      <c r="H156" s="95"/>
      <c r="I156" s="95"/>
      <c r="J156" s="95"/>
    </row>
    <row r="157" spans="1:10" s="21" customFormat="1" x14ac:dyDescent="0.2">
      <c r="A157" s="95"/>
      <c r="B157" s="422" t="s">
        <v>467</v>
      </c>
      <c r="C157" s="233">
        <v>4.2</v>
      </c>
      <c r="D157" s="95"/>
      <c r="E157" s="95"/>
      <c r="F157" s="95"/>
      <c r="G157" s="95"/>
      <c r="H157" s="95"/>
      <c r="I157" s="95"/>
      <c r="J157" s="95"/>
    </row>
    <row r="158" spans="1:10" s="21" customFormat="1" x14ac:dyDescent="0.2">
      <c r="A158" s="95"/>
      <c r="B158" s="196"/>
      <c r="C158" s="196"/>
      <c r="D158" s="196"/>
      <c r="E158" s="196"/>
      <c r="F158" s="196"/>
      <c r="G158" s="196"/>
      <c r="H158" s="95"/>
      <c r="I158" s="95"/>
      <c r="J158" s="95"/>
    </row>
    <row r="159" spans="1:10" s="21" customFormat="1" x14ac:dyDescent="0.2">
      <c r="A159" s="95"/>
      <c r="B159" s="498" t="s">
        <v>47</v>
      </c>
      <c r="C159" s="499">
        <f>ROUND(SUM(C119:C157),2)</f>
        <v>245.5</v>
      </c>
      <c r="D159" s="500" t="s">
        <v>12</v>
      </c>
      <c r="E159" s="95"/>
      <c r="F159" s="95"/>
      <c r="G159" s="95"/>
      <c r="H159" s="95"/>
      <c r="I159" s="95"/>
      <c r="J159" s="95"/>
    </row>
    <row r="160" spans="1:10" s="471" customFormat="1" x14ac:dyDescent="0.2">
      <c r="A160" s="494"/>
      <c r="B160" s="495"/>
      <c r="C160" s="495"/>
      <c r="D160" s="495"/>
      <c r="E160" s="494"/>
      <c r="F160" s="494"/>
      <c r="G160" s="494"/>
      <c r="H160" s="494"/>
      <c r="I160" s="494"/>
      <c r="J160" s="494"/>
    </row>
    <row r="161" spans="1:10" s="21" customFormat="1" x14ac:dyDescent="0.2">
      <c r="A161" s="226" t="str">
        <f>ORÇ!A106</f>
        <v>7.1.3</v>
      </c>
      <c r="B161" s="532" t="str">
        <f>ORÇ!D106</f>
        <v>CHAPIM EM CONCRETO APARENTE COM  PINGADEIRA E ACABAMENTO DESEMPENADO 21 X 8 CM. FONECIMENTO E INSTALAÇÃO.</v>
      </c>
      <c r="C161" s="183"/>
      <c r="D161" s="183"/>
      <c r="E161" s="183"/>
      <c r="F161" s="183"/>
      <c r="G161" s="183"/>
      <c r="H161" s="183"/>
      <c r="I161" s="183"/>
      <c r="J161" s="183"/>
    </row>
    <row r="162" spans="1:10" s="21" customFormat="1" x14ac:dyDescent="0.2">
      <c r="A162" s="95"/>
      <c r="B162" s="95"/>
      <c r="C162" s="95"/>
      <c r="D162" s="95"/>
      <c r="E162" s="95"/>
      <c r="F162" s="95"/>
      <c r="G162" s="95"/>
      <c r="H162" s="95"/>
      <c r="I162" s="95"/>
      <c r="J162" s="95"/>
    </row>
    <row r="163" spans="1:10" s="21" customFormat="1" x14ac:dyDescent="0.2">
      <c r="A163" s="95"/>
      <c r="B163" s="707" t="s">
        <v>459</v>
      </c>
      <c r="C163" s="707" t="s">
        <v>313</v>
      </c>
      <c r="D163" s="95"/>
      <c r="E163" s="95"/>
      <c r="F163" s="95"/>
      <c r="G163" s="95"/>
      <c r="H163" s="95"/>
      <c r="I163" s="95"/>
      <c r="J163" s="95"/>
    </row>
    <row r="164" spans="1:10" s="21" customFormat="1" x14ac:dyDescent="0.2">
      <c r="A164" s="95"/>
      <c r="B164" s="1777" t="s">
        <v>535</v>
      </c>
      <c r="C164" s="708">
        <f>C77</f>
        <v>1.8</v>
      </c>
      <c r="D164" s="95"/>
      <c r="E164" s="95"/>
      <c r="F164" s="95"/>
      <c r="G164" s="95"/>
      <c r="H164" s="95"/>
      <c r="I164" s="95"/>
      <c r="J164" s="95"/>
    </row>
    <row r="165" spans="1:10" s="21" customFormat="1" x14ac:dyDescent="0.2">
      <c r="A165" s="95"/>
      <c r="B165" s="1778"/>
      <c r="C165" s="708">
        <v>26.55</v>
      </c>
      <c r="D165" s="95"/>
      <c r="E165" s="95"/>
      <c r="F165" s="95"/>
      <c r="G165" s="95"/>
      <c r="H165" s="95"/>
      <c r="I165" s="95"/>
      <c r="J165" s="95"/>
    </row>
    <row r="166" spans="1:10" s="21" customFormat="1" x14ac:dyDescent="0.2">
      <c r="A166" s="95"/>
      <c r="B166" s="1778"/>
      <c r="C166" s="708">
        <v>16.55</v>
      </c>
      <c r="D166" s="95"/>
      <c r="E166" s="95"/>
      <c r="F166" s="95"/>
      <c r="G166" s="95"/>
      <c r="H166" s="95"/>
      <c r="I166" s="95"/>
      <c r="J166" s="95"/>
    </row>
    <row r="167" spans="1:10" s="21" customFormat="1" x14ac:dyDescent="0.2">
      <c r="A167" s="95"/>
      <c r="B167" s="1778"/>
      <c r="C167" s="708">
        <v>24.6</v>
      </c>
      <c r="D167" s="95"/>
      <c r="E167" s="95"/>
      <c r="F167" s="95"/>
      <c r="G167" s="95"/>
      <c r="H167" s="95"/>
      <c r="I167" s="95"/>
      <c r="J167" s="95"/>
    </row>
    <row r="168" spans="1:10" s="21" customFormat="1" x14ac:dyDescent="0.2">
      <c r="A168" s="95"/>
      <c r="B168" s="1778"/>
      <c r="C168" s="708">
        <v>4.2</v>
      </c>
      <c r="D168" s="95"/>
      <c r="E168" s="95"/>
      <c r="F168" s="95"/>
      <c r="G168" s="95"/>
      <c r="H168" s="95"/>
      <c r="I168" s="95"/>
      <c r="J168" s="95"/>
    </row>
    <row r="169" spans="1:10" s="21" customFormat="1" x14ac:dyDescent="0.2">
      <c r="A169" s="95"/>
      <c r="B169" s="1778"/>
      <c r="C169" s="708">
        <v>5.45</v>
      </c>
      <c r="D169" s="95"/>
      <c r="E169" s="95"/>
      <c r="F169" s="95"/>
      <c r="G169" s="95"/>
      <c r="H169" s="95"/>
      <c r="I169" s="95"/>
      <c r="J169" s="95"/>
    </row>
    <row r="170" spans="1:10" s="21" customFormat="1" x14ac:dyDescent="0.2">
      <c r="A170" s="95"/>
      <c r="B170" s="1778"/>
      <c r="C170" s="708">
        <v>10.1</v>
      </c>
      <c r="D170" s="95"/>
      <c r="E170" s="95"/>
      <c r="F170" s="95"/>
      <c r="G170" s="95"/>
      <c r="H170" s="95"/>
      <c r="I170" s="95"/>
      <c r="J170" s="95"/>
    </row>
    <row r="171" spans="1:10" s="21" customFormat="1" x14ac:dyDescent="0.2">
      <c r="A171" s="95"/>
      <c r="B171" s="1778"/>
      <c r="C171" s="708">
        <v>5.45</v>
      </c>
      <c r="D171" s="95"/>
      <c r="E171" s="95"/>
      <c r="F171" s="95"/>
      <c r="G171" s="95"/>
      <c r="H171" s="95"/>
      <c r="I171" s="95"/>
      <c r="J171" s="95"/>
    </row>
    <row r="172" spans="1:10" s="21" customFormat="1" x14ac:dyDescent="0.2">
      <c r="A172" s="95"/>
      <c r="B172" s="1779"/>
      <c r="C172" s="708">
        <v>10.1</v>
      </c>
      <c r="D172" s="95"/>
      <c r="E172" s="95"/>
      <c r="F172" s="95"/>
      <c r="G172" s="95"/>
      <c r="H172" s="95"/>
      <c r="I172" s="95"/>
      <c r="J172" s="95"/>
    </row>
    <row r="173" spans="1:10" s="21" customFormat="1" x14ac:dyDescent="0.2">
      <c r="A173" s="95"/>
      <c r="B173" s="1786"/>
      <c r="C173" s="1786"/>
      <c r="D173" s="1786"/>
      <c r="E173" s="196"/>
      <c r="F173" s="196"/>
      <c r="G173" s="196"/>
      <c r="H173" s="95"/>
      <c r="I173" s="95"/>
      <c r="J173" s="95"/>
    </row>
    <row r="174" spans="1:10" s="21" customFormat="1" x14ac:dyDescent="0.2">
      <c r="A174" s="95"/>
      <c r="B174" s="498" t="s">
        <v>47</v>
      </c>
      <c r="C174" s="499">
        <f>ROUND(SUM(C164:C172),2)</f>
        <v>104.8</v>
      </c>
      <c r="D174" s="500" t="s">
        <v>12</v>
      </c>
      <c r="E174" s="95"/>
      <c r="F174" s="95"/>
      <c r="G174" s="95"/>
      <c r="H174" s="95"/>
      <c r="I174" s="95"/>
      <c r="J174" s="95"/>
    </row>
    <row r="175" spans="1:10" s="471" customFormat="1" x14ac:dyDescent="0.2">
      <c r="A175" s="494"/>
      <c r="B175" s="495"/>
      <c r="C175" s="495"/>
      <c r="D175" s="495"/>
      <c r="E175" s="494"/>
      <c r="F175" s="494"/>
      <c r="G175" s="494"/>
      <c r="H175" s="494"/>
      <c r="I175" s="494"/>
      <c r="J175" s="494"/>
    </row>
    <row r="176" spans="1:10" s="139" customFormat="1" ht="13.5" customHeight="1" x14ac:dyDescent="0.2">
      <c r="A176" s="226" t="str">
        <f>ORÇ!A107</f>
        <v>7.2</v>
      </c>
      <c r="B176" s="5" t="str">
        <f>ORÇ!D107</f>
        <v>Divisória</v>
      </c>
      <c r="C176" s="95"/>
      <c r="D176" s="95"/>
      <c r="E176" s="95"/>
      <c r="F176" s="95"/>
      <c r="G176" s="95"/>
      <c r="H176" s="95"/>
      <c r="I176" s="95"/>
      <c r="J176" s="95"/>
    </row>
    <row r="177" spans="1:10" ht="31.5" customHeight="1" x14ac:dyDescent="0.2">
      <c r="A177" s="226" t="str">
        <f>ORÇ!A108</f>
        <v>7.2.1</v>
      </c>
      <c r="B177" s="1710" t="str">
        <f>ORÇ!D108</f>
        <v>PAREDE COM PLACAS DE GESSO ACARTONADO (DRYWALL), PARA USO INTERNO, COM DUAS FACES SIMPLES E ESTRUTURA METÁLICA COM GUIAS SIMPLES, SEM VÃOS. AF_06/2017_P</v>
      </c>
      <c r="C177" s="1710"/>
      <c r="D177" s="1710"/>
      <c r="E177" s="1710"/>
      <c r="F177" s="1710"/>
      <c r="G177" s="1710"/>
      <c r="H177" s="1710"/>
      <c r="I177" s="1710"/>
      <c r="J177" s="1710"/>
    </row>
    <row r="178" spans="1:10" ht="10.5" customHeight="1" x14ac:dyDescent="0.2">
      <c r="A178" s="95"/>
      <c r="B178" s="95"/>
      <c r="C178" s="95"/>
      <c r="D178" s="95"/>
      <c r="E178" s="95"/>
      <c r="F178" s="95"/>
      <c r="G178" s="95"/>
      <c r="H178" s="95"/>
      <c r="I178" s="95"/>
      <c r="J178" s="95"/>
    </row>
    <row r="179" spans="1:10" x14ac:dyDescent="0.2">
      <c r="B179" s="233" t="s">
        <v>459</v>
      </c>
      <c r="C179" s="233" t="s">
        <v>313</v>
      </c>
      <c r="D179" s="233"/>
      <c r="E179" s="233" t="s">
        <v>311</v>
      </c>
      <c r="F179" s="324"/>
      <c r="G179" s="233" t="s">
        <v>469</v>
      </c>
      <c r="H179" s="233"/>
      <c r="I179" s="233" t="s">
        <v>213</v>
      </c>
    </row>
    <row r="180" spans="1:10" x14ac:dyDescent="0.2">
      <c r="B180" s="233" t="s">
        <v>467</v>
      </c>
      <c r="C180" s="233">
        <v>3.3</v>
      </c>
      <c r="D180" s="233" t="s">
        <v>45</v>
      </c>
      <c r="E180" s="462">
        <v>1.8</v>
      </c>
      <c r="F180" s="334" t="s">
        <v>45</v>
      </c>
      <c r="G180" s="233">
        <v>6</v>
      </c>
      <c r="H180" s="233" t="s">
        <v>46</v>
      </c>
      <c r="I180" s="233">
        <f>ROUND(C180*E180*G180,2)</f>
        <v>35.64</v>
      </c>
    </row>
    <row r="182" spans="1:10" x14ac:dyDescent="0.2">
      <c r="B182" s="249" t="s">
        <v>47</v>
      </c>
      <c r="C182" s="71">
        <f>I180</f>
        <v>35.64</v>
      </c>
      <c r="D182" s="72" t="s">
        <v>4</v>
      </c>
    </row>
  </sheetData>
  <mergeCells count="55">
    <mergeCell ref="B173:D173"/>
    <mergeCell ref="B90:B91"/>
    <mergeCell ref="B155:B156"/>
    <mergeCell ref="B142:B143"/>
    <mergeCell ref="B144:B145"/>
    <mergeCell ref="B146:B147"/>
    <mergeCell ref="B149:B150"/>
    <mergeCell ref="B152:B153"/>
    <mergeCell ref="B120:B127"/>
    <mergeCell ref="B128:B129"/>
    <mergeCell ref="B132:B136"/>
    <mergeCell ref="B137:B138"/>
    <mergeCell ref="B119:C119"/>
    <mergeCell ref="B164:B172"/>
    <mergeCell ref="G6:J6"/>
    <mergeCell ref="G7:J7"/>
    <mergeCell ref="B1:I2"/>
    <mergeCell ref="A5:B5"/>
    <mergeCell ref="A9:J9"/>
    <mergeCell ref="A3:B3"/>
    <mergeCell ref="A4:B4"/>
    <mergeCell ref="I3:J3"/>
    <mergeCell ref="C3:G3"/>
    <mergeCell ref="C4:J4"/>
    <mergeCell ref="C5:J5"/>
    <mergeCell ref="A6:B6"/>
    <mergeCell ref="C6:D6"/>
    <mergeCell ref="E6:F6"/>
    <mergeCell ref="A7:B7"/>
    <mergeCell ref="C7:D7"/>
    <mergeCell ref="E7:F7"/>
    <mergeCell ref="A10:J10"/>
    <mergeCell ref="B177:J177"/>
    <mergeCell ref="B18:B25"/>
    <mergeCell ref="B26:B27"/>
    <mergeCell ref="B30:B34"/>
    <mergeCell ref="B35:B36"/>
    <mergeCell ref="B40:B41"/>
    <mergeCell ref="B42:B43"/>
    <mergeCell ref="B44:B45"/>
    <mergeCell ref="B47:B48"/>
    <mergeCell ref="B50:B51"/>
    <mergeCell ref="B53:B54"/>
    <mergeCell ref="B101:B102"/>
    <mergeCell ref="B106:I106"/>
    <mergeCell ref="B108:B109"/>
    <mergeCell ref="B70:I70"/>
    <mergeCell ref="B88:I88"/>
    <mergeCell ref="B72:B73"/>
    <mergeCell ref="B80:B81"/>
    <mergeCell ref="B17:G17"/>
    <mergeCell ref="B56:G56"/>
    <mergeCell ref="B57:B60"/>
    <mergeCell ref="B61:G61"/>
    <mergeCell ref="B62:B66"/>
  </mergeCells>
  <pageMargins left="0.51181102362204722" right="0.51181102362204722" top="0.78740157480314965" bottom="0.78740157480314965" header="0.31496062992125984" footer="0.31496062992125984"/>
  <pageSetup paperSize="9" scale="48" fitToHeight="0" orientation="portrait" r:id="rId1"/>
  <rowBreaks count="2" manualBreakCount="2">
    <brk id="69" max="9" man="1"/>
    <brk id="11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view="pageBreakPreview" topLeftCell="A37" zoomScaleNormal="100" zoomScaleSheetLayoutView="100" workbookViewId="0">
      <selection activeCell="I42" sqref="I42"/>
    </sheetView>
  </sheetViews>
  <sheetFormatPr defaultRowHeight="12.75" x14ac:dyDescent="0.2"/>
  <cols>
    <col min="2" max="2" width="13.140625" customWidth="1"/>
    <col min="3" max="3" width="13" customWidth="1"/>
    <col min="4" max="4" width="20.42578125" customWidth="1"/>
    <col min="5" max="5" width="14.28515625" customWidth="1"/>
    <col min="6" max="6" width="12.140625" customWidth="1"/>
    <col min="7" max="7" width="11.140625" customWidth="1"/>
    <col min="8" max="8" width="17.85546875" customWidth="1"/>
    <col min="9" max="9" width="11.85546875" customWidth="1"/>
  </cols>
  <sheetData>
    <row r="1" spans="1:10" x14ac:dyDescent="0.2">
      <c r="B1" s="1307"/>
      <c r="C1" s="1307"/>
      <c r="D1" s="1307"/>
      <c r="E1" s="1307"/>
      <c r="F1" s="1307"/>
      <c r="G1" s="1307"/>
      <c r="H1" s="1307"/>
      <c r="I1" s="1307"/>
    </row>
    <row r="2" spans="1:10" ht="69.95" customHeight="1" x14ac:dyDescent="0.2">
      <c r="A2" s="332"/>
      <c r="B2" s="1365"/>
      <c r="C2" s="1365"/>
      <c r="D2" s="1365"/>
      <c r="E2" s="1365"/>
      <c r="F2" s="1365"/>
      <c r="G2" s="1365"/>
      <c r="H2" s="1365"/>
      <c r="I2" s="1307"/>
      <c r="J2" s="218"/>
    </row>
    <row r="3" spans="1:10" x14ac:dyDescent="0.2">
      <c r="A3" s="1749" t="s">
        <v>79</v>
      </c>
      <c r="B3" s="1317"/>
      <c r="C3" s="1321" t="str">
        <f>ORÇ!B2</f>
        <v>PREFEITURA MUNICIPAL DE OURÉM</v>
      </c>
      <c r="D3" s="1738"/>
      <c r="E3" s="1738"/>
      <c r="F3" s="1738"/>
      <c r="G3" s="1322"/>
      <c r="H3" s="333" t="s">
        <v>85</v>
      </c>
      <c r="I3" s="1754" t="str">
        <f>ORÇ!I2</f>
        <v>OURÉM/PA</v>
      </c>
      <c r="J3" s="1754"/>
    </row>
    <row r="4" spans="1:10" x14ac:dyDescent="0.2">
      <c r="A4" s="1749" t="s">
        <v>80</v>
      </c>
      <c r="B4" s="1317"/>
      <c r="C4" s="1684" t="str">
        <f>ORÇ!B3</f>
        <v>CONSTRUÇÃO DO CENTRO DE FISIOTERAPIA, NO MUNICÍPIO DE OURÉM/PA</v>
      </c>
      <c r="D4" s="1684"/>
      <c r="E4" s="1684"/>
      <c r="F4" s="1684"/>
      <c r="G4" s="1684"/>
      <c r="H4" s="1684"/>
      <c r="I4" s="1684"/>
      <c r="J4" s="1684"/>
    </row>
    <row r="5" spans="1:10" x14ac:dyDescent="0.2">
      <c r="A5" s="1749" t="s">
        <v>161</v>
      </c>
      <c r="B5" s="1317"/>
      <c r="C5" s="1681" t="str">
        <f>ORÇ!B4</f>
        <v>AV. PADRE ANGELO MORETTE, S/Nº - OURÉM/PA</v>
      </c>
      <c r="D5" s="1681"/>
      <c r="E5" s="1681"/>
      <c r="F5" s="1681"/>
      <c r="G5" s="1681"/>
      <c r="H5" s="1681"/>
      <c r="I5" s="1681"/>
      <c r="J5" s="1681"/>
    </row>
    <row r="6" spans="1:10" ht="39" customHeight="1" x14ac:dyDescent="0.2">
      <c r="A6" s="1310" t="s">
        <v>81</v>
      </c>
      <c r="B6" s="1311"/>
      <c r="C6" s="1785">
        <f>ORÇ!B5</f>
        <v>0.2881986483454233</v>
      </c>
      <c r="D6" s="1785"/>
      <c r="E6" s="1308" t="s">
        <v>169</v>
      </c>
      <c r="F6" s="1308"/>
      <c r="G6" s="1482" t="str">
        <f>ORÇ!G5</f>
        <v>SINAPI FEVEREIRO 2022 - DESONERADA                                 SEDOP FEVEREIRO 2022 - DESONERADA</v>
      </c>
      <c r="H6" s="1482"/>
      <c r="I6" s="1482"/>
      <c r="J6" s="1482"/>
    </row>
    <row r="7" spans="1:10" x14ac:dyDescent="0.2">
      <c r="A7" s="1749" t="s">
        <v>82</v>
      </c>
      <c r="B7" s="1317"/>
      <c r="C7" s="1762" t="str">
        <f>ORÇ!B6</f>
        <v>MARUZA BAPTISTA</v>
      </c>
      <c r="D7" s="1762"/>
      <c r="E7" s="1308" t="s">
        <v>170</v>
      </c>
      <c r="F7" s="1308"/>
      <c r="G7" s="1344" t="str">
        <f>ORÇ!G7</f>
        <v>CAU: 28510-2 A</v>
      </c>
      <c r="H7" s="1344"/>
      <c r="I7" s="1344"/>
      <c r="J7" s="1344"/>
    </row>
    <row r="8" spans="1:10" ht="12" customHeight="1" thickBot="1" x14ac:dyDescent="0.25">
      <c r="A8" s="5"/>
      <c r="B8" s="6"/>
      <c r="C8" s="6"/>
      <c r="D8" s="6"/>
      <c r="E8" s="6"/>
      <c r="F8" s="6"/>
      <c r="G8" s="6"/>
      <c r="H8" s="6"/>
      <c r="I8" s="6"/>
      <c r="J8" s="6"/>
    </row>
    <row r="9" spans="1:10" ht="18.75" customHeight="1" thickBot="1" x14ac:dyDescent="0.25">
      <c r="A9" s="1674" t="str">
        <f>CONCATENATE("MEMÓRIA DE CÁLCULO ",ORÇ!A110)</f>
        <v>MEMÓRIA DE CÁLCULO 8</v>
      </c>
      <c r="B9" s="1675"/>
      <c r="C9" s="1675"/>
      <c r="D9" s="1675"/>
      <c r="E9" s="1675"/>
      <c r="F9" s="1675"/>
      <c r="G9" s="1675"/>
      <c r="H9" s="1675"/>
      <c r="I9" s="1675"/>
      <c r="J9" s="1676"/>
    </row>
    <row r="10" spans="1:10" ht="12.75" customHeight="1" x14ac:dyDescent="0.2">
      <c r="A10" s="1677" t="str">
        <f>ORÇ!D110</f>
        <v>Revestimento de Paredes</v>
      </c>
      <c r="B10" s="1677"/>
      <c r="C10" s="1677"/>
      <c r="D10" s="1677"/>
      <c r="E10" s="1677"/>
      <c r="F10" s="1677"/>
      <c r="G10" s="1677"/>
      <c r="H10" s="1677"/>
      <c r="I10" s="1677"/>
      <c r="J10" s="1677"/>
    </row>
    <row r="11" spans="1:10" x14ac:dyDescent="0.2">
      <c r="A11" s="5"/>
      <c r="B11" s="6"/>
      <c r="C11" s="6"/>
      <c r="D11" s="6"/>
      <c r="E11" s="6"/>
      <c r="F11" s="6"/>
      <c r="G11" s="6"/>
      <c r="H11" s="6"/>
      <c r="I11" s="6"/>
      <c r="J11" s="6"/>
    </row>
    <row r="12" spans="1:10" ht="12.75" customHeight="1" x14ac:dyDescent="0.2">
      <c r="A12" s="226">
        <f>ORÇ!A110</f>
        <v>8</v>
      </c>
      <c r="B12" s="1795" t="str">
        <f>ORÇ!D110</f>
        <v>Revestimento de Paredes</v>
      </c>
      <c r="C12" s="1795"/>
      <c r="D12" s="1795"/>
      <c r="E12" s="1795"/>
      <c r="F12" s="1795"/>
      <c r="G12" s="1795"/>
      <c r="H12" s="1795"/>
      <c r="I12" s="192"/>
      <c r="J12" s="192"/>
    </row>
    <row r="13" spans="1:10" ht="27.75" customHeight="1" x14ac:dyDescent="0.2">
      <c r="A13" s="337" t="str">
        <f>ORÇ!A111</f>
        <v>8.1</v>
      </c>
      <c r="B13" s="1795" t="str">
        <f>ORÇ!D111</f>
        <v>CHAPISCO APLICADO EM ALVENARIAS E ESTRUTURAS DE CONCRETO INTERNAS, COM COLHER DE PEDREIRO.  ARGAMASSA TRAÇO 1:3 COM PREPARO EM BETONEIRA 400L. AF_06/2014</v>
      </c>
      <c r="C13" s="1795"/>
      <c r="D13" s="1795"/>
      <c r="E13" s="1795"/>
      <c r="F13" s="1795"/>
      <c r="G13" s="1795"/>
      <c r="H13" s="1795"/>
      <c r="I13" s="1795"/>
      <c r="J13" s="1795"/>
    </row>
    <row r="14" spans="1:10" x14ac:dyDescent="0.2">
      <c r="A14" s="337"/>
      <c r="B14" s="339"/>
      <c r="C14" s="339"/>
      <c r="D14" s="339"/>
      <c r="E14" s="339"/>
      <c r="F14" s="339"/>
      <c r="G14" s="339"/>
      <c r="H14" s="339"/>
      <c r="I14" s="339"/>
      <c r="J14" s="192"/>
    </row>
    <row r="15" spans="1:10" ht="25.5" x14ac:dyDescent="0.2">
      <c r="A15" s="337"/>
      <c r="B15" s="376"/>
      <c r="C15" s="377" t="s">
        <v>472</v>
      </c>
      <c r="D15" s="378"/>
      <c r="E15" s="378" t="s">
        <v>473</v>
      </c>
      <c r="F15" s="378"/>
      <c r="G15" s="379" t="s">
        <v>213</v>
      </c>
      <c r="H15" s="339"/>
      <c r="I15" s="339"/>
      <c r="J15" s="192"/>
    </row>
    <row r="16" spans="1:10" s="139" customFormat="1" ht="19.5" customHeight="1" x14ac:dyDescent="0.2">
      <c r="A16" s="337"/>
      <c r="B16" s="380" t="s">
        <v>474</v>
      </c>
      <c r="C16" s="381">
        <f>'7.ALVE.'!G114</f>
        <v>648.79</v>
      </c>
      <c r="D16" s="381" t="s">
        <v>45</v>
      </c>
      <c r="E16" s="381">
        <v>2</v>
      </c>
      <c r="F16" s="381" t="s">
        <v>46</v>
      </c>
      <c r="G16" s="382">
        <f>ROUND(C16*E16,2)</f>
        <v>1297.58</v>
      </c>
      <c r="H16" s="339"/>
      <c r="I16" s="339"/>
      <c r="J16" s="192"/>
    </row>
    <row r="17" spans="1:10" x14ac:dyDescent="0.2">
      <c r="A17" s="337"/>
      <c r="B17" s="368"/>
      <c r="C17" s="368"/>
      <c r="D17" s="368"/>
      <c r="E17" s="368"/>
      <c r="F17" s="368"/>
      <c r="G17" s="368"/>
      <c r="H17" s="339"/>
      <c r="I17" s="339"/>
      <c r="J17" s="192"/>
    </row>
    <row r="18" spans="1:10" ht="29.25" customHeight="1" x14ac:dyDescent="0.2">
      <c r="A18" s="225" t="str">
        <f>ORÇ!A112</f>
        <v>8.2</v>
      </c>
      <c r="B18" s="1734" t="str">
        <f>ORÇ!D112</f>
        <v>MASSA ÚNICA, PARA RECEBIMENTO DE PINTURA, EM ARGAMASSA TRAÇO 1:2:8, PREPARO MECÂNICO COM BETONEIRA 400L, APLICADA MANUALMENTE EM FACES INTERNAS DE PAREDES, ESPESSURA DE 10MM, COM EXECUÇÃO DE TALISCAS. AF_06/2014</v>
      </c>
      <c r="C18" s="1734"/>
      <c r="D18" s="1734"/>
      <c r="E18" s="1734"/>
      <c r="F18" s="1734"/>
      <c r="G18" s="1734"/>
      <c r="H18" s="1734"/>
      <c r="I18" s="1734"/>
      <c r="J18" s="1734"/>
    </row>
    <row r="19" spans="1:10" x14ac:dyDescent="0.2">
      <c r="A19" s="225"/>
      <c r="B19" s="338"/>
      <c r="C19" s="338"/>
      <c r="D19" s="338"/>
      <c r="E19" s="338"/>
      <c r="F19" s="338"/>
      <c r="G19" s="338"/>
      <c r="H19" s="338"/>
      <c r="I19" s="338"/>
      <c r="J19" s="193"/>
    </row>
    <row r="20" spans="1:10" ht="25.5" x14ac:dyDescent="0.2">
      <c r="A20" s="225"/>
      <c r="B20" s="376"/>
      <c r="C20" s="377" t="s">
        <v>474</v>
      </c>
      <c r="D20" s="378"/>
      <c r="E20" s="378" t="s">
        <v>475</v>
      </c>
      <c r="F20" s="378"/>
      <c r="G20" s="379" t="s">
        <v>213</v>
      </c>
      <c r="H20" s="338"/>
      <c r="I20" s="338"/>
      <c r="J20" s="193"/>
    </row>
    <row r="21" spans="1:10" ht="25.5" x14ac:dyDescent="0.2">
      <c r="A21" s="225"/>
      <c r="B21" s="380" t="s">
        <v>476</v>
      </c>
      <c r="C21" s="381">
        <f>G16</f>
        <v>1297.58</v>
      </c>
      <c r="D21" s="381" t="s">
        <v>215</v>
      </c>
      <c r="E21" s="381">
        <f>C25</f>
        <v>245.97</v>
      </c>
      <c r="F21" s="381" t="s">
        <v>46</v>
      </c>
      <c r="G21" s="382">
        <f>ROUND(C21-E21,2)</f>
        <v>1051.6099999999999</v>
      </c>
      <c r="H21" s="338"/>
      <c r="I21" s="338"/>
      <c r="J21" s="193"/>
    </row>
    <row r="22" spans="1:10" x14ac:dyDescent="0.2">
      <c r="A22" s="337"/>
      <c r="B22" s="368"/>
      <c r="C22" s="368"/>
      <c r="D22" s="368"/>
      <c r="E22" s="368"/>
      <c r="F22" s="368"/>
      <c r="G22" s="368"/>
      <c r="H22" s="339"/>
      <c r="I22" s="339"/>
      <c r="J22" s="192"/>
    </row>
    <row r="23" spans="1:10" s="139" customFormat="1" ht="44.25" customHeight="1" x14ac:dyDescent="0.2">
      <c r="A23" s="225" t="str">
        <f>ORÇ!A113</f>
        <v>8.3</v>
      </c>
      <c r="B23" s="1734" t="str">
        <f>ORÇ!D113</f>
        <v>EMBOÇO, PARA RECEBIMENTO DE CERÂMICA, EM ARGAMASSA TRAÇO 1:2:8, PREPARO MECÂNICO COM BETONEIRA 400L, APLICADO MANUALMENTE EM FACES INTERNAS DE PAREDES, PARA AMBIENTE COM ÁREA MAIOR QUE 10M2, ESPESSURA DE 10MM, COM EXECUÇÃO DE TALISCAS. AF_06/2014</v>
      </c>
      <c r="C23" s="1734"/>
      <c r="D23" s="1734"/>
      <c r="E23" s="1734"/>
      <c r="F23" s="1734"/>
      <c r="G23" s="1734"/>
      <c r="H23" s="1734"/>
      <c r="I23" s="1734"/>
      <c r="J23" s="1734"/>
    </row>
    <row r="24" spans="1:10" x14ac:dyDescent="0.2">
      <c r="A24" s="193"/>
      <c r="B24" s="193"/>
      <c r="C24" s="193"/>
      <c r="D24" s="193"/>
      <c r="E24" s="193"/>
      <c r="F24" s="436"/>
      <c r="G24" s="436"/>
      <c r="H24" s="193"/>
      <c r="I24" s="193"/>
      <c r="J24" s="193"/>
    </row>
    <row r="25" spans="1:10" s="21" customFormat="1" ht="18" customHeight="1" x14ac:dyDescent="0.2">
      <c r="A25" s="205"/>
      <c r="B25" s="383" t="s">
        <v>475</v>
      </c>
      <c r="C25" s="384">
        <f>C112</f>
        <v>245.97</v>
      </c>
      <c r="D25" s="235" t="s">
        <v>4</v>
      </c>
      <c r="E25" s="205"/>
      <c r="F25" s="436"/>
      <c r="G25" s="436"/>
    </row>
    <row r="26" spans="1:10" s="21" customFormat="1" x14ac:dyDescent="0.2">
      <c r="A26" s="205"/>
      <c r="B26" s="205"/>
      <c r="C26" s="205"/>
      <c r="D26" s="205"/>
      <c r="E26" s="205"/>
      <c r="F26" s="436"/>
      <c r="G26" s="436"/>
      <c r="H26" s="205"/>
      <c r="I26" s="205"/>
      <c r="J26" s="205"/>
    </row>
    <row r="27" spans="1:10" ht="29.25" customHeight="1" x14ac:dyDescent="0.2">
      <c r="A27" s="225" t="str">
        <f>ORÇ!A114</f>
        <v>8.4</v>
      </c>
      <c r="B27" s="1711" t="str">
        <f>ORÇ!D114</f>
        <v xml:space="preserve">REVESTIMENTO CERÂMICO PARA PAREDES INTERNAS COM PLACAS TIPO ESMALTADA PADRÃO POPULAR DE DIMENSÕES 20X20 CM, ARGAMASSA TIPO AC I, APLICADAS EM AMBIENTES DE ÁREA MAIOR QUE 5 M2 NA ALTURA INTEIRA DAS PAREDES. AF_06/2014 </v>
      </c>
      <c r="C27" s="1711"/>
      <c r="D27" s="1711"/>
      <c r="E27" s="1711"/>
      <c r="F27" s="1711"/>
      <c r="G27" s="1711"/>
      <c r="H27" s="1711"/>
      <c r="I27" s="1711"/>
      <c r="J27" s="1711"/>
    </row>
    <row r="28" spans="1:10" ht="12.75" customHeight="1" x14ac:dyDescent="0.25">
      <c r="A28" s="242"/>
      <c r="B28" s="242"/>
      <c r="C28" s="242"/>
      <c r="D28" s="242"/>
      <c r="E28" s="242"/>
      <c r="F28" s="242"/>
      <c r="G28" s="242"/>
      <c r="H28" s="242"/>
      <c r="I28" s="242"/>
      <c r="J28" s="27"/>
    </row>
    <row r="29" spans="1:10" ht="12.75" customHeight="1" x14ac:dyDescent="0.25">
      <c r="A29" s="242"/>
      <c r="B29" s="242" t="s">
        <v>1864</v>
      </c>
      <c r="C29" s="242"/>
      <c r="D29" s="242"/>
      <c r="E29" s="242"/>
      <c r="F29" s="242"/>
      <c r="G29" s="242"/>
      <c r="H29" s="242"/>
      <c r="I29" s="242"/>
      <c r="J29" s="27"/>
    </row>
    <row r="30" spans="1:10" x14ac:dyDescent="0.2">
      <c r="A30" s="27"/>
      <c r="B30" s="391" t="s">
        <v>459</v>
      </c>
      <c r="C30" s="391" t="s">
        <v>313</v>
      </c>
      <c r="D30" s="392"/>
      <c r="E30" s="391" t="s">
        <v>311</v>
      </c>
      <c r="F30" s="392"/>
      <c r="G30" s="391" t="s">
        <v>213</v>
      </c>
      <c r="H30" s="27"/>
      <c r="I30" s="27"/>
      <c r="J30" s="27"/>
    </row>
    <row r="31" spans="1:10" x14ac:dyDescent="0.2">
      <c r="A31" s="27"/>
      <c r="B31" s="1792" t="s">
        <v>1638</v>
      </c>
      <c r="C31" s="1793"/>
      <c r="D31" s="1793"/>
      <c r="E31" s="1793"/>
      <c r="F31" s="1793"/>
      <c r="G31" s="1794"/>
      <c r="H31" s="27"/>
      <c r="I31" s="27"/>
      <c r="J31" s="27"/>
    </row>
    <row r="32" spans="1:10" ht="13.5" customHeight="1" x14ac:dyDescent="0.2">
      <c r="B32" s="1796" t="str">
        <f>'7.ALVE.'!B29</f>
        <v>Banheiro Fem.</v>
      </c>
      <c r="C32" s="396">
        <f>'7.ALVE.'!C29</f>
        <v>2.4</v>
      </c>
      <c r="D32" s="391" t="s">
        <v>45</v>
      </c>
      <c r="E32" s="493">
        <v>2.6</v>
      </c>
      <c r="F32" s="391" t="s">
        <v>46</v>
      </c>
      <c r="G32" s="395">
        <f t="shared" ref="G32:G64" si="0">ROUND(C32*E32,2)</f>
        <v>6.24</v>
      </c>
    </row>
    <row r="33" spans="2:10" ht="13.5" customHeight="1" x14ac:dyDescent="0.2">
      <c r="B33" s="1797"/>
      <c r="C33" s="396">
        <v>1.42</v>
      </c>
      <c r="D33" s="391" t="s">
        <v>45</v>
      </c>
      <c r="E33" s="493">
        <v>2.6</v>
      </c>
      <c r="F33" s="391" t="s">
        <v>46</v>
      </c>
      <c r="G33" s="395">
        <f t="shared" ref="G33:G39" si="1">ROUND(C33*E33,2)</f>
        <v>3.69</v>
      </c>
    </row>
    <row r="34" spans="2:10" ht="13.5" customHeight="1" x14ac:dyDescent="0.2">
      <c r="B34" s="1797"/>
      <c r="C34" s="396">
        <v>2.4</v>
      </c>
      <c r="D34" s="391" t="s">
        <v>45</v>
      </c>
      <c r="E34" s="493">
        <v>2.6</v>
      </c>
      <c r="F34" s="391" t="s">
        <v>46</v>
      </c>
      <c r="G34" s="395">
        <f t="shared" si="1"/>
        <v>6.24</v>
      </c>
    </row>
    <row r="35" spans="2:10" ht="13.5" customHeight="1" x14ac:dyDescent="0.2">
      <c r="B35" s="1798"/>
      <c r="C35" s="396">
        <v>1.42</v>
      </c>
      <c r="D35" s="391" t="s">
        <v>45</v>
      </c>
      <c r="E35" s="493">
        <v>2.6</v>
      </c>
      <c r="F35" s="391" t="s">
        <v>46</v>
      </c>
      <c r="G35" s="395">
        <f t="shared" si="1"/>
        <v>3.69</v>
      </c>
    </row>
    <row r="36" spans="2:10" ht="13.5" customHeight="1" x14ac:dyDescent="0.2">
      <c r="B36" s="1789" t="s">
        <v>546</v>
      </c>
      <c r="C36" s="396">
        <f>'7.ALVE.'!C33</f>
        <v>8.4499999999999993</v>
      </c>
      <c r="D36" s="391" t="s">
        <v>45</v>
      </c>
      <c r="E36" s="493">
        <v>2.6</v>
      </c>
      <c r="F36" s="391" t="s">
        <v>46</v>
      </c>
      <c r="G36" s="395">
        <f t="shared" si="1"/>
        <v>21.97</v>
      </c>
    </row>
    <row r="37" spans="2:10" ht="13.5" customHeight="1" x14ac:dyDescent="0.2">
      <c r="B37" s="1799"/>
      <c r="C37" s="396">
        <v>1.42</v>
      </c>
      <c r="D37" s="391" t="s">
        <v>45</v>
      </c>
      <c r="E37" s="493">
        <v>2.6</v>
      </c>
      <c r="F37" s="391" t="s">
        <v>46</v>
      </c>
      <c r="G37" s="395">
        <f t="shared" si="1"/>
        <v>3.69</v>
      </c>
    </row>
    <row r="38" spans="2:10" ht="13.5" customHeight="1" x14ac:dyDescent="0.2">
      <c r="B38" s="1799"/>
      <c r="C38" s="396">
        <v>2.4</v>
      </c>
      <c r="D38" s="391" t="s">
        <v>45</v>
      </c>
      <c r="E38" s="493">
        <v>2.6</v>
      </c>
      <c r="F38" s="391" t="s">
        <v>46</v>
      </c>
      <c r="G38" s="395">
        <f t="shared" si="1"/>
        <v>6.24</v>
      </c>
    </row>
    <row r="39" spans="2:10" ht="13.5" customHeight="1" x14ac:dyDescent="0.2">
      <c r="B39" s="1800"/>
      <c r="C39" s="396">
        <v>1.42</v>
      </c>
      <c r="D39" s="391" t="s">
        <v>45</v>
      </c>
      <c r="E39" s="493">
        <v>2.6</v>
      </c>
      <c r="F39" s="391" t="s">
        <v>46</v>
      </c>
      <c r="G39" s="395">
        <f t="shared" si="1"/>
        <v>3.69</v>
      </c>
    </row>
    <row r="40" spans="2:10" ht="13.5" customHeight="1" x14ac:dyDescent="0.2">
      <c r="B40" s="1801" t="str">
        <f>'7.ALVE.'!B35</f>
        <v>DML</v>
      </c>
      <c r="C40" s="396">
        <v>2</v>
      </c>
      <c r="D40" s="391" t="s">
        <v>45</v>
      </c>
      <c r="E40" s="493">
        <v>2.6</v>
      </c>
      <c r="F40" s="391" t="s">
        <v>46</v>
      </c>
      <c r="G40" s="395">
        <f t="shared" si="0"/>
        <v>5.2</v>
      </c>
    </row>
    <row r="41" spans="2:10" ht="13.5" customHeight="1" x14ac:dyDescent="0.2">
      <c r="B41" s="1799"/>
      <c r="C41" s="396">
        <v>1.3</v>
      </c>
      <c r="D41" s="391" t="s">
        <v>45</v>
      </c>
      <c r="E41" s="493">
        <v>2.6</v>
      </c>
      <c r="F41" s="391" t="s">
        <v>46</v>
      </c>
      <c r="G41" s="395">
        <f t="shared" ref="G41:G46" si="2">ROUND(C41*E41,2)</f>
        <v>3.38</v>
      </c>
    </row>
    <row r="42" spans="2:10" ht="13.5" customHeight="1" x14ac:dyDescent="0.2">
      <c r="B42" s="1799"/>
      <c r="C42" s="396">
        <v>2</v>
      </c>
      <c r="D42" s="391" t="s">
        <v>45</v>
      </c>
      <c r="E42" s="493">
        <v>2.6</v>
      </c>
      <c r="F42" s="391" t="s">
        <v>46</v>
      </c>
      <c r="G42" s="395">
        <f t="shared" si="2"/>
        <v>5.2</v>
      </c>
    </row>
    <row r="43" spans="2:10" ht="13.5" customHeight="1" x14ac:dyDescent="0.2">
      <c r="B43" s="1800"/>
      <c r="C43" s="396">
        <v>1.3</v>
      </c>
      <c r="D43" s="391" t="s">
        <v>45</v>
      </c>
      <c r="E43" s="493">
        <v>2.6</v>
      </c>
      <c r="F43" s="391" t="s">
        <v>46</v>
      </c>
      <c r="G43" s="395">
        <f t="shared" si="2"/>
        <v>3.38</v>
      </c>
    </row>
    <row r="44" spans="2:10" ht="13.5" customHeight="1" x14ac:dyDescent="0.2">
      <c r="B44" s="1789" t="s">
        <v>211</v>
      </c>
      <c r="C44" s="396">
        <v>4.05</v>
      </c>
      <c r="D44" s="391" t="s">
        <v>45</v>
      </c>
      <c r="E44" s="493">
        <v>2.6</v>
      </c>
      <c r="F44" s="391" t="s">
        <v>46</v>
      </c>
      <c r="G44" s="395">
        <f t="shared" si="2"/>
        <v>10.53</v>
      </c>
      <c r="I44" s="1588" t="s">
        <v>2609</v>
      </c>
      <c r="J44" s="1588"/>
    </row>
    <row r="45" spans="2:10" ht="13.5" customHeight="1" x14ac:dyDescent="0.2">
      <c r="B45" s="1790"/>
      <c r="C45" s="396">
        <v>3</v>
      </c>
      <c r="D45" s="391" t="s">
        <v>45</v>
      </c>
      <c r="E45" s="493">
        <v>2.6</v>
      </c>
      <c r="F45" s="391" t="s">
        <v>46</v>
      </c>
      <c r="G45" s="395">
        <f t="shared" si="2"/>
        <v>7.8</v>
      </c>
      <c r="I45" s="1588"/>
      <c r="J45" s="1588"/>
    </row>
    <row r="46" spans="2:10" ht="13.5" customHeight="1" x14ac:dyDescent="0.2">
      <c r="B46" s="1790"/>
      <c r="C46" s="396">
        <v>1.9</v>
      </c>
      <c r="D46" s="391" t="s">
        <v>45</v>
      </c>
      <c r="E46" s="493">
        <v>2.6</v>
      </c>
      <c r="F46" s="391" t="s">
        <v>46</v>
      </c>
      <c r="G46" s="395">
        <f t="shared" si="2"/>
        <v>4.9400000000000004</v>
      </c>
      <c r="I46" s="1588"/>
      <c r="J46" s="1588"/>
    </row>
    <row r="47" spans="2:10" ht="13.5" customHeight="1" x14ac:dyDescent="0.2">
      <c r="B47" s="1790"/>
      <c r="C47" s="396">
        <v>1.45</v>
      </c>
      <c r="D47" s="391" t="s">
        <v>45</v>
      </c>
      <c r="E47" s="493">
        <v>2.6</v>
      </c>
      <c r="F47" s="391" t="s">
        <v>46</v>
      </c>
      <c r="G47" s="395">
        <f t="shared" si="0"/>
        <v>3.77</v>
      </c>
      <c r="I47" s="1588"/>
      <c r="J47" s="1588"/>
    </row>
    <row r="48" spans="2:10" ht="13.5" customHeight="1" x14ac:dyDescent="0.2">
      <c r="B48" s="1790"/>
      <c r="C48" s="396">
        <v>2.15</v>
      </c>
      <c r="D48" s="391" t="s">
        <v>45</v>
      </c>
      <c r="E48" s="493">
        <v>2.6</v>
      </c>
      <c r="F48" s="391" t="s">
        <v>46</v>
      </c>
      <c r="G48" s="395">
        <f t="shared" si="0"/>
        <v>5.59</v>
      </c>
      <c r="I48" s="1588"/>
      <c r="J48" s="1588"/>
    </row>
    <row r="49" spans="2:10" ht="13.5" customHeight="1" x14ac:dyDescent="0.2">
      <c r="B49" s="1791"/>
      <c r="C49" s="396">
        <v>1.55</v>
      </c>
      <c r="D49" s="391" t="s">
        <v>45</v>
      </c>
      <c r="E49" s="493">
        <v>2.6</v>
      </c>
      <c r="F49" s="391" t="s">
        <v>46</v>
      </c>
      <c r="G49" s="395">
        <f t="shared" si="0"/>
        <v>4.03</v>
      </c>
      <c r="I49" s="1588"/>
      <c r="J49" s="1588"/>
    </row>
    <row r="50" spans="2:10" x14ac:dyDescent="0.2">
      <c r="B50" s="1789" t="s">
        <v>541</v>
      </c>
      <c r="C50" s="396">
        <v>5</v>
      </c>
      <c r="D50" s="391" t="s">
        <v>45</v>
      </c>
      <c r="E50" s="493">
        <v>2.2000000000000002</v>
      </c>
      <c r="F50" s="391" t="s">
        <v>46</v>
      </c>
      <c r="G50" s="395">
        <f t="shared" si="0"/>
        <v>11</v>
      </c>
      <c r="I50" s="1588"/>
      <c r="J50" s="1588"/>
    </row>
    <row r="51" spans="2:10" x14ac:dyDescent="0.2">
      <c r="B51" s="1790"/>
      <c r="C51" s="396">
        <v>2</v>
      </c>
      <c r="D51" s="391" t="s">
        <v>45</v>
      </c>
      <c r="E51" s="493">
        <v>2.7</v>
      </c>
      <c r="F51" s="391" t="s">
        <v>46</v>
      </c>
      <c r="G51" s="395">
        <f t="shared" si="0"/>
        <v>5.4</v>
      </c>
      <c r="I51" s="1588"/>
      <c r="J51" s="1588"/>
    </row>
    <row r="52" spans="2:10" ht="12.75" customHeight="1" x14ac:dyDescent="0.2">
      <c r="B52" s="1790"/>
      <c r="C52" s="396">
        <v>5</v>
      </c>
      <c r="D52" s="391" t="s">
        <v>45</v>
      </c>
      <c r="E52" s="493">
        <f>E50</f>
        <v>2.2000000000000002</v>
      </c>
      <c r="F52" s="391" t="s">
        <v>46</v>
      </c>
      <c r="G52" s="395">
        <f t="shared" si="0"/>
        <v>11</v>
      </c>
      <c r="I52" s="1588"/>
      <c r="J52" s="1588"/>
    </row>
    <row r="53" spans="2:10" x14ac:dyDescent="0.2">
      <c r="B53" s="1791"/>
      <c r="C53" s="396">
        <v>2</v>
      </c>
      <c r="D53" s="391" t="s">
        <v>45</v>
      </c>
      <c r="E53" s="493">
        <v>2.2000000000000002</v>
      </c>
      <c r="F53" s="391" t="s">
        <v>46</v>
      </c>
      <c r="G53" s="395">
        <f t="shared" si="0"/>
        <v>4.4000000000000004</v>
      </c>
      <c r="I53" s="1588"/>
      <c r="J53" s="1588"/>
    </row>
    <row r="54" spans="2:10" ht="38.25" x14ac:dyDescent="0.2">
      <c r="B54" s="871" t="s">
        <v>1642</v>
      </c>
      <c r="C54" s="396">
        <v>5</v>
      </c>
      <c r="D54" s="391" t="s">
        <v>45</v>
      </c>
      <c r="E54" s="493">
        <v>0.5</v>
      </c>
      <c r="F54" s="391" t="s">
        <v>46</v>
      </c>
      <c r="G54" s="395">
        <f>ROUND(C54*E54,2)</f>
        <v>2.5</v>
      </c>
      <c r="I54" s="1588"/>
      <c r="J54" s="1588"/>
    </row>
    <row r="55" spans="2:10" ht="15" customHeight="1" x14ac:dyDescent="0.2">
      <c r="B55" s="1789" t="s">
        <v>602</v>
      </c>
      <c r="C55" s="396">
        <v>2.8</v>
      </c>
      <c r="D55" s="391" t="s">
        <v>45</v>
      </c>
      <c r="E55" s="434">
        <v>2.6</v>
      </c>
      <c r="F55" s="391" t="s">
        <v>46</v>
      </c>
      <c r="G55" s="395">
        <f t="shared" si="0"/>
        <v>7.28</v>
      </c>
      <c r="I55" s="1588"/>
      <c r="J55" s="1588"/>
    </row>
    <row r="56" spans="2:10" ht="15" customHeight="1" x14ac:dyDescent="0.2">
      <c r="B56" s="1790"/>
      <c r="C56" s="396">
        <v>1.65</v>
      </c>
      <c r="D56" s="391" t="s">
        <v>45</v>
      </c>
      <c r="E56" s="434">
        <v>2.6</v>
      </c>
      <c r="F56" s="391" t="s">
        <v>46</v>
      </c>
      <c r="G56" s="395">
        <f t="shared" si="0"/>
        <v>4.29</v>
      </c>
      <c r="I56" s="1588"/>
      <c r="J56" s="1588"/>
    </row>
    <row r="57" spans="2:10" ht="15" customHeight="1" x14ac:dyDescent="0.2">
      <c r="B57" s="1790"/>
      <c r="C57" s="396">
        <v>2.8</v>
      </c>
      <c r="D57" s="391" t="s">
        <v>45</v>
      </c>
      <c r="E57" s="434">
        <v>2.6</v>
      </c>
      <c r="F57" s="391" t="s">
        <v>46</v>
      </c>
      <c r="G57" s="395">
        <f t="shared" si="0"/>
        <v>7.28</v>
      </c>
    </row>
    <row r="58" spans="2:10" ht="15" customHeight="1" x14ac:dyDescent="0.2">
      <c r="B58" s="1791"/>
      <c r="C58" s="396">
        <v>1.65</v>
      </c>
      <c r="D58" s="391" t="s">
        <v>45</v>
      </c>
      <c r="E58" s="434">
        <v>2.6</v>
      </c>
      <c r="F58" s="391" t="s">
        <v>46</v>
      </c>
      <c r="G58" s="395">
        <f t="shared" si="0"/>
        <v>4.29</v>
      </c>
    </row>
    <row r="59" spans="2:10" ht="14.25" customHeight="1" x14ac:dyDescent="0.2">
      <c r="B59" s="1789" t="s">
        <v>601</v>
      </c>
      <c r="C59" s="396">
        <v>2.42</v>
      </c>
      <c r="D59" s="391" t="s">
        <v>45</v>
      </c>
      <c r="E59" s="434">
        <v>2.6</v>
      </c>
      <c r="F59" s="391" t="s">
        <v>46</v>
      </c>
      <c r="G59" s="395">
        <f t="shared" si="0"/>
        <v>6.29</v>
      </c>
    </row>
    <row r="60" spans="2:10" ht="14.25" customHeight="1" x14ac:dyDescent="0.2">
      <c r="B60" s="1790"/>
      <c r="C60" s="396">
        <v>1.8</v>
      </c>
      <c r="D60" s="391" t="s">
        <v>45</v>
      </c>
      <c r="E60" s="434">
        <v>2.6</v>
      </c>
      <c r="F60" s="391" t="s">
        <v>46</v>
      </c>
      <c r="G60" s="395">
        <f t="shared" si="0"/>
        <v>4.68</v>
      </c>
    </row>
    <row r="61" spans="2:10" ht="14.25" customHeight="1" x14ac:dyDescent="0.2">
      <c r="B61" s="1790"/>
      <c r="C61" s="396">
        <v>2.42</v>
      </c>
      <c r="D61" s="391" t="s">
        <v>45</v>
      </c>
      <c r="E61" s="434">
        <v>2.6</v>
      </c>
      <c r="F61" s="391" t="s">
        <v>46</v>
      </c>
      <c r="G61" s="395">
        <f t="shared" si="0"/>
        <v>6.29</v>
      </c>
    </row>
    <row r="62" spans="2:10" ht="14.25" customHeight="1" x14ac:dyDescent="0.2">
      <c r="B62" s="1791"/>
      <c r="C62" s="396">
        <v>1.8</v>
      </c>
      <c r="D62" s="391" t="s">
        <v>45</v>
      </c>
      <c r="E62" s="434">
        <v>2.6</v>
      </c>
      <c r="F62" s="391" t="s">
        <v>46</v>
      </c>
      <c r="G62" s="395">
        <f t="shared" si="0"/>
        <v>4.68</v>
      </c>
    </row>
    <row r="63" spans="2:10" x14ac:dyDescent="0.2">
      <c r="B63" s="1789" t="s">
        <v>600</v>
      </c>
      <c r="C63" s="396">
        <v>2.42</v>
      </c>
      <c r="D63" s="391" t="s">
        <v>45</v>
      </c>
      <c r="E63" s="434">
        <v>2.6</v>
      </c>
      <c r="F63" s="391" t="s">
        <v>46</v>
      </c>
      <c r="G63" s="395">
        <f t="shared" si="0"/>
        <v>6.29</v>
      </c>
    </row>
    <row r="64" spans="2:10" x14ac:dyDescent="0.2">
      <c r="B64" s="1790"/>
      <c r="C64" s="396">
        <v>1.8</v>
      </c>
      <c r="D64" s="391" t="s">
        <v>45</v>
      </c>
      <c r="E64" s="434">
        <v>2.6</v>
      </c>
      <c r="F64" s="391" t="s">
        <v>46</v>
      </c>
      <c r="G64" s="395">
        <f t="shared" si="0"/>
        <v>4.68</v>
      </c>
    </row>
    <row r="65" spans="1:10" x14ac:dyDescent="0.2">
      <c r="B65" s="1790"/>
      <c r="C65" s="396">
        <v>2.42</v>
      </c>
      <c r="D65" s="391" t="s">
        <v>45</v>
      </c>
      <c r="E65" s="434">
        <v>2.6</v>
      </c>
      <c r="F65" s="391" t="s">
        <v>46</v>
      </c>
      <c r="G65" s="395">
        <f t="shared" ref="G65:G75" si="3">ROUND(C65*E65,2)</f>
        <v>6.29</v>
      </c>
    </row>
    <row r="66" spans="1:10" x14ac:dyDescent="0.2">
      <c r="B66" s="1791"/>
      <c r="C66" s="396">
        <v>1.8</v>
      </c>
      <c r="D66" s="391" t="s">
        <v>45</v>
      </c>
      <c r="E66" s="434">
        <v>2.6</v>
      </c>
      <c r="F66" s="391" t="s">
        <v>46</v>
      </c>
      <c r="G66" s="395">
        <f t="shared" si="3"/>
        <v>4.68</v>
      </c>
    </row>
    <row r="67" spans="1:10" ht="14.25" customHeight="1" x14ac:dyDescent="0.2">
      <c r="B67" s="1789" t="s">
        <v>548</v>
      </c>
      <c r="C67" s="396">
        <v>1.8</v>
      </c>
      <c r="D67" s="391" t="s">
        <v>45</v>
      </c>
      <c r="E67" s="434">
        <v>2.6</v>
      </c>
      <c r="F67" s="391" t="s">
        <v>46</v>
      </c>
      <c r="G67" s="395">
        <f t="shared" si="3"/>
        <v>4.68</v>
      </c>
    </row>
    <row r="68" spans="1:10" ht="14.25" customHeight="1" x14ac:dyDescent="0.2">
      <c r="B68" s="1790"/>
      <c r="C68" s="396">
        <v>2.2000000000000002</v>
      </c>
      <c r="D68" s="391" t="s">
        <v>45</v>
      </c>
      <c r="E68" s="434">
        <v>2.6</v>
      </c>
      <c r="F68" s="391" t="s">
        <v>46</v>
      </c>
      <c r="G68" s="395">
        <f t="shared" si="3"/>
        <v>5.72</v>
      </c>
    </row>
    <row r="69" spans="1:10" ht="14.25" customHeight="1" x14ac:dyDescent="0.2">
      <c r="B69" s="1790"/>
      <c r="C69" s="396">
        <v>1.8</v>
      </c>
      <c r="D69" s="391" t="s">
        <v>45</v>
      </c>
      <c r="E69" s="434">
        <v>2.6</v>
      </c>
      <c r="F69" s="391" t="s">
        <v>46</v>
      </c>
      <c r="G69" s="395">
        <f t="shared" si="3"/>
        <v>4.68</v>
      </c>
    </row>
    <row r="70" spans="1:10" ht="14.25" customHeight="1" x14ac:dyDescent="0.2">
      <c r="B70" s="1791"/>
      <c r="C70" s="396">
        <v>2.2000000000000002</v>
      </c>
      <c r="D70" s="391" t="s">
        <v>45</v>
      </c>
      <c r="E70" s="434">
        <v>2.6</v>
      </c>
      <c r="F70" s="391" t="s">
        <v>46</v>
      </c>
      <c r="G70" s="395">
        <f t="shared" si="3"/>
        <v>5.72</v>
      </c>
    </row>
    <row r="71" spans="1:10" x14ac:dyDescent="0.2">
      <c r="B71" s="1789" t="s">
        <v>547</v>
      </c>
      <c r="C71" s="396">
        <v>1.8</v>
      </c>
      <c r="D71" s="391" t="s">
        <v>45</v>
      </c>
      <c r="E71" s="434">
        <v>2.6</v>
      </c>
      <c r="F71" s="391" t="s">
        <v>46</v>
      </c>
      <c r="G71" s="395">
        <f t="shared" si="3"/>
        <v>4.68</v>
      </c>
    </row>
    <row r="72" spans="1:10" x14ac:dyDescent="0.2">
      <c r="B72" s="1790"/>
      <c r="C72" s="396">
        <v>2.2000000000000002</v>
      </c>
      <c r="D72" s="391" t="s">
        <v>45</v>
      </c>
      <c r="E72" s="434">
        <v>2.6</v>
      </c>
      <c r="F72" s="391" t="s">
        <v>46</v>
      </c>
      <c r="G72" s="395">
        <f t="shared" si="3"/>
        <v>5.72</v>
      </c>
    </row>
    <row r="73" spans="1:10" x14ac:dyDescent="0.2">
      <c r="B73" s="1790"/>
      <c r="C73" s="396">
        <v>1.8</v>
      </c>
      <c r="D73" s="391" t="s">
        <v>45</v>
      </c>
      <c r="E73" s="434">
        <v>2.6</v>
      </c>
      <c r="F73" s="391" t="s">
        <v>46</v>
      </c>
      <c r="G73" s="395">
        <f t="shared" si="3"/>
        <v>4.68</v>
      </c>
    </row>
    <row r="74" spans="1:10" x14ac:dyDescent="0.2">
      <c r="B74" s="1791"/>
      <c r="C74" s="396">
        <v>2.2000000000000002</v>
      </c>
      <c r="D74" s="391" t="s">
        <v>45</v>
      </c>
      <c r="E74" s="434">
        <v>2.6</v>
      </c>
      <c r="F74" s="391" t="s">
        <v>46</v>
      </c>
      <c r="G74" s="395">
        <f t="shared" si="3"/>
        <v>5.72</v>
      </c>
    </row>
    <row r="75" spans="1:10" x14ac:dyDescent="0.2">
      <c r="B75" s="1789" t="s">
        <v>481</v>
      </c>
      <c r="C75" s="396">
        <v>1.8</v>
      </c>
      <c r="D75" s="391" t="s">
        <v>45</v>
      </c>
      <c r="E75" s="434">
        <v>2.6</v>
      </c>
      <c r="F75" s="391" t="s">
        <v>46</v>
      </c>
      <c r="G75" s="395">
        <f t="shared" si="3"/>
        <v>4.68</v>
      </c>
    </row>
    <row r="76" spans="1:10" x14ac:dyDescent="0.2">
      <c r="B76" s="1790"/>
      <c r="C76" s="396">
        <v>2.65</v>
      </c>
      <c r="D76" s="391" t="s">
        <v>45</v>
      </c>
      <c r="E76" s="434">
        <v>2.6</v>
      </c>
      <c r="F76" s="391" t="s">
        <v>46</v>
      </c>
      <c r="G76" s="395">
        <f t="shared" ref="G76:G78" si="4">ROUND(C76*E76,2)</f>
        <v>6.89</v>
      </c>
    </row>
    <row r="77" spans="1:10" x14ac:dyDescent="0.2">
      <c r="B77" s="1790"/>
      <c r="C77" s="396">
        <v>1.8</v>
      </c>
      <c r="D77" s="391" t="s">
        <v>45</v>
      </c>
      <c r="E77" s="434">
        <v>2.6</v>
      </c>
      <c r="F77" s="391" t="s">
        <v>46</v>
      </c>
      <c r="G77" s="395">
        <f t="shared" si="4"/>
        <v>4.68</v>
      </c>
    </row>
    <row r="78" spans="1:10" x14ac:dyDescent="0.2">
      <c r="B78" s="1791"/>
      <c r="C78" s="396">
        <v>2.65</v>
      </c>
      <c r="D78" s="391" t="s">
        <v>45</v>
      </c>
      <c r="E78" s="434">
        <v>2.6</v>
      </c>
      <c r="F78" s="391" t="s">
        <v>46</v>
      </c>
      <c r="G78" s="395">
        <f t="shared" si="4"/>
        <v>6.89</v>
      </c>
    </row>
    <row r="79" spans="1:10" ht="15" customHeight="1" x14ac:dyDescent="0.2">
      <c r="A79" s="27"/>
      <c r="B79" s="1792" t="s">
        <v>1639</v>
      </c>
      <c r="C79" s="1793"/>
      <c r="D79" s="1793"/>
      <c r="E79" s="1793"/>
      <c r="F79" s="1793"/>
      <c r="G79" s="1794"/>
      <c r="H79" s="27"/>
      <c r="I79" s="27"/>
      <c r="J79" s="27"/>
    </row>
    <row r="80" spans="1:10" ht="15.75" customHeight="1" x14ac:dyDescent="0.2">
      <c r="B80" s="528" t="s">
        <v>1640</v>
      </c>
      <c r="C80" s="396">
        <v>2.4500000000000002</v>
      </c>
      <c r="D80" s="391" t="s">
        <v>45</v>
      </c>
      <c r="E80" s="434">
        <v>0.79</v>
      </c>
      <c r="F80" s="391" t="s">
        <v>46</v>
      </c>
      <c r="G80" s="395">
        <f>ROUND(C80*E80,2)</f>
        <v>1.94</v>
      </c>
    </row>
    <row r="81" spans="1:10" x14ac:dyDescent="0.2">
      <c r="B81" s="528" t="s">
        <v>509</v>
      </c>
      <c r="C81" s="396">
        <v>0.4</v>
      </c>
      <c r="D81" s="391" t="s">
        <v>45</v>
      </c>
      <c r="E81" s="434">
        <v>0.4</v>
      </c>
      <c r="F81" s="391" t="s">
        <v>46</v>
      </c>
      <c r="G81" s="395">
        <f t="shared" ref="G81:G83" si="5">ROUND(C81*E81,2)</f>
        <v>0.16</v>
      </c>
    </row>
    <row r="82" spans="1:10" x14ac:dyDescent="0.2">
      <c r="B82" s="528" t="s">
        <v>508</v>
      </c>
      <c r="C82" s="396">
        <v>0.4</v>
      </c>
      <c r="D82" s="391" t="s">
        <v>45</v>
      </c>
      <c r="E82" s="434">
        <v>0.4</v>
      </c>
      <c r="F82" s="391" t="s">
        <v>46</v>
      </c>
      <c r="G82" s="395">
        <f t="shared" si="5"/>
        <v>0.16</v>
      </c>
    </row>
    <row r="83" spans="1:10" x14ac:dyDescent="0.2">
      <c r="B83" s="528" t="s">
        <v>507</v>
      </c>
      <c r="C83" s="396">
        <v>0.4</v>
      </c>
      <c r="D83" s="391" t="s">
        <v>45</v>
      </c>
      <c r="E83" s="434">
        <v>0.4</v>
      </c>
      <c r="F83" s="391" t="s">
        <v>46</v>
      </c>
      <c r="G83" s="395">
        <f t="shared" si="5"/>
        <v>0.16</v>
      </c>
    </row>
    <row r="84" spans="1:10" x14ac:dyDescent="0.2">
      <c r="B84" s="528" t="s">
        <v>1641</v>
      </c>
      <c r="C84" s="396">
        <v>0.4</v>
      </c>
      <c r="D84" s="391" t="s">
        <v>45</v>
      </c>
      <c r="E84" s="434">
        <v>0.4</v>
      </c>
      <c r="F84" s="391" t="s">
        <v>46</v>
      </c>
      <c r="G84" s="395">
        <f t="shared" ref="G84" si="6">ROUND(C84*E84,2)</f>
        <v>0.16</v>
      </c>
    </row>
    <row r="85" spans="1:10" x14ac:dyDescent="0.2">
      <c r="B85" s="528" t="s">
        <v>461</v>
      </c>
      <c r="C85" s="396">
        <v>0.4</v>
      </c>
      <c r="D85" s="391" t="s">
        <v>45</v>
      </c>
      <c r="E85" s="434">
        <v>0.4</v>
      </c>
      <c r="F85" s="391" t="s">
        <v>46</v>
      </c>
      <c r="G85" s="395">
        <f t="shared" ref="G85" si="7">ROUND(C85*E85,2)</f>
        <v>0.16</v>
      </c>
    </row>
    <row r="87" spans="1:10" x14ac:dyDescent="0.2">
      <c r="B87" s="430" t="s">
        <v>545</v>
      </c>
      <c r="C87" s="431">
        <f>ROUND(SUM(G32:G86),2)</f>
        <v>278.07</v>
      </c>
      <c r="D87" s="432" t="s">
        <v>4</v>
      </c>
    </row>
    <row r="89" spans="1:10" x14ac:dyDescent="0.2">
      <c r="A89" s="95"/>
      <c r="B89" s="1768" t="s">
        <v>538</v>
      </c>
      <c r="C89" s="1768"/>
      <c r="D89" s="1768"/>
      <c r="E89" s="1768"/>
      <c r="F89" s="1768"/>
      <c r="G89" s="1768"/>
      <c r="H89" s="1768"/>
      <c r="I89" s="1768"/>
      <c r="J89" s="95"/>
    </row>
    <row r="90" spans="1:10" s="325" customFormat="1" x14ac:dyDescent="0.2">
      <c r="A90" s="253"/>
      <c r="B90" s="425" t="s">
        <v>537</v>
      </c>
      <c r="C90" s="426" t="s">
        <v>405</v>
      </c>
      <c r="D90" s="426"/>
      <c r="E90" s="426" t="s">
        <v>311</v>
      </c>
      <c r="F90" s="239"/>
      <c r="G90" s="426" t="s">
        <v>469</v>
      </c>
      <c r="H90" s="239"/>
      <c r="I90" s="426" t="s">
        <v>213</v>
      </c>
    </row>
    <row r="91" spans="1:10" x14ac:dyDescent="0.2">
      <c r="A91" s="95"/>
      <c r="B91" s="433" t="str">
        <f>'7.ALVE.'!B74</f>
        <v>WC PCD</v>
      </c>
      <c r="C91" s="435">
        <f>'7.ALVE.'!C74</f>
        <v>0.9</v>
      </c>
      <c r="D91" s="303" t="s">
        <v>45</v>
      </c>
      <c r="E91" s="429">
        <f>'7.ALVE.'!E74</f>
        <v>2.1</v>
      </c>
      <c r="F91" s="303" t="s">
        <v>45</v>
      </c>
      <c r="G91" s="303">
        <f>'7.ALVE.'!G74</f>
        <v>5</v>
      </c>
      <c r="H91" s="303" t="s">
        <v>46</v>
      </c>
      <c r="I91" s="303">
        <f t="shared" ref="I91:I96" si="8">ROUND(C91*E91*G91,2)</f>
        <v>9.4499999999999993</v>
      </c>
    </row>
    <row r="92" spans="1:10" x14ac:dyDescent="0.2">
      <c r="A92" s="95"/>
      <c r="B92" s="433" t="str">
        <f>'7.ALVE.'!B75</f>
        <v>Fraldário</v>
      </c>
      <c r="C92" s="435">
        <f>'7.ALVE.'!C75</f>
        <v>0.9</v>
      </c>
      <c r="D92" s="303" t="s">
        <v>45</v>
      </c>
      <c r="E92" s="429">
        <f>'7.ALVE.'!E75</f>
        <v>2.1</v>
      </c>
      <c r="F92" s="303" t="s">
        <v>45</v>
      </c>
      <c r="G92" s="303">
        <f>'7.ALVE.'!G75</f>
        <v>1</v>
      </c>
      <c r="H92" s="303" t="s">
        <v>46</v>
      </c>
      <c r="I92" s="303">
        <f t="shared" si="8"/>
        <v>1.89</v>
      </c>
    </row>
    <row r="93" spans="1:10" x14ac:dyDescent="0.2">
      <c r="A93" s="95"/>
      <c r="B93" s="433" t="str">
        <f>'7.ALVE.'!B79</f>
        <v>Sauna</v>
      </c>
      <c r="C93" s="435">
        <f>'7.ALVE.'!C79</f>
        <v>1</v>
      </c>
      <c r="D93" s="303" t="s">
        <v>45</v>
      </c>
      <c r="E93" s="429">
        <f>'7.ALVE.'!E79</f>
        <v>2</v>
      </c>
      <c r="F93" s="303" t="s">
        <v>45</v>
      </c>
      <c r="G93" s="303">
        <f>'7.ALVE.'!G79</f>
        <v>1</v>
      </c>
      <c r="H93" s="303" t="s">
        <v>46</v>
      </c>
      <c r="I93" s="303">
        <f t="shared" si="8"/>
        <v>2</v>
      </c>
    </row>
    <row r="94" spans="1:10" x14ac:dyDescent="0.2">
      <c r="A94" s="95"/>
      <c r="B94" s="433" t="str">
        <f>'7.ALVE.'!B83</f>
        <v>Banheiros</v>
      </c>
      <c r="C94" s="435">
        <f>'7.ALVE.'!C83</f>
        <v>0.8</v>
      </c>
      <c r="D94" s="303" t="s">
        <v>45</v>
      </c>
      <c r="E94" s="429">
        <f>'7.ALVE.'!E83</f>
        <v>2.1</v>
      </c>
      <c r="F94" s="303" t="s">
        <v>45</v>
      </c>
      <c r="G94" s="303">
        <f>'7.ALVE.'!G83</f>
        <v>2</v>
      </c>
      <c r="H94" s="303" t="s">
        <v>46</v>
      </c>
      <c r="I94" s="303">
        <f t="shared" si="8"/>
        <v>3.36</v>
      </c>
    </row>
    <row r="95" spans="1:10" x14ac:dyDescent="0.2">
      <c r="A95" s="95"/>
      <c r="B95" s="433" t="str">
        <f>'7.ALVE.'!B84</f>
        <v>Copa</v>
      </c>
      <c r="C95" s="435">
        <f>'7.ALVE.'!C84</f>
        <v>0.8</v>
      </c>
      <c r="D95" s="303" t="s">
        <v>45</v>
      </c>
      <c r="E95" s="429">
        <f>'7.ALVE.'!E84</f>
        <v>2.1</v>
      </c>
      <c r="F95" s="303" t="s">
        <v>45</v>
      </c>
      <c r="G95" s="303">
        <f>'7.ALVE.'!G84</f>
        <v>2</v>
      </c>
      <c r="H95" s="303" t="s">
        <v>46</v>
      </c>
      <c r="I95" s="303">
        <f t="shared" si="8"/>
        <v>3.36</v>
      </c>
    </row>
    <row r="96" spans="1:10" x14ac:dyDescent="0.2">
      <c r="A96" s="95"/>
      <c r="B96" s="433" t="str">
        <f>'7.ALVE.'!B85</f>
        <v>DML</v>
      </c>
      <c r="C96" s="435">
        <f>'7.ALVE.'!C85</f>
        <v>0.8</v>
      </c>
      <c r="D96" s="303" t="s">
        <v>45</v>
      </c>
      <c r="E96" s="429">
        <f>'7.ALVE.'!E85</f>
        <v>2.1</v>
      </c>
      <c r="F96" s="303" t="s">
        <v>45</v>
      </c>
      <c r="G96" s="303">
        <f>'7.ALVE.'!G85</f>
        <v>1</v>
      </c>
      <c r="H96" s="303" t="s">
        <v>46</v>
      </c>
      <c r="I96" s="303">
        <f t="shared" si="8"/>
        <v>1.68</v>
      </c>
    </row>
    <row r="97" spans="1:10" x14ac:dyDescent="0.2">
      <c r="A97" s="95"/>
      <c r="B97" s="1768" t="s">
        <v>543</v>
      </c>
      <c r="C97" s="1768"/>
      <c r="D97" s="1768"/>
      <c r="E97" s="1768"/>
      <c r="F97" s="1768"/>
      <c r="G97" s="1768"/>
      <c r="H97" s="1768"/>
      <c r="I97" s="1768"/>
      <c r="J97" s="95"/>
    </row>
    <row r="98" spans="1:10" s="325" customFormat="1" x14ac:dyDescent="0.2">
      <c r="A98" s="253"/>
      <c r="B98" s="425" t="s">
        <v>537</v>
      </c>
      <c r="C98" s="426" t="s">
        <v>405</v>
      </c>
      <c r="D98" s="426"/>
      <c r="E98" s="426" t="s">
        <v>311</v>
      </c>
      <c r="F98" s="239"/>
      <c r="G98" s="426" t="s">
        <v>469</v>
      </c>
      <c r="H98" s="239"/>
      <c r="I98" s="426" t="s">
        <v>213</v>
      </c>
    </row>
    <row r="99" spans="1:10" s="139" customFormat="1" ht="15.75" customHeight="1" x14ac:dyDescent="0.2">
      <c r="A99" s="95"/>
      <c r="B99" s="428" t="str">
        <f>'7.ALVE.'!B92</f>
        <v>WC PCD</v>
      </c>
      <c r="C99" s="434">
        <f>'7.ALVE.'!C92</f>
        <v>1</v>
      </c>
      <c r="D99" s="303" t="s">
        <v>45</v>
      </c>
      <c r="E99" s="429">
        <f>'7.ALVE.'!E92</f>
        <v>0.8</v>
      </c>
      <c r="F99" s="303" t="s">
        <v>45</v>
      </c>
      <c r="G99" s="303">
        <f>'7.ALVE.'!G92</f>
        <v>5</v>
      </c>
      <c r="H99" s="303" t="s">
        <v>46</v>
      </c>
      <c r="I99" s="303">
        <f t="shared" ref="I99:I105" si="9">ROUND(C99*E99*G99,2)</f>
        <v>4</v>
      </c>
    </row>
    <row r="100" spans="1:10" s="139" customFormat="1" ht="15.75" customHeight="1" x14ac:dyDescent="0.2">
      <c r="A100" s="95"/>
      <c r="B100" s="428" t="str">
        <f>'7.ALVE.'!B93</f>
        <v>Fraldário</v>
      </c>
      <c r="C100" s="434">
        <f>'7.ALVE.'!C93</f>
        <v>1</v>
      </c>
      <c r="D100" s="303" t="s">
        <v>45</v>
      </c>
      <c r="E100" s="429">
        <f>'7.ALVE.'!E93</f>
        <v>0.8</v>
      </c>
      <c r="F100" s="303" t="s">
        <v>45</v>
      </c>
      <c r="G100" s="303">
        <f>'7.ALVE.'!G93</f>
        <v>1</v>
      </c>
      <c r="H100" s="303" t="s">
        <v>46</v>
      </c>
      <c r="I100" s="303">
        <f t="shared" si="9"/>
        <v>0.8</v>
      </c>
    </row>
    <row r="101" spans="1:10" s="139" customFormat="1" ht="15.75" customHeight="1" x14ac:dyDescent="0.2">
      <c r="A101" s="95"/>
      <c r="B101" s="428" t="str">
        <f>'7.ALVE.'!B97</f>
        <v>Sauna</v>
      </c>
      <c r="C101" s="434">
        <f>'7.ALVE.'!C97</f>
        <v>1</v>
      </c>
      <c r="D101" s="303" t="s">
        <v>45</v>
      </c>
      <c r="E101" s="429">
        <f>'7.ALVE.'!E97</f>
        <v>0.2</v>
      </c>
      <c r="F101" s="303" t="s">
        <v>45</v>
      </c>
      <c r="G101" s="303">
        <f>'7.ALVE.'!G97</f>
        <v>1</v>
      </c>
      <c r="H101" s="303" t="s">
        <v>46</v>
      </c>
      <c r="I101" s="303">
        <f t="shared" si="9"/>
        <v>0.2</v>
      </c>
    </row>
    <row r="102" spans="1:10" s="139" customFormat="1" ht="15.75" customHeight="1" x14ac:dyDescent="0.2">
      <c r="A102" s="95"/>
      <c r="B102" s="428" t="str">
        <f>'7.ALVE.'!B100</f>
        <v>Banheiros</v>
      </c>
      <c r="C102" s="434">
        <f>'7.ALVE.'!C100</f>
        <v>1</v>
      </c>
      <c r="D102" s="303" t="s">
        <v>45</v>
      </c>
      <c r="E102" s="429">
        <f>'7.ALVE.'!E100</f>
        <v>0.8</v>
      </c>
      <c r="F102" s="303" t="s">
        <v>45</v>
      </c>
      <c r="G102" s="303">
        <f>'7.ALVE.'!G100</f>
        <v>2</v>
      </c>
      <c r="H102" s="303" t="s">
        <v>46</v>
      </c>
      <c r="I102" s="303">
        <f t="shared" si="9"/>
        <v>1.6</v>
      </c>
    </row>
    <row r="103" spans="1:10" s="139" customFormat="1" ht="15.75" customHeight="1" x14ac:dyDescent="0.2">
      <c r="A103" s="95"/>
      <c r="B103" s="1782" t="str">
        <f>'7.ALVE.'!B101</f>
        <v>Copa</v>
      </c>
      <c r="C103" s="434">
        <f>'7.ALVE.'!C101</f>
        <v>1.5</v>
      </c>
      <c r="D103" s="303" t="s">
        <v>45</v>
      </c>
      <c r="E103" s="429">
        <f>'7.ALVE.'!E101</f>
        <v>0.8</v>
      </c>
      <c r="F103" s="303" t="s">
        <v>45</v>
      </c>
      <c r="G103" s="303">
        <f>'7.ALVE.'!G101</f>
        <v>1</v>
      </c>
      <c r="H103" s="303" t="s">
        <v>46</v>
      </c>
      <c r="I103" s="303">
        <f t="shared" si="9"/>
        <v>1.2</v>
      </c>
    </row>
    <row r="104" spans="1:10" s="139" customFormat="1" ht="15.75" customHeight="1" x14ac:dyDescent="0.2">
      <c r="A104" s="95"/>
      <c r="B104" s="1783"/>
      <c r="C104" s="434">
        <f>'7.ALVE.'!C102</f>
        <v>2.2000000000000002</v>
      </c>
      <c r="D104" s="303" t="s">
        <v>45</v>
      </c>
      <c r="E104" s="429">
        <f>'7.ALVE.'!E102</f>
        <v>0.8</v>
      </c>
      <c r="F104" s="303" t="s">
        <v>45</v>
      </c>
      <c r="G104" s="303">
        <f>'7.ALVE.'!G102</f>
        <v>1</v>
      </c>
      <c r="H104" s="303" t="s">
        <v>46</v>
      </c>
      <c r="I104" s="303">
        <f t="shared" si="9"/>
        <v>1.76</v>
      </c>
    </row>
    <row r="105" spans="1:10" s="139" customFormat="1" ht="15.75" customHeight="1" x14ac:dyDescent="0.2">
      <c r="A105" s="95"/>
      <c r="B105" s="428" t="str">
        <f>'7.ALVE.'!B103</f>
        <v>DML</v>
      </c>
      <c r="C105" s="434">
        <f>'7.ALVE.'!C103</f>
        <v>1</v>
      </c>
      <c r="D105" s="303" t="s">
        <v>45</v>
      </c>
      <c r="E105" s="429">
        <f>'7.ALVE.'!E103</f>
        <v>0.8</v>
      </c>
      <c r="F105" s="303" t="s">
        <v>45</v>
      </c>
      <c r="G105" s="303">
        <f>'7.ALVE.'!G103</f>
        <v>1</v>
      </c>
      <c r="H105" s="303" t="s">
        <v>46</v>
      </c>
      <c r="I105" s="303">
        <f t="shared" si="9"/>
        <v>0.8</v>
      </c>
    </row>
    <row r="106" spans="1:10" x14ac:dyDescent="0.2">
      <c r="A106" s="95"/>
      <c r="B106" s="368"/>
      <c r="C106" s="368"/>
      <c r="D106" s="368"/>
      <c r="E106" s="95"/>
      <c r="F106" s="95"/>
      <c r="G106" s="95"/>
      <c r="H106" s="95"/>
      <c r="I106" s="95"/>
      <c r="J106" s="95"/>
    </row>
    <row r="107" spans="1:10" x14ac:dyDescent="0.2">
      <c r="A107" s="95"/>
      <c r="B107" s="365" t="s">
        <v>468</v>
      </c>
      <c r="C107" s="366">
        <f>ROUND(SUM(I91:I105),2)</f>
        <v>32.1</v>
      </c>
      <c r="D107" s="367" t="s">
        <v>4</v>
      </c>
      <c r="E107" s="95"/>
      <c r="F107" s="95"/>
      <c r="G107" s="95"/>
      <c r="H107" s="95"/>
      <c r="I107" s="95"/>
      <c r="J107" s="95"/>
    </row>
    <row r="109" spans="1:10" s="307" customFormat="1" ht="17.25" customHeight="1" x14ac:dyDescent="0.2">
      <c r="A109" s="436"/>
      <c r="B109" s="437"/>
      <c r="C109" s="438" t="s">
        <v>471</v>
      </c>
      <c r="D109" s="438"/>
      <c r="E109" s="438" t="s">
        <v>468</v>
      </c>
      <c r="F109" s="438"/>
      <c r="G109" s="439" t="s">
        <v>213</v>
      </c>
      <c r="H109" s="436"/>
      <c r="I109" s="436"/>
      <c r="J109" s="436"/>
    </row>
    <row r="110" spans="1:10" s="307" customFormat="1" ht="25.5" x14ac:dyDescent="0.2">
      <c r="A110" s="436"/>
      <c r="B110" s="440" t="s">
        <v>470</v>
      </c>
      <c r="C110" s="441">
        <f>C87</f>
        <v>278.07</v>
      </c>
      <c r="D110" s="441" t="s">
        <v>215</v>
      </c>
      <c r="E110" s="441">
        <f>C107</f>
        <v>32.1</v>
      </c>
      <c r="F110" s="441" t="s">
        <v>46</v>
      </c>
      <c r="G110" s="442">
        <f>ROUND(C110-E110,2)</f>
        <v>245.97</v>
      </c>
      <c r="H110" s="436"/>
      <c r="I110" s="436"/>
      <c r="J110" s="436"/>
    </row>
    <row r="112" spans="1:10" x14ac:dyDescent="0.2">
      <c r="B112" s="249" t="s">
        <v>47</v>
      </c>
      <c r="C112" s="71">
        <f>G110</f>
        <v>245.97</v>
      </c>
      <c r="D112" s="72" t="s">
        <v>4</v>
      </c>
    </row>
  </sheetData>
  <mergeCells count="40">
    <mergeCell ref="B36:B39"/>
    <mergeCell ref="B40:B43"/>
    <mergeCell ref="B44:B49"/>
    <mergeCell ref="B27:J27"/>
    <mergeCell ref="B23:J23"/>
    <mergeCell ref="B31:G31"/>
    <mergeCell ref="B12:H12"/>
    <mergeCell ref="A10:J10"/>
    <mergeCell ref="B13:J13"/>
    <mergeCell ref="B32:B35"/>
    <mergeCell ref="B18:J18"/>
    <mergeCell ref="B75:B78"/>
    <mergeCell ref="B103:B104"/>
    <mergeCell ref="B89:I89"/>
    <mergeCell ref="B97:I97"/>
    <mergeCell ref="B55:B58"/>
    <mergeCell ref="B59:B62"/>
    <mergeCell ref="B63:B66"/>
    <mergeCell ref="B67:B70"/>
    <mergeCell ref="B71:B74"/>
    <mergeCell ref="B79:G79"/>
    <mergeCell ref="I44:J56"/>
    <mergeCell ref="B50:B53"/>
    <mergeCell ref="C5:J5"/>
    <mergeCell ref="A6:B6"/>
    <mergeCell ref="C6:D6"/>
    <mergeCell ref="E6:F6"/>
    <mergeCell ref="G6:J6"/>
    <mergeCell ref="A5:B5"/>
    <mergeCell ref="B1:I2"/>
    <mergeCell ref="A3:B3"/>
    <mergeCell ref="C3:G3"/>
    <mergeCell ref="I3:J3"/>
    <mergeCell ref="A4:B4"/>
    <mergeCell ref="C4:J4"/>
    <mergeCell ref="A7:B7"/>
    <mergeCell ref="C7:D7"/>
    <mergeCell ref="E7:F7"/>
    <mergeCell ref="G7:J7"/>
    <mergeCell ref="A9:J9"/>
  </mergeCells>
  <phoneticPr fontId="6" type="noConversion"/>
  <pageMargins left="0.511811024" right="0.511811024" top="0.78740157499999996" bottom="0.78740157499999996" header="0.31496062000000002" footer="0.31496062000000002"/>
  <pageSetup paperSize="9" scale="64" orientation="portrait" horizontalDpi="1200" verticalDpi="1200" r:id="rId1"/>
  <rowBreaks count="1" manualBreakCount="1">
    <brk id="66"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
  <sheetViews>
    <sheetView showGridLines="0" view="pageBreakPreview" topLeftCell="A142" zoomScaleSheetLayoutView="100" workbookViewId="0">
      <selection activeCell="A11" sqref="A11:J11"/>
    </sheetView>
  </sheetViews>
  <sheetFormatPr defaultRowHeight="12.75" x14ac:dyDescent="0.2"/>
  <cols>
    <col min="2" max="2" width="16.28515625" customWidth="1"/>
    <col min="4" max="4" width="11.85546875" customWidth="1"/>
  </cols>
  <sheetData>
    <row r="1" spans="1:11" x14ac:dyDescent="0.2">
      <c r="B1" s="1307"/>
      <c r="C1" s="1307"/>
      <c r="D1" s="1307"/>
      <c r="E1" s="1307"/>
      <c r="F1" s="1307"/>
      <c r="G1" s="1307"/>
      <c r="H1" s="1307"/>
      <c r="I1" s="1307"/>
      <c r="J1" s="1307"/>
    </row>
    <row r="2" spans="1:11" ht="69.95" customHeight="1" x14ac:dyDescent="0.2">
      <c r="A2" s="215"/>
      <c r="B2" s="1365"/>
      <c r="C2" s="1365"/>
      <c r="D2" s="1365"/>
      <c r="E2" s="1365"/>
      <c r="F2" s="1365"/>
      <c r="G2" s="1365"/>
      <c r="H2" s="1365"/>
      <c r="I2" s="1365"/>
      <c r="J2" s="1307"/>
    </row>
    <row r="3" spans="1:11" ht="15.75" customHeight="1" x14ac:dyDescent="0.2">
      <c r="A3" s="1316" t="s">
        <v>79</v>
      </c>
      <c r="B3" s="1317"/>
      <c r="C3" s="1685" t="str">
        <f>ORÇ!B2</f>
        <v>PREFEITURA MUNICIPAL DE OURÉM</v>
      </c>
      <c r="D3" s="1686"/>
      <c r="E3" s="1686"/>
      <c r="F3" s="1686"/>
      <c r="G3" s="1687"/>
      <c r="H3" s="1682" t="s">
        <v>85</v>
      </c>
      <c r="I3" s="1683"/>
      <c r="J3" s="1754" t="str">
        <f>ORÇ!I2</f>
        <v>OURÉM/PA</v>
      </c>
      <c r="K3" s="1754"/>
    </row>
    <row r="4" spans="1:11" ht="15.75" customHeight="1" x14ac:dyDescent="0.2">
      <c r="A4" s="1316" t="s">
        <v>80</v>
      </c>
      <c r="B4" s="1317"/>
      <c r="C4" s="1684" t="str">
        <f>ORÇ!B3</f>
        <v>CONSTRUÇÃO DO CENTRO DE FISIOTERAPIA, NO MUNICÍPIO DE OURÉM/PA</v>
      </c>
      <c r="D4" s="1684"/>
      <c r="E4" s="1684"/>
      <c r="F4" s="1684"/>
      <c r="G4" s="1684"/>
      <c r="H4" s="1684"/>
      <c r="I4" s="1684"/>
      <c r="J4" s="1684"/>
      <c r="K4" s="1684"/>
    </row>
    <row r="5" spans="1:11" ht="15.75" customHeight="1" x14ac:dyDescent="0.2">
      <c r="A5" s="1316" t="s">
        <v>161</v>
      </c>
      <c r="B5" s="1317"/>
      <c r="C5" s="1681" t="str">
        <f>ORÇ!B4</f>
        <v>AV. PADRE ANGELO MORETTE, S/Nº - OURÉM/PA</v>
      </c>
      <c r="D5" s="1681"/>
      <c r="E5" s="1681"/>
      <c r="F5" s="1681"/>
      <c r="G5" s="1681"/>
      <c r="H5" s="1681"/>
      <c r="I5" s="1681"/>
      <c r="J5" s="1681"/>
      <c r="K5" s="1681"/>
    </row>
    <row r="6" spans="1:11" ht="30.75" customHeight="1" x14ac:dyDescent="0.2">
      <c r="A6" s="1310" t="s">
        <v>81</v>
      </c>
      <c r="B6" s="1311"/>
      <c r="C6" s="1806">
        <f>ORÇ!B5</f>
        <v>0.2881986483454233</v>
      </c>
      <c r="D6" s="1807"/>
      <c r="E6" s="1695" t="s">
        <v>169</v>
      </c>
      <c r="F6" s="1696"/>
      <c r="G6" s="1482" t="str">
        <f>ORÇ!G5</f>
        <v>SINAPI FEVEREIRO 2022 - DESONERADA                                 SEDOP FEVEREIRO 2022 - DESONERADA</v>
      </c>
      <c r="H6" s="1482"/>
      <c r="I6" s="1482"/>
      <c r="J6" s="1482"/>
      <c r="K6" s="1482"/>
    </row>
    <row r="7" spans="1:11" ht="25.5" customHeight="1" x14ac:dyDescent="0.2">
      <c r="A7" s="1316" t="s">
        <v>82</v>
      </c>
      <c r="B7" s="1317"/>
      <c r="C7" s="1672" t="str">
        <f>ORÇ!B6</f>
        <v>MARUZA BAPTISTA</v>
      </c>
      <c r="D7" s="1673"/>
      <c r="E7" s="1342" t="s">
        <v>170</v>
      </c>
      <c r="F7" s="1343"/>
      <c r="G7" s="1344" t="str">
        <f>ORÇ!G7</f>
        <v>CAU: 28510-2 A</v>
      </c>
      <c r="H7" s="1344"/>
      <c r="I7" s="1344"/>
      <c r="J7" s="1344"/>
      <c r="K7" s="1344"/>
    </row>
    <row r="8" spans="1:11" ht="9" customHeight="1" thickBot="1" x14ac:dyDescent="0.25">
      <c r="A8" s="5"/>
      <c r="B8" s="6"/>
      <c r="C8" s="6"/>
      <c r="D8" s="6"/>
      <c r="E8" s="6"/>
      <c r="F8" s="6"/>
      <c r="G8" s="6"/>
      <c r="H8" s="6"/>
      <c r="I8" s="6"/>
      <c r="J8" s="6"/>
    </row>
    <row r="9" spans="1:11" ht="15.75" customHeight="1" thickBot="1" x14ac:dyDescent="0.25">
      <c r="A9" s="1674" t="str">
        <f>CONCATENATE("MEMÓRIA DE CÁLCULO ",ORÇ!A116)</f>
        <v>MEMÓRIA DE CÁLCULO 9</v>
      </c>
      <c r="B9" s="1675"/>
      <c r="C9" s="1675"/>
      <c r="D9" s="1675"/>
      <c r="E9" s="1675"/>
      <c r="F9" s="1675"/>
      <c r="G9" s="1675"/>
      <c r="H9" s="1675"/>
      <c r="I9" s="1675"/>
      <c r="J9" s="1675"/>
      <c r="K9" s="1676"/>
    </row>
    <row r="10" spans="1:11" ht="12.75" customHeight="1" x14ac:dyDescent="0.2">
      <c r="A10" s="1677" t="str">
        <f>ORÇ!D116</f>
        <v>Esquadrias</v>
      </c>
      <c r="B10" s="1677"/>
      <c r="C10" s="1677"/>
      <c r="D10" s="1677"/>
      <c r="E10" s="1677"/>
      <c r="F10" s="1677"/>
      <c r="G10" s="1677"/>
      <c r="H10" s="1677"/>
      <c r="I10" s="1677"/>
      <c r="J10" s="1677"/>
      <c r="K10" s="1677"/>
    </row>
    <row r="11" spans="1:11" s="21" customFormat="1" ht="9.75" customHeight="1" x14ac:dyDescent="0.2">
      <c r="A11" s="5"/>
      <c r="B11" s="6"/>
      <c r="C11" s="6"/>
      <c r="D11" s="6"/>
      <c r="E11" s="6"/>
      <c r="F11" s="6"/>
      <c r="G11" s="6"/>
      <c r="H11" s="6"/>
      <c r="I11" s="6"/>
      <c r="J11" s="6"/>
    </row>
    <row r="12" spans="1:11" s="140" customFormat="1" ht="17.25" customHeight="1" x14ac:dyDescent="0.2">
      <c r="A12" s="226">
        <f>ORÇ!A116</f>
        <v>9</v>
      </c>
      <c r="B12" s="5" t="str">
        <f>ORÇ!D116</f>
        <v>Esquadrias</v>
      </c>
      <c r="C12" s="337"/>
      <c r="D12" s="337"/>
      <c r="E12" s="337"/>
      <c r="F12" s="337"/>
      <c r="G12" s="337"/>
      <c r="H12" s="337"/>
      <c r="I12" s="337"/>
      <c r="J12" s="337"/>
    </row>
    <row r="13" spans="1:11" s="140" customFormat="1" ht="17.25" customHeight="1" x14ac:dyDescent="0.2">
      <c r="A13" s="337" t="str">
        <f>ORÇ!A117</f>
        <v>9.1</v>
      </c>
      <c r="B13" s="5" t="str">
        <f>ORÇ!D117</f>
        <v>Portas</v>
      </c>
      <c r="C13" s="337"/>
      <c r="D13" s="337"/>
      <c r="E13" s="337"/>
      <c r="F13" s="337"/>
      <c r="G13" s="337"/>
      <c r="H13" s="337"/>
      <c r="I13" s="337"/>
      <c r="J13" s="337"/>
    </row>
    <row r="14" spans="1:11" s="21" customFormat="1" ht="40.5" customHeight="1" x14ac:dyDescent="0.2">
      <c r="A14" s="337" t="str">
        <f>ORÇ!A118</f>
        <v>9.1.1</v>
      </c>
      <c r="B14" s="1710" t="str">
        <f>ORÇ!D118</f>
        <v>P1 - PORTA DE ABRIR COM MOLA HIDRÁULICA (1,60Mx2,60M), EM VIDRO TEMPERADO, ESPESSURA 10 MM, PUXADOR EM ALUMÍNIO E BARRA ANTIPÂNICO DUPLA PARA PORTA DE VIDRO - FORNECIMENTO E INSTALAÇÃO</v>
      </c>
      <c r="C14" s="1710"/>
      <c r="D14" s="1710"/>
      <c r="E14" s="1710"/>
      <c r="F14" s="1710"/>
      <c r="G14" s="1710"/>
      <c r="H14" s="1710"/>
      <c r="I14" s="1710"/>
      <c r="J14" s="1710"/>
      <c r="K14" s="1710"/>
    </row>
    <row r="15" spans="1:11" s="21" customFormat="1" x14ac:dyDescent="0.2">
      <c r="A15" s="99"/>
      <c r="C15" s="340"/>
      <c r="D15" s="340"/>
      <c r="E15" s="340"/>
      <c r="F15" s="340"/>
      <c r="G15" s="340"/>
      <c r="H15" s="340"/>
      <c r="I15" s="340"/>
      <c r="J15" s="340"/>
    </row>
    <row r="16" spans="1:11" s="21" customFormat="1" x14ac:dyDescent="0.2">
      <c r="A16" s="99"/>
      <c r="B16" s="481" t="s">
        <v>619</v>
      </c>
      <c r="C16" s="21" t="s">
        <v>280</v>
      </c>
      <c r="D16" s="340"/>
      <c r="E16" s="340"/>
      <c r="F16" s="340"/>
      <c r="G16" s="340"/>
      <c r="H16" s="340"/>
      <c r="I16" s="340"/>
      <c r="J16" s="340"/>
    </row>
    <row r="17" spans="1:11" s="21" customFormat="1" ht="16.5" customHeight="1" x14ac:dyDescent="0.2">
      <c r="A17" s="205"/>
      <c r="B17" s="383" t="s">
        <v>469</v>
      </c>
      <c r="C17" s="384">
        <v>1</v>
      </c>
      <c r="D17" s="235" t="s">
        <v>588</v>
      </c>
      <c r="E17" s="205"/>
      <c r="F17" s="436"/>
      <c r="G17" s="436"/>
    </row>
    <row r="18" spans="1:11" s="21" customFormat="1" x14ac:dyDescent="0.2">
      <c r="A18" s="99"/>
      <c r="C18" s="340"/>
      <c r="D18" s="340"/>
      <c r="E18" s="340"/>
      <c r="F18" s="340"/>
      <c r="G18" s="340"/>
      <c r="H18" s="340"/>
      <c r="I18" s="340"/>
      <c r="J18" s="340"/>
    </row>
    <row r="19" spans="1:11" s="46" customFormat="1" ht="42" customHeight="1" x14ac:dyDescent="0.2">
      <c r="A19" s="337" t="str">
        <f>ORÇ!A119</f>
        <v>9.1.2</v>
      </c>
      <c r="B19" s="1710" t="str">
        <f>ORÇ!D119</f>
        <v>P2 - PORTA DE ABRIR COM MOLA HIDRÁULICA (3,00 Mx2,60M), EM VIDRO TEMPERADO, ESPESSURA 10 MM, PUXADOR EM ALUMÍNIO E BARRA ANTIPÂNICO DUPLA PARA PORTA DE VIDRO - FORNECIMENTO E INSTALAÇÃO</v>
      </c>
      <c r="C19" s="1710"/>
      <c r="D19" s="1710"/>
      <c r="E19" s="1710"/>
      <c r="F19" s="1710"/>
      <c r="G19" s="1710"/>
      <c r="H19" s="1710"/>
      <c r="I19" s="1710"/>
      <c r="J19" s="1710"/>
      <c r="K19" s="1710"/>
    </row>
    <row r="20" spans="1:11" s="21" customFormat="1" x14ac:dyDescent="0.2">
      <c r="A20" s="99"/>
      <c r="C20" s="340"/>
      <c r="D20" s="340"/>
      <c r="E20" s="340"/>
      <c r="F20" s="340"/>
      <c r="G20" s="340"/>
      <c r="H20" s="340"/>
      <c r="I20" s="340"/>
      <c r="J20" s="340"/>
    </row>
    <row r="21" spans="1:11" s="21" customFormat="1" x14ac:dyDescent="0.2">
      <c r="A21" s="99"/>
      <c r="B21" s="481" t="s">
        <v>620</v>
      </c>
      <c r="C21" s="21" t="s">
        <v>280</v>
      </c>
      <c r="D21" s="340"/>
      <c r="E21" s="340"/>
      <c r="F21" s="340"/>
      <c r="G21" s="340"/>
      <c r="H21" s="340"/>
      <c r="I21" s="340"/>
      <c r="J21" s="340"/>
    </row>
    <row r="22" spans="1:11" s="21" customFormat="1" ht="15.75" customHeight="1" x14ac:dyDescent="0.2">
      <c r="A22" s="205"/>
      <c r="B22" s="383" t="s">
        <v>469</v>
      </c>
      <c r="C22" s="384">
        <v>1</v>
      </c>
      <c r="D22" s="235" t="s">
        <v>588</v>
      </c>
      <c r="E22" s="205"/>
      <c r="F22" s="436"/>
      <c r="G22" s="436"/>
    </row>
    <row r="23" spans="1:11" s="21" customFormat="1" x14ac:dyDescent="0.2">
      <c r="A23" s="99"/>
      <c r="C23" s="340"/>
      <c r="D23" s="340"/>
      <c r="E23" s="340"/>
      <c r="F23" s="340"/>
      <c r="G23" s="340"/>
      <c r="H23" s="340"/>
      <c r="I23" s="340"/>
      <c r="J23" s="340"/>
    </row>
    <row r="24" spans="1:11" s="21" customFormat="1" ht="39.75" customHeight="1" x14ac:dyDescent="0.2">
      <c r="A24" s="337" t="str">
        <f>ORÇ!A120</f>
        <v>9.1.3</v>
      </c>
      <c r="B24" s="1710" t="str">
        <f>ORÇ!D120</f>
        <v>P3 - PORTA DE MADEIRA, MACIÇA (PESADA OU SUPERPESADA), 90X210CM, ESPESSURA DE 3,5CM, INCLUSO: DOBRADIÇAS, MAÇANETA TIPO ALAVANCA, DUAS BARRAS DE APOIO EM INOX DE 40 CM E FIXAÇÃO DE CHAPA DE INOX NA PARTE INFERIOR DA PORTA EM AMBOS OS LADOS NA ALTURA DE 40 CM - FORNECIMENTO E INSTALAÇÃO.</v>
      </c>
      <c r="C24" s="1710"/>
      <c r="D24" s="1710"/>
      <c r="E24" s="1710"/>
      <c r="F24" s="1710"/>
      <c r="G24" s="1710"/>
      <c r="H24" s="1710"/>
      <c r="I24" s="1710"/>
      <c r="J24" s="1710"/>
      <c r="K24" s="1710"/>
    </row>
    <row r="25" spans="1:11" s="21" customFormat="1" x14ac:dyDescent="0.2">
      <c r="A25" s="99"/>
      <c r="C25" s="340"/>
      <c r="D25" s="340"/>
      <c r="E25" s="340"/>
      <c r="F25" s="340"/>
      <c r="G25" s="340"/>
      <c r="H25" s="340"/>
      <c r="I25" s="340"/>
      <c r="J25" s="340"/>
    </row>
    <row r="26" spans="1:11" s="21" customFormat="1" x14ac:dyDescent="0.2">
      <c r="A26" s="99"/>
      <c r="B26" s="21" t="s">
        <v>621</v>
      </c>
      <c r="C26" s="340"/>
      <c r="D26" s="340"/>
      <c r="E26" s="340"/>
      <c r="F26" s="340"/>
      <c r="G26" s="340"/>
      <c r="H26" s="340"/>
      <c r="I26" s="340"/>
      <c r="J26" s="340"/>
    </row>
    <row r="27" spans="1:11" s="21" customFormat="1" x14ac:dyDescent="0.2">
      <c r="A27" s="99"/>
      <c r="B27" s="450" t="s">
        <v>589</v>
      </c>
      <c r="C27" s="451" t="s">
        <v>590</v>
      </c>
      <c r="D27" s="340"/>
      <c r="E27" s="340"/>
      <c r="F27" s="340"/>
      <c r="G27" s="340"/>
      <c r="H27" s="340"/>
      <c r="I27" s="340"/>
      <c r="J27" s="340"/>
    </row>
    <row r="28" spans="1:11" s="21" customFormat="1" x14ac:dyDescent="0.2">
      <c r="A28" s="99"/>
      <c r="B28" s="78" t="s">
        <v>461</v>
      </c>
      <c r="C28" s="452">
        <v>1</v>
      </c>
      <c r="D28" s="340"/>
      <c r="E28" s="340"/>
      <c r="F28" s="340"/>
      <c r="G28" s="340"/>
      <c r="H28" s="340"/>
      <c r="I28" s="340"/>
      <c r="J28" s="340"/>
    </row>
    <row r="29" spans="1:11" s="140" customFormat="1" ht="15.75" customHeight="1" x14ac:dyDescent="0.2">
      <c r="A29" s="421"/>
      <c r="B29" s="247" t="s">
        <v>602</v>
      </c>
      <c r="C29" s="452">
        <v>1</v>
      </c>
      <c r="D29" s="453"/>
      <c r="E29" s="453"/>
      <c r="F29" s="453"/>
      <c r="G29" s="453"/>
      <c r="H29" s="453"/>
      <c r="I29" s="453"/>
      <c r="J29" s="453"/>
    </row>
    <row r="30" spans="1:11" s="21" customFormat="1" x14ac:dyDescent="0.2">
      <c r="A30" s="99"/>
      <c r="B30" s="84" t="s">
        <v>507</v>
      </c>
      <c r="C30" s="452">
        <v>1</v>
      </c>
      <c r="D30" s="340"/>
      <c r="E30" s="340"/>
      <c r="F30" s="340"/>
      <c r="G30" s="340"/>
      <c r="H30" s="340"/>
      <c r="I30" s="340"/>
      <c r="J30" s="340"/>
    </row>
    <row r="31" spans="1:11" s="21" customFormat="1" x14ac:dyDescent="0.2">
      <c r="A31" s="99"/>
      <c r="B31" s="78" t="s">
        <v>601</v>
      </c>
      <c r="C31" s="452">
        <v>1</v>
      </c>
      <c r="D31" s="340"/>
      <c r="E31" s="340"/>
      <c r="F31" s="340"/>
      <c r="G31" s="340"/>
      <c r="H31" s="340"/>
      <c r="I31" s="340"/>
      <c r="J31" s="340"/>
    </row>
    <row r="32" spans="1:11" s="21" customFormat="1" x14ac:dyDescent="0.2">
      <c r="A32" s="99"/>
      <c r="B32" s="84" t="s">
        <v>508</v>
      </c>
      <c r="C32" s="452">
        <v>1</v>
      </c>
      <c r="D32" s="340"/>
      <c r="E32" s="340"/>
      <c r="F32" s="340"/>
      <c r="G32" s="340"/>
      <c r="H32" s="340"/>
      <c r="I32" s="340"/>
      <c r="J32" s="340"/>
    </row>
    <row r="33" spans="1:11" s="21" customFormat="1" x14ac:dyDescent="0.2">
      <c r="A33" s="99"/>
      <c r="B33" s="78" t="s">
        <v>600</v>
      </c>
      <c r="C33" s="452">
        <v>1</v>
      </c>
      <c r="D33" s="340"/>
      <c r="E33" s="340"/>
      <c r="F33" s="340"/>
      <c r="G33" s="340"/>
      <c r="H33" s="340"/>
      <c r="I33" s="340"/>
      <c r="J33" s="340"/>
    </row>
    <row r="34" spans="1:11" s="21" customFormat="1" x14ac:dyDescent="0.2">
      <c r="A34" s="99"/>
      <c r="B34" s="84" t="s">
        <v>509</v>
      </c>
      <c r="C34" s="452">
        <v>1</v>
      </c>
      <c r="D34" s="340"/>
      <c r="E34" s="340"/>
      <c r="F34" s="340"/>
      <c r="G34" s="340"/>
      <c r="H34" s="340"/>
      <c r="I34" s="340"/>
      <c r="J34" s="340"/>
    </row>
    <row r="35" spans="1:11" s="21" customFormat="1" x14ac:dyDescent="0.2">
      <c r="A35" s="99"/>
      <c r="B35" s="84" t="s">
        <v>481</v>
      </c>
      <c r="C35" s="452">
        <v>1</v>
      </c>
      <c r="D35" s="340"/>
      <c r="E35" s="340"/>
      <c r="F35" s="340"/>
      <c r="G35" s="340"/>
      <c r="H35" s="340"/>
      <c r="I35" s="340"/>
      <c r="J35" s="340"/>
    </row>
    <row r="36" spans="1:11" s="21" customFormat="1" x14ac:dyDescent="0.2">
      <c r="A36" s="99"/>
      <c r="B36" s="78" t="s">
        <v>480</v>
      </c>
      <c r="C36" s="452">
        <v>1</v>
      </c>
      <c r="D36" s="340"/>
      <c r="E36" s="340"/>
      <c r="F36" s="340"/>
      <c r="G36" s="340"/>
      <c r="H36" s="340"/>
      <c r="I36" s="340"/>
      <c r="J36" s="340"/>
    </row>
    <row r="37" spans="1:11" s="21" customFormat="1" x14ac:dyDescent="0.2">
      <c r="A37" s="99"/>
      <c r="B37" s="78" t="s">
        <v>595</v>
      </c>
      <c r="C37" s="452">
        <v>1</v>
      </c>
      <c r="D37" s="340"/>
      <c r="E37" s="340"/>
      <c r="F37" s="340"/>
      <c r="G37" s="340"/>
      <c r="H37" s="340"/>
      <c r="I37" s="340"/>
      <c r="J37" s="340"/>
    </row>
    <row r="38" spans="1:11" s="21" customFormat="1" x14ac:dyDescent="0.2">
      <c r="A38" s="99"/>
      <c r="C38" s="340"/>
      <c r="D38" s="340"/>
      <c r="E38" s="340"/>
      <c r="F38" s="340"/>
      <c r="G38" s="340"/>
      <c r="H38" s="340"/>
      <c r="I38" s="340"/>
      <c r="J38" s="340"/>
    </row>
    <row r="39" spans="1:11" s="21" customFormat="1" ht="20.25" customHeight="1" x14ac:dyDescent="0.2">
      <c r="A39" s="205"/>
      <c r="B39" s="383" t="s">
        <v>469</v>
      </c>
      <c r="C39" s="384">
        <f>ROUND(SUM(C28:C38),2)</f>
        <v>10</v>
      </c>
      <c r="D39" s="235" t="s">
        <v>588</v>
      </c>
      <c r="E39" s="205"/>
      <c r="F39" s="436"/>
      <c r="G39" s="436"/>
    </row>
    <row r="40" spans="1:11" s="21" customFormat="1" x14ac:dyDescent="0.2">
      <c r="A40" s="99"/>
      <c r="C40" s="340"/>
      <c r="D40" s="340"/>
      <c r="E40" s="340"/>
      <c r="F40" s="340"/>
      <c r="G40" s="340"/>
      <c r="H40" s="340"/>
      <c r="I40" s="340"/>
      <c r="J40" s="340"/>
    </row>
    <row r="41" spans="1:11" s="21" customFormat="1" ht="32.25" customHeight="1" x14ac:dyDescent="0.2">
      <c r="A41" s="337" t="str">
        <f>ORÇ!A121</f>
        <v>9.1.4</v>
      </c>
      <c r="B41" s="1710" t="str">
        <f>ORÇ!D121</f>
        <v>P4 - PORTA DE CORRER EM ALUMINIO TIPO VENEZIANA, ACABAMENTO ANODIZADO NATURAL 1,00Mx2,00M, COM VISOR EM VIDRO TEMPERADO 6MM FIXADO NAS MEDIDA DE 60X25 CM- FORNECIMENTO E INSTALAÇÃO</v>
      </c>
      <c r="C41" s="1710"/>
      <c r="D41" s="1710"/>
      <c r="E41" s="1710"/>
      <c r="F41" s="1710"/>
      <c r="G41" s="1710"/>
      <c r="H41" s="1710"/>
      <c r="I41" s="1710"/>
      <c r="J41" s="1710"/>
      <c r="K41" s="1710"/>
    </row>
    <row r="42" spans="1:11" s="21" customFormat="1" x14ac:dyDescent="0.2">
      <c r="A42" s="99"/>
      <c r="C42" s="340"/>
      <c r="D42" s="340"/>
      <c r="E42" s="340"/>
      <c r="F42" s="340"/>
      <c r="G42" s="340"/>
      <c r="H42" s="340"/>
      <c r="I42" s="340"/>
      <c r="J42" s="340"/>
    </row>
    <row r="43" spans="1:11" s="21" customFormat="1" x14ac:dyDescent="0.2">
      <c r="A43" s="99"/>
      <c r="B43" s="481" t="s">
        <v>622</v>
      </c>
      <c r="C43" s="21" t="s">
        <v>541</v>
      </c>
      <c r="D43" s="340"/>
      <c r="E43" s="340"/>
      <c r="F43" s="340"/>
      <c r="G43" s="340"/>
      <c r="H43" s="340"/>
      <c r="I43" s="340"/>
      <c r="J43" s="340"/>
    </row>
    <row r="44" spans="1:11" s="21" customFormat="1" ht="20.25" customHeight="1" x14ac:dyDescent="0.2">
      <c r="A44" s="205"/>
      <c r="B44" s="383" t="s">
        <v>469</v>
      </c>
      <c r="C44" s="384">
        <v>1</v>
      </c>
      <c r="D44" s="235" t="s">
        <v>588</v>
      </c>
      <c r="E44" s="205"/>
      <c r="F44" s="436"/>
      <c r="G44" s="436"/>
    </row>
    <row r="45" spans="1:11" s="21" customFormat="1" x14ac:dyDescent="0.2">
      <c r="A45" s="99"/>
      <c r="C45" s="340"/>
      <c r="D45" s="340"/>
      <c r="E45" s="340"/>
      <c r="F45" s="340"/>
      <c r="G45" s="340"/>
      <c r="H45" s="340"/>
      <c r="I45" s="340"/>
      <c r="J45" s="340"/>
    </row>
    <row r="46" spans="1:11" s="21" customFormat="1" ht="18" customHeight="1" x14ac:dyDescent="0.2">
      <c r="A46" s="337" t="str">
        <f>ORÇ!A122</f>
        <v>9.1.5</v>
      </c>
      <c r="B46" s="1710" t="str">
        <f>ORÇ!D122</f>
        <v>P5 - ESQUADRIA MAD. E=3CM C/ CAIX. ADUELA E ALIZAR</v>
      </c>
      <c r="C46" s="1710"/>
      <c r="D46" s="1710"/>
      <c r="E46" s="1710"/>
      <c r="F46" s="1710"/>
      <c r="G46" s="1710"/>
      <c r="H46" s="1710"/>
      <c r="I46" s="1710"/>
      <c r="J46" s="1710"/>
      <c r="K46" s="1710"/>
    </row>
    <row r="47" spans="1:11" s="21" customFormat="1" x14ac:dyDescent="0.2">
      <c r="A47" s="99"/>
      <c r="C47" s="340"/>
      <c r="D47" s="340"/>
      <c r="E47" s="340"/>
      <c r="F47" s="340"/>
      <c r="G47" s="340"/>
      <c r="H47" s="340"/>
      <c r="I47" s="340"/>
      <c r="J47" s="340"/>
    </row>
    <row r="48" spans="1:11" s="21" customFormat="1" x14ac:dyDescent="0.2">
      <c r="A48" s="99"/>
      <c r="B48" s="21" t="s">
        <v>594</v>
      </c>
      <c r="C48" s="340"/>
      <c r="D48" s="340"/>
      <c r="E48" s="340"/>
      <c r="F48" s="340"/>
      <c r="G48" s="340"/>
      <c r="H48" s="340"/>
      <c r="I48" s="340"/>
      <c r="J48" s="340"/>
    </row>
    <row r="49" spans="1:11" s="21" customFormat="1" x14ac:dyDescent="0.2">
      <c r="A49" s="99"/>
      <c r="B49" s="450" t="s">
        <v>589</v>
      </c>
      <c r="C49" s="450" t="s">
        <v>405</v>
      </c>
      <c r="D49" s="451"/>
      <c r="E49" s="451" t="s">
        <v>311</v>
      </c>
      <c r="F49" s="451"/>
      <c r="G49" s="451" t="s">
        <v>590</v>
      </c>
      <c r="H49" s="451"/>
      <c r="I49" s="451" t="s">
        <v>213</v>
      </c>
      <c r="J49" s="340"/>
    </row>
    <row r="50" spans="1:11" s="21" customFormat="1" x14ac:dyDescent="0.2">
      <c r="A50" s="99"/>
      <c r="B50" s="78" t="s">
        <v>462</v>
      </c>
      <c r="C50" s="425">
        <v>0.8</v>
      </c>
      <c r="D50" s="449" t="s">
        <v>45</v>
      </c>
      <c r="E50" s="449">
        <v>2.1</v>
      </c>
      <c r="F50" s="449" t="s">
        <v>45</v>
      </c>
      <c r="G50" s="452">
        <v>1</v>
      </c>
      <c r="H50" s="449" t="s">
        <v>46</v>
      </c>
      <c r="I50" s="449">
        <f>ROUND(C50*E50*G50,2)</f>
        <v>1.68</v>
      </c>
      <c r="J50" s="340"/>
    </row>
    <row r="51" spans="1:11" s="21" customFormat="1" ht="25.5" x14ac:dyDescent="0.2">
      <c r="A51" s="99"/>
      <c r="B51" s="84" t="s">
        <v>591</v>
      </c>
      <c r="C51" s="425">
        <v>0.8</v>
      </c>
      <c r="D51" s="449" t="s">
        <v>45</v>
      </c>
      <c r="E51" s="449">
        <v>2.1</v>
      </c>
      <c r="F51" s="449" t="s">
        <v>45</v>
      </c>
      <c r="G51" s="452">
        <v>1</v>
      </c>
      <c r="H51" s="449" t="s">
        <v>46</v>
      </c>
      <c r="I51" s="449">
        <f t="shared" ref="I51:I56" si="0">ROUND(C51*E51*G51,2)</f>
        <v>1.68</v>
      </c>
      <c r="J51" s="340"/>
    </row>
    <row r="52" spans="1:11" s="21" customFormat="1" ht="25.5" x14ac:dyDescent="0.2">
      <c r="A52" s="99"/>
      <c r="B52" s="84" t="s">
        <v>592</v>
      </c>
      <c r="C52" s="425">
        <v>0.8</v>
      </c>
      <c r="D52" s="449" t="s">
        <v>45</v>
      </c>
      <c r="E52" s="449">
        <v>2.1</v>
      </c>
      <c r="F52" s="449" t="s">
        <v>45</v>
      </c>
      <c r="G52" s="452">
        <v>1</v>
      </c>
      <c r="H52" s="449" t="s">
        <v>46</v>
      </c>
      <c r="I52" s="449">
        <f t="shared" si="0"/>
        <v>1.68</v>
      </c>
      <c r="J52" s="340"/>
    </row>
    <row r="53" spans="1:11" s="21" customFormat="1" x14ac:dyDescent="0.2">
      <c r="A53" s="99"/>
      <c r="B53" s="78" t="s">
        <v>211</v>
      </c>
      <c r="C53" s="425">
        <v>0.8</v>
      </c>
      <c r="D53" s="449" t="s">
        <v>45</v>
      </c>
      <c r="E53" s="449">
        <v>2.1</v>
      </c>
      <c r="F53" s="449" t="s">
        <v>45</v>
      </c>
      <c r="G53" s="452">
        <v>2</v>
      </c>
      <c r="H53" s="449" t="s">
        <v>46</v>
      </c>
      <c r="I53" s="449">
        <f t="shared" si="0"/>
        <v>3.36</v>
      </c>
      <c r="J53" s="340"/>
    </row>
    <row r="54" spans="1:11" s="21" customFormat="1" x14ac:dyDescent="0.2">
      <c r="A54" s="99"/>
      <c r="B54" s="78" t="s">
        <v>463</v>
      </c>
      <c r="C54" s="425">
        <v>0.8</v>
      </c>
      <c r="D54" s="449" t="s">
        <v>45</v>
      </c>
      <c r="E54" s="449">
        <v>2.1</v>
      </c>
      <c r="F54" s="449" t="s">
        <v>45</v>
      </c>
      <c r="G54" s="452">
        <v>1</v>
      </c>
      <c r="H54" s="449" t="s">
        <v>46</v>
      </c>
      <c r="I54" s="449">
        <f t="shared" si="0"/>
        <v>1.68</v>
      </c>
      <c r="J54" s="340"/>
    </row>
    <row r="55" spans="1:11" s="21" customFormat="1" x14ac:dyDescent="0.2">
      <c r="A55" s="99"/>
      <c r="B55" s="78" t="s">
        <v>478</v>
      </c>
      <c r="C55" s="425">
        <v>0.8</v>
      </c>
      <c r="D55" s="449" t="s">
        <v>45</v>
      </c>
      <c r="E55" s="449">
        <v>2.1</v>
      </c>
      <c r="F55" s="449" t="s">
        <v>45</v>
      </c>
      <c r="G55" s="452">
        <v>1</v>
      </c>
      <c r="H55" s="449" t="s">
        <v>46</v>
      </c>
      <c r="I55" s="449">
        <f t="shared" si="0"/>
        <v>1.68</v>
      </c>
      <c r="J55" s="340"/>
    </row>
    <row r="56" spans="1:11" s="21" customFormat="1" x14ac:dyDescent="0.2">
      <c r="A56" s="99"/>
      <c r="B56" s="78" t="s">
        <v>465</v>
      </c>
      <c r="C56" s="425">
        <v>0.8</v>
      </c>
      <c r="D56" s="449" t="s">
        <v>45</v>
      </c>
      <c r="E56" s="449">
        <v>2.1</v>
      </c>
      <c r="F56" s="449" t="s">
        <v>45</v>
      </c>
      <c r="G56" s="452">
        <v>1</v>
      </c>
      <c r="H56" s="449" t="s">
        <v>46</v>
      </c>
      <c r="I56" s="449">
        <f t="shared" si="0"/>
        <v>1.68</v>
      </c>
      <c r="J56" s="340"/>
    </row>
    <row r="57" spans="1:11" s="21" customFormat="1" x14ac:dyDescent="0.2">
      <c r="A57" s="99"/>
      <c r="C57" s="340"/>
      <c r="D57" s="340"/>
      <c r="E57" s="340"/>
      <c r="F57" s="340"/>
      <c r="G57" s="340"/>
      <c r="H57" s="340"/>
      <c r="I57" s="340"/>
      <c r="J57" s="340"/>
    </row>
    <row r="58" spans="1:11" s="21" customFormat="1" ht="20.25" customHeight="1" x14ac:dyDescent="0.2">
      <c r="A58" s="205"/>
      <c r="B58" s="383" t="s">
        <v>597</v>
      </c>
      <c r="C58" s="384">
        <f>ROUND(SUM(I50:I57),2)</f>
        <v>13.44</v>
      </c>
      <c r="D58" s="235" t="s">
        <v>4</v>
      </c>
      <c r="E58" s="205"/>
      <c r="F58" s="436"/>
      <c r="G58" s="436"/>
    </row>
    <row r="59" spans="1:11" s="21" customFormat="1" x14ac:dyDescent="0.2">
      <c r="A59" s="99"/>
      <c r="C59" s="340"/>
      <c r="D59" s="340"/>
      <c r="E59" s="340"/>
      <c r="F59" s="340"/>
      <c r="G59" s="340"/>
      <c r="H59" s="340"/>
      <c r="I59" s="340"/>
      <c r="J59" s="340"/>
    </row>
    <row r="60" spans="1:11" s="21" customFormat="1" ht="30" customHeight="1" x14ac:dyDescent="0.2">
      <c r="A60" s="337" t="str">
        <f>ORÇ!A123</f>
        <v>9.1.6</v>
      </c>
      <c r="B60" s="1710" t="str">
        <f>ORÇ!D123</f>
        <v>FECHADURA DE EMBUTIR PARA PORTAS INTERNAS, COMPLETA, ACABAMENTO PADRÃO POPULAR, COM EXECUÇÃO DE FURO - FORNECIMENTO E INSTALAÇÃO. AF_12/2019</v>
      </c>
      <c r="C60" s="1710"/>
      <c r="D60" s="1710"/>
      <c r="E60" s="1710"/>
      <c r="F60" s="1710"/>
      <c r="G60" s="1710"/>
      <c r="H60" s="1710"/>
      <c r="I60" s="1710"/>
      <c r="J60" s="1710"/>
      <c r="K60" s="1710"/>
    </row>
    <row r="61" spans="1:11" s="21" customFormat="1" x14ac:dyDescent="0.2">
      <c r="A61" s="99"/>
      <c r="C61" s="340"/>
      <c r="D61" s="340"/>
      <c r="E61" s="340"/>
      <c r="F61" s="340"/>
      <c r="G61" s="340"/>
      <c r="H61" s="340"/>
      <c r="I61" s="340"/>
      <c r="J61" s="340"/>
    </row>
    <row r="62" spans="1:11" s="21" customFormat="1" x14ac:dyDescent="0.2">
      <c r="A62" s="99"/>
      <c r="B62" s="21" t="s">
        <v>594</v>
      </c>
      <c r="C62" s="340"/>
      <c r="D62" s="340"/>
      <c r="E62" s="340"/>
      <c r="F62" s="340"/>
      <c r="G62" s="340"/>
      <c r="H62" s="340"/>
      <c r="I62" s="340"/>
      <c r="J62" s="340"/>
    </row>
    <row r="63" spans="1:11" s="21" customFormat="1" ht="20.25" customHeight="1" x14ac:dyDescent="0.2">
      <c r="A63" s="205"/>
      <c r="B63" s="383" t="s">
        <v>469</v>
      </c>
      <c r="C63" s="384">
        <f>ROUND(SUM(G50:G56),2)</f>
        <v>8</v>
      </c>
      <c r="D63" s="235" t="s">
        <v>588</v>
      </c>
      <c r="E63" s="205"/>
      <c r="F63" s="436"/>
      <c r="G63" s="436"/>
    </row>
    <row r="64" spans="1:11" s="21" customFormat="1" x14ac:dyDescent="0.2">
      <c r="A64" s="99"/>
      <c r="C64" s="340"/>
      <c r="D64" s="340"/>
      <c r="E64" s="340"/>
      <c r="F64" s="340"/>
      <c r="G64" s="340"/>
      <c r="H64" s="340"/>
      <c r="I64" s="340"/>
      <c r="J64" s="340"/>
    </row>
    <row r="65" spans="1:11" s="21" customFormat="1" ht="69.75" customHeight="1" x14ac:dyDescent="0.2">
      <c r="A65" s="337" t="str">
        <f>ORÇ!A124</f>
        <v>9.1.7</v>
      </c>
      <c r="B65" s="1710" t="str">
        <f>ORÇ!D124</f>
        <v>P6 - PORTA DE MADEIRA, MACIÇA (PESADA OU SUPERPESADA), 180X210CM, ESPESSURA DE 3,5CM, INCLUSO: DOBRADIÇAS, MAÇANETA TIPO ALAVANCA, VISOR EM VIDRO INCOLOR DE 4 MM - 60X25 CM, BARRAS DE APOIO EM INOX NO COMPRIMENTO DE 40 COM EM AMBOS OS LADOS DAS FOLHAS,  E FIXAÇÃO DE CHAPA EM INOX NA PARTE INFERIOR DA PORTA EM AMBOS OS LADOS NA ALTURA DE 40 CM - FORNECIMENTO E INSTALAÇÃO.</v>
      </c>
      <c r="C65" s="1710"/>
      <c r="D65" s="1710"/>
      <c r="E65" s="1710"/>
      <c r="F65" s="1710"/>
      <c r="G65" s="1710"/>
      <c r="H65" s="1710"/>
      <c r="I65" s="1710"/>
      <c r="J65" s="1710"/>
      <c r="K65" s="1710"/>
    </row>
    <row r="66" spans="1:11" s="21" customFormat="1" x14ac:dyDescent="0.2">
      <c r="A66" s="99"/>
      <c r="C66" s="340"/>
      <c r="D66" s="340"/>
      <c r="E66" s="340"/>
      <c r="F66" s="340"/>
      <c r="G66" s="340"/>
      <c r="H66" s="340"/>
      <c r="I66" s="340"/>
      <c r="J66" s="340"/>
    </row>
    <row r="67" spans="1:11" s="21" customFormat="1" x14ac:dyDescent="0.2">
      <c r="A67" s="99"/>
      <c r="B67" s="21" t="s">
        <v>624</v>
      </c>
      <c r="C67" s="340"/>
      <c r="D67" s="340"/>
      <c r="E67" s="340"/>
      <c r="F67" s="340"/>
      <c r="G67" s="340"/>
      <c r="H67" s="340"/>
      <c r="I67" s="340"/>
      <c r="J67" s="340"/>
    </row>
    <row r="68" spans="1:11" s="21" customFormat="1" x14ac:dyDescent="0.2">
      <c r="A68" s="99"/>
      <c r="B68" s="450" t="s">
        <v>589</v>
      </c>
      <c r="C68" s="451" t="s">
        <v>590</v>
      </c>
      <c r="D68" s="340"/>
      <c r="E68" s="340"/>
      <c r="F68" s="340"/>
      <c r="G68" s="340"/>
      <c r="H68" s="340"/>
      <c r="I68" s="340"/>
      <c r="J68" s="340"/>
    </row>
    <row r="69" spans="1:11" s="21" customFormat="1" x14ac:dyDescent="0.2">
      <c r="A69" s="99"/>
      <c r="B69" s="78" t="s">
        <v>464</v>
      </c>
      <c r="C69" s="452">
        <v>1</v>
      </c>
      <c r="D69" s="340"/>
      <c r="E69" s="340"/>
      <c r="F69" s="340"/>
      <c r="G69" s="340"/>
      <c r="H69" s="340"/>
      <c r="I69" s="340"/>
      <c r="J69" s="340"/>
    </row>
    <row r="70" spans="1:11" s="21" customFormat="1" x14ac:dyDescent="0.2">
      <c r="A70" s="99"/>
      <c r="B70" s="84" t="s">
        <v>593</v>
      </c>
      <c r="C70" s="452">
        <v>1</v>
      </c>
      <c r="D70" s="340"/>
      <c r="E70" s="340"/>
      <c r="F70" s="340"/>
      <c r="G70" s="340"/>
      <c r="H70" s="340"/>
      <c r="I70" s="340"/>
      <c r="J70" s="340"/>
    </row>
    <row r="71" spans="1:11" s="21" customFormat="1" x14ac:dyDescent="0.2">
      <c r="A71" s="99"/>
      <c r="C71" s="340"/>
      <c r="D71" s="340"/>
      <c r="E71" s="340"/>
      <c r="F71" s="340"/>
      <c r="G71" s="340"/>
      <c r="H71" s="340"/>
      <c r="I71" s="340"/>
      <c r="J71" s="340"/>
    </row>
    <row r="72" spans="1:11" s="21" customFormat="1" ht="20.25" customHeight="1" x14ac:dyDescent="0.2">
      <c r="A72" s="205"/>
      <c r="B72" s="383" t="s">
        <v>469</v>
      </c>
      <c r="C72" s="384">
        <f>ROUND(SUM(C69:C71),2)</f>
        <v>2</v>
      </c>
      <c r="D72" s="235" t="s">
        <v>588</v>
      </c>
      <c r="E72" s="205"/>
      <c r="F72" s="436"/>
      <c r="G72" s="436"/>
    </row>
    <row r="73" spans="1:11" s="21" customFormat="1" x14ac:dyDescent="0.2">
      <c r="A73" s="99"/>
      <c r="C73" s="340"/>
      <c r="D73" s="340"/>
      <c r="E73" s="340"/>
      <c r="F73" s="340"/>
      <c r="G73" s="340"/>
      <c r="H73" s="340"/>
      <c r="I73" s="340"/>
      <c r="J73" s="340"/>
    </row>
    <row r="74" spans="1:11" s="21" customFormat="1" ht="44.25" customHeight="1" x14ac:dyDescent="0.2">
      <c r="A74" s="337" t="str">
        <f>ORÇ!A125</f>
        <v>9.1.8</v>
      </c>
      <c r="B74" s="1710" t="str">
        <f>ORÇ!D125</f>
        <v>P7 - PORTA DE ABRIR COM MOLA HIDRÁULICA (1,60 M x 2,10M), EM VIDRO TEMPERADO, ESPESSURA 10 MM, PUXADOR EM ALUMÍNIO E BARRA ANTIPÂNICO DUPLA PARA PORTA DE VIDRO - FORNECIMENTO E INSTALAÇÃO</v>
      </c>
      <c r="C74" s="1710"/>
      <c r="D74" s="1710"/>
      <c r="E74" s="1710"/>
      <c r="F74" s="1710"/>
      <c r="G74" s="1710"/>
      <c r="H74" s="1710"/>
      <c r="I74" s="1710"/>
      <c r="J74" s="1710"/>
      <c r="K74" s="1710"/>
    </row>
    <row r="75" spans="1:11" s="21" customFormat="1" x14ac:dyDescent="0.2">
      <c r="A75" s="99"/>
      <c r="C75" s="340"/>
      <c r="D75" s="340"/>
      <c r="E75" s="340"/>
      <c r="F75" s="340"/>
      <c r="G75" s="340"/>
      <c r="H75" s="340"/>
      <c r="I75" s="340"/>
      <c r="J75" s="340"/>
    </row>
    <row r="76" spans="1:11" s="21" customFormat="1" x14ac:dyDescent="0.2">
      <c r="A76" s="99"/>
      <c r="B76" s="21" t="s">
        <v>625</v>
      </c>
      <c r="C76" s="340"/>
      <c r="D76" s="340"/>
      <c r="E76" s="340"/>
      <c r="F76" s="340"/>
      <c r="G76" s="340"/>
      <c r="H76" s="340"/>
      <c r="I76" s="340"/>
      <c r="J76" s="340"/>
    </row>
    <row r="77" spans="1:11" s="21" customFormat="1" x14ac:dyDescent="0.2">
      <c r="A77" s="99"/>
      <c r="B77" s="450" t="s">
        <v>589</v>
      </c>
      <c r="C77" s="450" t="s">
        <v>590</v>
      </c>
      <c r="D77" s="340"/>
      <c r="F77" s="340"/>
      <c r="H77" s="340"/>
      <c r="J77" s="340"/>
    </row>
    <row r="78" spans="1:11" s="21" customFormat="1" x14ac:dyDescent="0.2">
      <c r="A78" s="99"/>
      <c r="B78" s="78" t="s">
        <v>461</v>
      </c>
      <c r="C78" s="425">
        <v>1</v>
      </c>
      <c r="D78" s="340"/>
      <c r="F78" s="340"/>
      <c r="H78" s="340"/>
      <c r="J78" s="340"/>
    </row>
    <row r="79" spans="1:11" s="21" customFormat="1" x14ac:dyDescent="0.2">
      <c r="A79" s="99"/>
      <c r="B79" s="84" t="s">
        <v>525</v>
      </c>
      <c r="C79" s="425">
        <v>1</v>
      </c>
      <c r="D79" s="340"/>
      <c r="F79" s="340"/>
      <c r="H79" s="340"/>
      <c r="J79" s="340"/>
    </row>
    <row r="80" spans="1:11" s="21" customFormat="1" x14ac:dyDescent="0.2">
      <c r="A80" s="99"/>
      <c r="C80" s="340"/>
      <c r="D80" s="340"/>
      <c r="E80" s="340"/>
      <c r="F80" s="340"/>
      <c r="G80" s="340"/>
      <c r="H80" s="340"/>
      <c r="I80" s="340"/>
      <c r="J80" s="340"/>
    </row>
    <row r="81" spans="1:11" s="21" customFormat="1" ht="12.75" customHeight="1" x14ac:dyDescent="0.2">
      <c r="A81" s="205"/>
      <c r="B81" s="383" t="s">
        <v>469</v>
      </c>
      <c r="C81" s="384">
        <f>ROUND(SUM(C78:C80),2)</f>
        <v>2</v>
      </c>
      <c r="D81" s="235" t="s">
        <v>588</v>
      </c>
      <c r="E81" s="205"/>
      <c r="F81" s="436"/>
      <c r="G81" s="436"/>
    </row>
    <row r="82" spans="1:11" s="21" customFormat="1" x14ac:dyDescent="0.2">
      <c r="A82" s="99"/>
      <c r="C82" s="340"/>
      <c r="D82" s="340"/>
      <c r="E82" s="340"/>
      <c r="F82" s="340"/>
      <c r="G82" s="340"/>
      <c r="H82" s="340"/>
      <c r="I82" s="340"/>
      <c r="J82" s="340"/>
    </row>
    <row r="83" spans="1:11" x14ac:dyDescent="0.2">
      <c r="A83" s="183" t="str">
        <f>ORÇ!A126</f>
        <v>9.2</v>
      </c>
      <c r="B83" s="145" t="str">
        <f>ORÇ!D126</f>
        <v>Janelas</v>
      </c>
      <c r="C83" s="153"/>
      <c r="D83" s="153"/>
      <c r="E83" s="153"/>
      <c r="F83" s="153"/>
      <c r="G83" s="153"/>
      <c r="H83" s="153"/>
      <c r="I83" s="153"/>
      <c r="J83" s="153"/>
    </row>
    <row r="84" spans="1:11" ht="21.75" customHeight="1" x14ac:dyDescent="0.2">
      <c r="A84" s="274" t="str">
        <f>ORÇ!A127</f>
        <v>9.2.1</v>
      </c>
      <c r="B84" s="1710" t="str">
        <f>ORÇ!D127</f>
        <v>ESQUADRIA BASCULANTE EM VIDRO TEMPERADO DE 6MM</v>
      </c>
      <c r="C84" s="1710"/>
      <c r="D84" s="1710"/>
      <c r="E84" s="1710"/>
      <c r="F84" s="1710"/>
      <c r="G84" s="1710"/>
      <c r="H84" s="1710"/>
      <c r="I84" s="1710"/>
      <c r="J84" s="1710"/>
      <c r="K84" s="1710"/>
    </row>
    <row r="85" spans="1:11" x14ac:dyDescent="0.2">
      <c r="A85" s="145"/>
      <c r="B85" s="145"/>
      <c r="C85" s="14"/>
      <c r="D85" s="13"/>
      <c r="E85" s="172"/>
      <c r="F85" s="172"/>
      <c r="G85" s="172"/>
      <c r="H85" s="4"/>
      <c r="I85" s="4"/>
      <c r="J85" s="172"/>
    </row>
    <row r="86" spans="1:11" s="21" customFormat="1" x14ac:dyDescent="0.2">
      <c r="A86" s="99"/>
      <c r="B86" s="450" t="s">
        <v>589</v>
      </c>
      <c r="C86" s="450" t="s">
        <v>405</v>
      </c>
      <c r="D86" s="451"/>
      <c r="E86" s="451" t="s">
        <v>311</v>
      </c>
      <c r="F86" s="451"/>
      <c r="G86" s="451" t="s">
        <v>213</v>
      </c>
      <c r="H86" s="340"/>
    </row>
    <row r="87" spans="1:11" s="139" customFormat="1" ht="14.25" customHeight="1" x14ac:dyDescent="0.2">
      <c r="A87" s="5"/>
      <c r="B87" s="1802" t="s">
        <v>607</v>
      </c>
      <c r="C87" s="1802"/>
      <c r="D87" s="1802"/>
      <c r="E87" s="1802"/>
      <c r="F87" s="1802"/>
      <c r="G87" s="1802"/>
      <c r="H87" s="455"/>
      <c r="I87" s="455"/>
      <c r="J87" s="420"/>
    </row>
    <row r="88" spans="1:11" s="140" customFormat="1" ht="16.5" customHeight="1" x14ac:dyDescent="0.2">
      <c r="A88" s="421"/>
      <c r="B88" s="454" t="s">
        <v>600</v>
      </c>
      <c r="C88" s="456">
        <v>1</v>
      </c>
      <c r="D88" s="452" t="s">
        <v>45</v>
      </c>
      <c r="E88" s="452">
        <v>0.8</v>
      </c>
      <c r="F88" s="452" t="s">
        <v>46</v>
      </c>
      <c r="G88" s="452">
        <f>ROUND(C88*E88,2)</f>
        <v>0.8</v>
      </c>
      <c r="H88" s="453"/>
      <c r="I88" s="457"/>
    </row>
    <row r="89" spans="1:11" s="21" customFormat="1" x14ac:dyDescent="0.2">
      <c r="A89" s="99"/>
      <c r="B89" s="454" t="s">
        <v>601</v>
      </c>
      <c r="C89" s="456">
        <v>1</v>
      </c>
      <c r="D89" s="452" t="s">
        <v>45</v>
      </c>
      <c r="E89" s="452">
        <v>0.8</v>
      </c>
      <c r="F89" s="449" t="s">
        <v>46</v>
      </c>
      <c r="G89" s="449">
        <f t="shared" ref="G89:G114" si="1">ROUND(C89*E89,2)</f>
        <v>0.8</v>
      </c>
      <c r="H89" s="340"/>
      <c r="I89" s="458"/>
    </row>
    <row r="90" spans="1:11" s="21" customFormat="1" x14ac:dyDescent="0.2">
      <c r="A90" s="99"/>
      <c r="B90" s="454" t="s">
        <v>602</v>
      </c>
      <c r="C90" s="456">
        <v>1</v>
      </c>
      <c r="D90" s="452" t="s">
        <v>45</v>
      </c>
      <c r="E90" s="452">
        <v>0.8</v>
      </c>
      <c r="F90" s="449" t="s">
        <v>46</v>
      </c>
      <c r="G90" s="449">
        <f t="shared" ref="G90:G95" si="2">ROUND(C90*E90,2)</f>
        <v>0.8</v>
      </c>
      <c r="H90" s="340"/>
      <c r="I90" s="458"/>
    </row>
    <row r="91" spans="1:11" s="21" customFormat="1" x14ac:dyDescent="0.2">
      <c r="A91" s="99"/>
      <c r="B91" s="78" t="s">
        <v>603</v>
      </c>
      <c r="C91" s="456">
        <v>1</v>
      </c>
      <c r="D91" s="452" t="s">
        <v>45</v>
      </c>
      <c r="E91" s="452">
        <v>0.8</v>
      </c>
      <c r="F91" s="449" t="s">
        <v>46</v>
      </c>
      <c r="G91" s="449">
        <f t="shared" si="2"/>
        <v>0.8</v>
      </c>
      <c r="H91" s="340"/>
      <c r="I91" s="458"/>
    </row>
    <row r="92" spans="1:11" s="21" customFormat="1" x14ac:dyDescent="0.2">
      <c r="A92" s="99"/>
      <c r="B92" s="454" t="s">
        <v>480</v>
      </c>
      <c r="C92" s="456">
        <v>1</v>
      </c>
      <c r="D92" s="452" t="s">
        <v>45</v>
      </c>
      <c r="E92" s="452">
        <v>0.8</v>
      </c>
      <c r="F92" s="449" t="s">
        <v>46</v>
      </c>
      <c r="G92" s="449">
        <f t="shared" si="2"/>
        <v>0.8</v>
      </c>
      <c r="H92" s="340"/>
      <c r="I92" s="458"/>
    </row>
    <row r="93" spans="1:11" s="21" customFormat="1" x14ac:dyDescent="0.2">
      <c r="A93" s="99"/>
      <c r="B93" s="454" t="s">
        <v>595</v>
      </c>
      <c r="C93" s="456">
        <v>1</v>
      </c>
      <c r="D93" s="452" t="s">
        <v>45</v>
      </c>
      <c r="E93" s="452">
        <v>0.8</v>
      </c>
      <c r="F93" s="449" t="s">
        <v>46</v>
      </c>
      <c r="G93" s="449">
        <f t="shared" si="2"/>
        <v>0.8</v>
      </c>
      <c r="H93" s="340"/>
      <c r="I93" s="458"/>
    </row>
    <row r="94" spans="1:11" s="21" customFormat="1" ht="25.5" x14ac:dyDescent="0.2">
      <c r="A94" s="99"/>
      <c r="B94" s="84" t="s">
        <v>591</v>
      </c>
      <c r="C94" s="456">
        <v>1</v>
      </c>
      <c r="D94" s="452" t="s">
        <v>45</v>
      </c>
      <c r="E94" s="452">
        <v>0.8</v>
      </c>
      <c r="F94" s="449" t="s">
        <v>46</v>
      </c>
      <c r="G94" s="449">
        <f t="shared" si="2"/>
        <v>0.8</v>
      </c>
      <c r="H94" s="340"/>
      <c r="I94" s="458"/>
    </row>
    <row r="95" spans="1:11" s="21" customFormat="1" ht="25.5" x14ac:dyDescent="0.2">
      <c r="A95" s="99"/>
      <c r="B95" s="84" t="s">
        <v>604</v>
      </c>
      <c r="C95" s="456">
        <v>1</v>
      </c>
      <c r="D95" s="452" t="s">
        <v>45</v>
      </c>
      <c r="E95" s="452">
        <v>0.8</v>
      </c>
      <c r="F95" s="449" t="s">
        <v>46</v>
      </c>
      <c r="G95" s="449">
        <f t="shared" si="2"/>
        <v>0.8</v>
      </c>
      <c r="H95" s="340"/>
      <c r="I95" s="458"/>
    </row>
    <row r="96" spans="1:11" s="21" customFormat="1" x14ac:dyDescent="0.2">
      <c r="A96" s="99"/>
      <c r="B96" s="84" t="s">
        <v>463</v>
      </c>
      <c r="C96" s="456">
        <v>1</v>
      </c>
      <c r="D96" s="452" t="s">
        <v>45</v>
      </c>
      <c r="E96" s="452">
        <v>0.8</v>
      </c>
      <c r="F96" s="449" t="s">
        <v>46</v>
      </c>
      <c r="G96" s="449">
        <f t="shared" si="1"/>
        <v>0.8</v>
      </c>
      <c r="H96" s="340"/>
      <c r="I96" s="458"/>
    </row>
    <row r="97" spans="1:10" s="139" customFormat="1" ht="14.25" customHeight="1" x14ac:dyDescent="0.2">
      <c r="A97" s="5"/>
      <c r="B97" s="1802" t="s">
        <v>608</v>
      </c>
      <c r="C97" s="1802"/>
      <c r="D97" s="1802"/>
      <c r="E97" s="1802"/>
      <c r="F97" s="1802"/>
      <c r="G97" s="1802"/>
      <c r="H97" s="455"/>
      <c r="I97" s="455"/>
      <c r="J97" s="420"/>
    </row>
    <row r="98" spans="1:10" s="21" customFormat="1" x14ac:dyDescent="0.2">
      <c r="A98" s="99"/>
      <c r="B98" s="472" t="s">
        <v>462</v>
      </c>
      <c r="C98" s="456">
        <v>1.5</v>
      </c>
      <c r="D98" s="452" t="s">
        <v>45</v>
      </c>
      <c r="E98" s="452">
        <v>0.8</v>
      </c>
      <c r="F98" s="449" t="s">
        <v>46</v>
      </c>
      <c r="G98" s="449">
        <f t="shared" si="1"/>
        <v>1.2</v>
      </c>
      <c r="H98" s="340"/>
      <c r="I98" s="458"/>
    </row>
    <row r="99" spans="1:10" s="21" customFormat="1" x14ac:dyDescent="0.2">
      <c r="A99" s="99"/>
      <c r="B99" s="472" t="s">
        <v>211</v>
      </c>
      <c r="C99" s="456">
        <v>1.5</v>
      </c>
      <c r="D99" s="452" t="s">
        <v>45</v>
      </c>
      <c r="E99" s="452">
        <v>0.8</v>
      </c>
      <c r="F99" s="449" t="s">
        <v>46</v>
      </c>
      <c r="G99" s="449">
        <f t="shared" ref="G99:G109" si="3">ROUND(C99*E99,2)</f>
        <v>1.2</v>
      </c>
      <c r="H99" s="340"/>
      <c r="I99" s="458"/>
    </row>
    <row r="100" spans="1:10" s="21" customFormat="1" x14ac:dyDescent="0.2">
      <c r="A100" s="99"/>
      <c r="B100" s="472" t="s">
        <v>465</v>
      </c>
      <c r="C100" s="456">
        <v>1.5</v>
      </c>
      <c r="D100" s="452" t="s">
        <v>45</v>
      </c>
      <c r="E100" s="452">
        <v>0.8</v>
      </c>
      <c r="F100" s="449" t="s">
        <v>46</v>
      </c>
      <c r="G100" s="449">
        <f t="shared" si="3"/>
        <v>1.2</v>
      </c>
      <c r="H100" s="340"/>
      <c r="I100" s="458"/>
    </row>
    <row r="101" spans="1:10" s="139" customFormat="1" ht="14.25" customHeight="1" x14ac:dyDescent="0.2">
      <c r="A101" s="5"/>
      <c r="B101" s="1802" t="s">
        <v>609</v>
      </c>
      <c r="C101" s="1802"/>
      <c r="D101" s="1802"/>
      <c r="E101" s="1802"/>
      <c r="F101" s="1802"/>
      <c r="G101" s="1802"/>
      <c r="H101" s="455"/>
      <c r="I101" s="455"/>
      <c r="J101" s="420"/>
    </row>
    <row r="102" spans="1:10" s="21" customFormat="1" x14ac:dyDescent="0.2">
      <c r="A102" s="99"/>
      <c r="B102" s="472" t="s">
        <v>530</v>
      </c>
      <c r="C102" s="456">
        <v>2.2000000000000002</v>
      </c>
      <c r="D102" s="452" t="s">
        <v>45</v>
      </c>
      <c r="E102" s="452">
        <v>0.8</v>
      </c>
      <c r="F102" s="449" t="s">
        <v>46</v>
      </c>
      <c r="G102" s="449">
        <f t="shared" si="3"/>
        <v>1.76</v>
      </c>
      <c r="H102" s="340"/>
      <c r="I102" s="458"/>
    </row>
    <row r="103" spans="1:10" s="21" customFormat="1" x14ac:dyDescent="0.2">
      <c r="A103" s="99"/>
      <c r="B103" s="472" t="s">
        <v>529</v>
      </c>
      <c r="C103" s="456">
        <v>2.2000000000000002</v>
      </c>
      <c r="D103" s="452" t="s">
        <v>45</v>
      </c>
      <c r="E103" s="452">
        <v>0.8</v>
      </c>
      <c r="F103" s="449" t="s">
        <v>46</v>
      </c>
      <c r="G103" s="449">
        <f t="shared" si="3"/>
        <v>1.76</v>
      </c>
      <c r="H103" s="340"/>
    </row>
    <row r="104" spans="1:10" s="21" customFormat="1" x14ac:dyDescent="0.2">
      <c r="A104" s="99"/>
      <c r="B104" s="472" t="s">
        <v>528</v>
      </c>
      <c r="C104" s="456">
        <v>2.2000000000000002</v>
      </c>
      <c r="D104" s="452" t="s">
        <v>45</v>
      </c>
      <c r="E104" s="452">
        <v>0.8</v>
      </c>
      <c r="F104" s="449" t="s">
        <v>46</v>
      </c>
      <c r="G104" s="449">
        <f t="shared" si="3"/>
        <v>1.76</v>
      </c>
      <c r="H104" s="340"/>
    </row>
    <row r="105" spans="1:10" s="21" customFormat="1" x14ac:dyDescent="0.2">
      <c r="A105" s="99"/>
      <c r="B105" s="472" t="s">
        <v>527</v>
      </c>
      <c r="C105" s="456">
        <v>2.2000000000000002</v>
      </c>
      <c r="D105" s="452" t="s">
        <v>45</v>
      </c>
      <c r="E105" s="452">
        <v>0.8</v>
      </c>
      <c r="F105" s="449" t="s">
        <v>46</v>
      </c>
      <c r="G105" s="449">
        <f t="shared" si="3"/>
        <v>1.76</v>
      </c>
      <c r="H105" s="340"/>
      <c r="I105" s="458"/>
    </row>
    <row r="106" spans="1:10" s="21" customFormat="1" x14ac:dyDescent="0.2">
      <c r="A106" s="99"/>
      <c r="B106" s="472" t="s">
        <v>211</v>
      </c>
      <c r="C106" s="456">
        <v>2.2000000000000002</v>
      </c>
      <c r="D106" s="452" t="s">
        <v>45</v>
      </c>
      <c r="E106" s="452">
        <v>0.8</v>
      </c>
      <c r="F106" s="449" t="s">
        <v>46</v>
      </c>
      <c r="G106" s="449">
        <f t="shared" si="3"/>
        <v>1.76</v>
      </c>
      <c r="H106" s="340"/>
      <c r="I106" s="458"/>
    </row>
    <row r="107" spans="1:10" s="139" customFormat="1" ht="14.25" customHeight="1" x14ac:dyDescent="0.2">
      <c r="A107" s="5"/>
      <c r="B107" s="1802" t="s">
        <v>610</v>
      </c>
      <c r="C107" s="1802"/>
      <c r="D107" s="1802"/>
      <c r="E107" s="1802"/>
      <c r="F107" s="1802"/>
      <c r="G107" s="1802"/>
      <c r="H107" s="455"/>
      <c r="I107" s="455"/>
      <c r="J107" s="420"/>
    </row>
    <row r="108" spans="1:10" s="21" customFormat="1" x14ac:dyDescent="0.2">
      <c r="A108" s="99"/>
      <c r="B108" s="1769" t="s">
        <v>464</v>
      </c>
      <c r="C108" s="456">
        <v>2.5</v>
      </c>
      <c r="D108" s="452" t="s">
        <v>45</v>
      </c>
      <c r="E108" s="452">
        <v>0.8</v>
      </c>
      <c r="F108" s="449" t="s">
        <v>46</v>
      </c>
      <c r="G108" s="449">
        <f t="shared" si="3"/>
        <v>2</v>
      </c>
      <c r="H108" s="340"/>
      <c r="I108" s="458"/>
    </row>
    <row r="109" spans="1:10" s="21" customFormat="1" x14ac:dyDescent="0.2">
      <c r="A109" s="99"/>
      <c r="B109" s="1770"/>
      <c r="C109" s="456">
        <v>2.5</v>
      </c>
      <c r="D109" s="452" t="s">
        <v>45</v>
      </c>
      <c r="E109" s="452">
        <v>0.8</v>
      </c>
      <c r="F109" s="449" t="s">
        <v>46</v>
      </c>
      <c r="G109" s="449">
        <f t="shared" si="3"/>
        <v>2</v>
      </c>
      <c r="H109" s="340"/>
    </row>
    <row r="110" spans="1:10" s="21" customFormat="1" x14ac:dyDescent="0.2">
      <c r="A110" s="99"/>
      <c r="B110" s="472" t="s">
        <v>478</v>
      </c>
      <c r="C110" s="456">
        <v>2.5</v>
      </c>
      <c r="D110" s="452" t="s">
        <v>45</v>
      </c>
      <c r="E110" s="452">
        <v>0.8</v>
      </c>
      <c r="F110" s="449" t="s">
        <v>46</v>
      </c>
      <c r="G110" s="449">
        <f t="shared" si="1"/>
        <v>2</v>
      </c>
      <c r="H110" s="340"/>
      <c r="I110" s="458"/>
    </row>
    <row r="111" spans="1:10" s="139" customFormat="1" ht="14.25" customHeight="1" x14ac:dyDescent="0.2">
      <c r="A111" s="5"/>
      <c r="B111" s="1802" t="s">
        <v>611</v>
      </c>
      <c r="C111" s="1802"/>
      <c r="D111" s="1802"/>
      <c r="E111" s="1802"/>
      <c r="F111" s="1802"/>
      <c r="G111" s="1802"/>
      <c r="H111" s="455"/>
      <c r="I111" s="455"/>
      <c r="J111" s="420"/>
    </row>
    <row r="112" spans="1:10" s="21" customFormat="1" x14ac:dyDescent="0.2">
      <c r="A112" s="99"/>
      <c r="B112" s="472" t="s">
        <v>461</v>
      </c>
      <c r="C112" s="456">
        <v>3.5</v>
      </c>
      <c r="D112" s="452" t="s">
        <v>45</v>
      </c>
      <c r="E112" s="452">
        <v>0.8</v>
      </c>
      <c r="F112" s="449" t="s">
        <v>46</v>
      </c>
      <c r="G112" s="449">
        <f t="shared" si="1"/>
        <v>2.8</v>
      </c>
      <c r="H112" s="340"/>
      <c r="I112" s="458"/>
    </row>
    <row r="113" spans="1:10" s="21" customFormat="1" x14ac:dyDescent="0.2">
      <c r="A113" s="99"/>
      <c r="B113" s="1769" t="s">
        <v>467</v>
      </c>
      <c r="C113" s="456">
        <v>3.5</v>
      </c>
      <c r="D113" s="452" t="s">
        <v>45</v>
      </c>
      <c r="E113" s="452">
        <v>0.8</v>
      </c>
      <c r="F113" s="449" t="s">
        <v>46</v>
      </c>
      <c r="G113" s="449">
        <f t="shared" si="1"/>
        <v>2.8</v>
      </c>
      <c r="H113" s="340"/>
      <c r="I113" s="458"/>
    </row>
    <row r="114" spans="1:10" s="21" customFormat="1" x14ac:dyDescent="0.2">
      <c r="A114" s="99"/>
      <c r="B114" s="1804"/>
      <c r="C114" s="456">
        <v>3.5</v>
      </c>
      <c r="D114" s="452" t="s">
        <v>45</v>
      </c>
      <c r="E114" s="452">
        <v>0.8</v>
      </c>
      <c r="F114" s="449" t="s">
        <v>46</v>
      </c>
      <c r="G114" s="449">
        <f t="shared" si="1"/>
        <v>2.8</v>
      </c>
      <c r="H114" s="340"/>
    </row>
    <row r="115" spans="1:10" s="21" customFormat="1" x14ac:dyDescent="0.2">
      <c r="A115" s="99"/>
      <c r="B115" s="1770"/>
      <c r="C115" s="456">
        <v>3.5</v>
      </c>
      <c r="D115" s="452" t="s">
        <v>45</v>
      </c>
      <c r="E115" s="452">
        <v>0.8</v>
      </c>
      <c r="F115" s="449" t="s">
        <v>46</v>
      </c>
      <c r="G115" s="449">
        <f t="shared" ref="G115" si="4">ROUND(C115*E115,2)</f>
        <v>2.8</v>
      </c>
      <c r="H115" s="340"/>
    </row>
    <row r="116" spans="1:10" s="139" customFormat="1" ht="14.25" customHeight="1" x14ac:dyDescent="0.2">
      <c r="A116" s="1121"/>
      <c r="B116" s="1802" t="s">
        <v>598</v>
      </c>
      <c r="C116" s="1802"/>
      <c r="D116" s="1802"/>
      <c r="E116" s="1802"/>
      <c r="F116" s="1802"/>
      <c r="G116" s="1802"/>
      <c r="H116" s="455"/>
      <c r="I116" s="455"/>
      <c r="J116" s="420"/>
    </row>
    <row r="117" spans="1:10" s="140" customFormat="1" ht="16.5" customHeight="1" x14ac:dyDescent="0.2">
      <c r="A117" s="421"/>
      <c r="B117" s="454" t="s">
        <v>280</v>
      </c>
      <c r="C117" s="1119">
        <v>4.5</v>
      </c>
      <c r="D117" s="452" t="s">
        <v>45</v>
      </c>
      <c r="E117" s="452">
        <v>1.6</v>
      </c>
      <c r="F117" s="452" t="s">
        <v>46</v>
      </c>
      <c r="G117" s="452">
        <f>ROUND(C117*E117,2)</f>
        <v>7.2</v>
      </c>
      <c r="H117" s="453"/>
    </row>
    <row r="118" spans="1:10" x14ac:dyDescent="0.2">
      <c r="A118" s="1120"/>
      <c r="B118" s="1803" t="s">
        <v>599</v>
      </c>
      <c r="C118" s="1803"/>
      <c r="D118" s="1803"/>
      <c r="E118" s="1803"/>
      <c r="F118" s="1803"/>
      <c r="G118" s="1803"/>
      <c r="H118" s="4"/>
      <c r="I118" s="4"/>
      <c r="J118" s="198"/>
    </row>
    <row r="119" spans="1:10" s="140" customFormat="1" ht="15" customHeight="1" x14ac:dyDescent="0.2">
      <c r="A119" s="421"/>
      <c r="B119" s="247" t="s">
        <v>280</v>
      </c>
      <c r="C119" s="1119">
        <v>1.5</v>
      </c>
      <c r="D119" s="452" t="s">
        <v>45</v>
      </c>
      <c r="E119" s="452">
        <v>1.6</v>
      </c>
      <c r="F119" s="452" t="s">
        <v>46</v>
      </c>
      <c r="G119" s="452">
        <f t="shared" ref="G119" si="5">ROUND(C119*E119,2)</f>
        <v>2.4</v>
      </c>
      <c r="H119" s="453"/>
    </row>
    <row r="120" spans="1:10" s="21" customFormat="1" x14ac:dyDescent="0.2">
      <c r="A120" s="99"/>
      <c r="C120" s="340"/>
      <c r="D120" s="340"/>
      <c r="E120" s="340"/>
      <c r="F120" s="340"/>
      <c r="G120" s="340"/>
      <c r="H120" s="340"/>
      <c r="I120" s="340"/>
      <c r="J120" s="340"/>
    </row>
    <row r="121" spans="1:10" s="21" customFormat="1" ht="20.25" customHeight="1" x14ac:dyDescent="0.2">
      <c r="A121" s="205"/>
      <c r="B121" s="383" t="s">
        <v>597</v>
      </c>
      <c r="C121" s="384">
        <f>ROUND(SUM(G88:G120),2)</f>
        <v>46.4</v>
      </c>
      <c r="D121" s="235" t="s">
        <v>4</v>
      </c>
      <c r="E121" s="205"/>
      <c r="F121" s="436"/>
      <c r="G121" s="436"/>
    </row>
    <row r="122" spans="1:10" s="21" customFormat="1" x14ac:dyDescent="0.2">
      <c r="A122" s="99"/>
      <c r="C122" s="340"/>
      <c r="D122" s="340"/>
      <c r="E122" s="340"/>
      <c r="F122" s="340"/>
      <c r="G122" s="340"/>
      <c r="H122" s="340"/>
      <c r="I122" s="340"/>
      <c r="J122" s="340"/>
    </row>
    <row r="123" spans="1:10" x14ac:dyDescent="0.2">
      <c r="A123" s="183" t="str">
        <f>ORÇ!A128</f>
        <v>9.2.2</v>
      </c>
      <c r="B123" s="237" t="str">
        <f>ORÇ!D128</f>
        <v>VIDRO TEMPERADO INCOLOR E= 6MM COM FERRAGENS</v>
      </c>
      <c r="C123" s="14"/>
      <c r="D123" s="13"/>
      <c r="E123" s="198"/>
      <c r="F123" s="198"/>
      <c r="G123" s="198"/>
      <c r="H123" s="4"/>
      <c r="I123" s="4"/>
      <c r="J123" s="198"/>
    </row>
    <row r="124" spans="1:10" x14ac:dyDescent="0.2">
      <c r="A124" s="237"/>
      <c r="B124" s="237"/>
      <c r="C124" s="14"/>
      <c r="D124" s="13"/>
      <c r="E124" s="198"/>
      <c r="F124" s="198"/>
      <c r="G124" s="198"/>
      <c r="H124" s="4"/>
      <c r="I124" s="4"/>
      <c r="J124" s="198"/>
    </row>
    <row r="125" spans="1:10" s="21" customFormat="1" x14ac:dyDescent="0.2">
      <c r="A125" s="99"/>
      <c r="B125" s="450" t="s">
        <v>589</v>
      </c>
      <c r="C125" s="450" t="s">
        <v>405</v>
      </c>
      <c r="D125" s="451"/>
      <c r="E125" s="451" t="s">
        <v>311</v>
      </c>
      <c r="F125" s="451"/>
      <c r="G125" s="451" t="s">
        <v>213</v>
      </c>
      <c r="H125" s="340"/>
    </row>
    <row r="126" spans="1:10" s="139" customFormat="1" ht="14.25" customHeight="1" x14ac:dyDescent="0.2">
      <c r="A126" s="5"/>
      <c r="B126" s="1802" t="s">
        <v>598</v>
      </c>
      <c r="C126" s="1802"/>
      <c r="D126" s="1802"/>
      <c r="E126" s="1802"/>
      <c r="F126" s="1802"/>
      <c r="G126" s="1802"/>
      <c r="H126" s="455"/>
      <c r="I126" s="455"/>
      <c r="J126" s="420"/>
    </row>
    <row r="127" spans="1:10" s="140" customFormat="1" ht="16.5" customHeight="1" x14ac:dyDescent="0.2">
      <c r="A127" s="421"/>
      <c r="B127" s="454" t="s">
        <v>280</v>
      </c>
      <c r="C127" s="443">
        <v>4.5</v>
      </c>
      <c r="D127" s="452" t="s">
        <v>45</v>
      </c>
      <c r="E127" s="452">
        <v>0.6</v>
      </c>
      <c r="F127" s="452" t="s">
        <v>46</v>
      </c>
      <c r="G127" s="452">
        <f>ROUND(C127*E127,2)</f>
        <v>2.7</v>
      </c>
      <c r="H127" s="453"/>
    </row>
    <row r="128" spans="1:10" x14ac:dyDescent="0.2">
      <c r="A128" s="444"/>
      <c r="B128" s="1803" t="s">
        <v>599</v>
      </c>
      <c r="C128" s="1803"/>
      <c r="D128" s="1803"/>
      <c r="E128" s="1803"/>
      <c r="F128" s="1803"/>
      <c r="G128" s="1803"/>
      <c r="H128" s="4"/>
      <c r="I128" s="4"/>
      <c r="J128" s="198"/>
    </row>
    <row r="129" spans="1:11" s="140" customFormat="1" ht="15" customHeight="1" x14ac:dyDescent="0.2">
      <c r="A129" s="421"/>
      <c r="B129" s="247" t="s">
        <v>280</v>
      </c>
      <c r="C129" s="443">
        <v>1.5</v>
      </c>
      <c r="D129" s="452" t="s">
        <v>45</v>
      </c>
      <c r="E129" s="452">
        <v>0.6</v>
      </c>
      <c r="F129" s="452" t="s">
        <v>46</v>
      </c>
      <c r="G129" s="452">
        <f t="shared" ref="G129" si="6">ROUND(C129*E129,2)</f>
        <v>0.9</v>
      </c>
      <c r="H129" s="453"/>
    </row>
    <row r="130" spans="1:11" s="21" customFormat="1" x14ac:dyDescent="0.2">
      <c r="A130" s="99"/>
      <c r="C130" s="340"/>
      <c r="D130" s="340"/>
      <c r="E130" s="340"/>
      <c r="F130" s="340"/>
      <c r="G130" s="340"/>
      <c r="H130" s="340"/>
      <c r="I130" s="340"/>
      <c r="J130" s="340"/>
    </row>
    <row r="131" spans="1:11" s="21" customFormat="1" ht="17.25" customHeight="1" x14ac:dyDescent="0.2">
      <c r="A131" s="205"/>
      <c r="B131" s="383" t="s">
        <v>597</v>
      </c>
      <c r="C131" s="384">
        <f>ROUND(SUM(G127:G130),2)</f>
        <v>3.6</v>
      </c>
      <c r="D131" s="235" t="s">
        <v>4</v>
      </c>
      <c r="E131" s="205"/>
      <c r="F131" s="436"/>
      <c r="G131" s="436"/>
    </row>
    <row r="132" spans="1:11" x14ac:dyDescent="0.2">
      <c r="A132" s="237"/>
      <c r="B132" s="237"/>
      <c r="C132" s="14"/>
      <c r="D132" s="13"/>
      <c r="E132" s="198"/>
      <c r="F132" s="198"/>
      <c r="G132" s="198"/>
      <c r="H132" s="4"/>
      <c r="I132" s="4"/>
      <c r="J132" s="198"/>
    </row>
    <row r="133" spans="1:11" s="140" customFormat="1" ht="15.75" customHeight="1" x14ac:dyDescent="0.2">
      <c r="A133" s="337" t="str">
        <f>ORÇ!A129</f>
        <v>9.2.3</v>
      </c>
      <c r="B133" s="5" t="str">
        <f>ORÇ!D129</f>
        <v>INSTALAÇÃO DE VIDRO TEMPERADO, E = 6 MM, ENCAIXADO EM PERFIL U. AF_01/2021_P</v>
      </c>
      <c r="C133" s="453"/>
      <c r="D133" s="453"/>
      <c r="E133" s="162"/>
      <c r="F133" s="162"/>
      <c r="G133" s="162"/>
      <c r="H133" s="473"/>
      <c r="I133" s="473"/>
      <c r="J133" s="162"/>
    </row>
    <row r="134" spans="1:11" s="21" customFormat="1" x14ac:dyDescent="0.2">
      <c r="A134" s="445"/>
      <c r="B134" s="445"/>
      <c r="C134" s="340"/>
      <c r="D134" s="340"/>
      <c r="E134" s="196"/>
      <c r="F134" s="196"/>
      <c r="G134" s="196"/>
      <c r="H134" s="474"/>
      <c r="I134" s="474"/>
      <c r="J134" s="196"/>
    </row>
    <row r="135" spans="1:11" s="21" customFormat="1" x14ac:dyDescent="0.2">
      <c r="A135" s="445"/>
      <c r="B135" s="99" t="s">
        <v>606</v>
      </c>
      <c r="C135" s="340"/>
      <c r="D135" s="340"/>
      <c r="E135" s="196"/>
      <c r="F135" s="196"/>
      <c r="G135" s="196"/>
      <c r="H135" s="474"/>
      <c r="I135" s="474"/>
      <c r="J135" s="196"/>
    </row>
    <row r="136" spans="1:11" s="21" customFormat="1" x14ac:dyDescent="0.2">
      <c r="A136" s="99"/>
      <c r="B136" s="450" t="s">
        <v>589</v>
      </c>
      <c r="C136" s="450" t="s">
        <v>405</v>
      </c>
      <c r="D136" s="451"/>
      <c r="E136" s="451" t="s">
        <v>311</v>
      </c>
      <c r="F136" s="451"/>
      <c r="G136" s="451" t="s">
        <v>213</v>
      </c>
      <c r="H136" s="340"/>
    </row>
    <row r="137" spans="1:11" s="140" customFormat="1" ht="16.5" customHeight="1" x14ac:dyDescent="0.2">
      <c r="A137" s="421"/>
      <c r="B137" s="454" t="s">
        <v>541</v>
      </c>
      <c r="C137" s="456">
        <v>1</v>
      </c>
      <c r="D137" s="452" t="s">
        <v>45</v>
      </c>
      <c r="E137" s="452">
        <v>0.2</v>
      </c>
      <c r="F137" s="452" t="s">
        <v>46</v>
      </c>
      <c r="G137" s="452">
        <f>ROUND(C137*E137,2)</f>
        <v>0.2</v>
      </c>
      <c r="H137" s="453"/>
    </row>
    <row r="138" spans="1:11" s="21" customFormat="1" x14ac:dyDescent="0.2">
      <c r="A138" s="99"/>
      <c r="C138" s="340"/>
      <c r="D138" s="340"/>
      <c r="E138" s="340"/>
      <c r="F138" s="340"/>
      <c r="G138" s="340"/>
      <c r="H138" s="340"/>
      <c r="I138" s="340"/>
      <c r="J138" s="340"/>
    </row>
    <row r="139" spans="1:11" s="21" customFormat="1" ht="17.25" customHeight="1" x14ac:dyDescent="0.2">
      <c r="A139" s="205"/>
      <c r="B139" s="383" t="s">
        <v>597</v>
      </c>
      <c r="C139" s="384">
        <f>ROUND(SUM(G137:G138),2)</f>
        <v>0.2</v>
      </c>
      <c r="D139" s="235" t="s">
        <v>4</v>
      </c>
      <c r="E139" s="205"/>
      <c r="F139" s="436"/>
      <c r="G139" s="436"/>
    </row>
    <row r="140" spans="1:11" s="471" customFormat="1" x14ac:dyDescent="0.2">
      <c r="A140" s="467"/>
      <c r="B140" s="467"/>
      <c r="C140" s="468"/>
      <c r="D140" s="468"/>
      <c r="E140" s="469"/>
      <c r="F140" s="469"/>
      <c r="G140" s="469"/>
      <c r="H140" s="470"/>
      <c r="I140" s="470"/>
      <c r="J140" s="469"/>
    </row>
    <row r="141" spans="1:11" s="139" customFormat="1" ht="16.5" customHeight="1" x14ac:dyDescent="0.2">
      <c r="A141" s="337" t="str">
        <f>ORÇ!A130</f>
        <v>9.3</v>
      </c>
      <c r="B141" s="17" t="str">
        <f>ORÇ!D130</f>
        <v>Acabamento</v>
      </c>
      <c r="C141" s="337"/>
      <c r="D141" s="226"/>
      <c r="E141" s="337"/>
      <c r="F141" s="337"/>
      <c r="G141" s="337"/>
      <c r="H141" s="337"/>
      <c r="I141" s="337"/>
      <c r="J141" s="337"/>
    </row>
    <row r="142" spans="1:11" s="139" customFormat="1" ht="29.25" customHeight="1" x14ac:dyDescent="0.2">
      <c r="A142" s="337" t="str">
        <f>ORÇ!A131</f>
        <v>9.3.1</v>
      </c>
      <c r="B142" s="1710" t="str">
        <f>ORÇ!D131</f>
        <v>PEITORIL LINEAR EM GRANITO OU MÁRMORE, L = 15CM, COMPRIMENTO DE ATÉ 2M, ASSENTADO COM ARGAMASSA 1:6 COM ADITIVO. AF_11/2020</v>
      </c>
      <c r="C142" s="1710"/>
      <c r="D142" s="1710"/>
      <c r="E142" s="1710"/>
      <c r="F142" s="1710"/>
      <c r="G142" s="1710"/>
      <c r="H142" s="1710"/>
      <c r="I142" s="1710"/>
      <c r="J142" s="1710"/>
      <c r="K142" s="1710"/>
    </row>
    <row r="143" spans="1:11" s="21" customFormat="1" x14ac:dyDescent="0.2">
      <c r="A143" s="99"/>
      <c r="B143" s="475"/>
      <c r="C143" s="475"/>
      <c r="D143" s="475"/>
      <c r="E143" s="475"/>
      <c r="F143" s="475"/>
      <c r="G143" s="475"/>
      <c r="H143" s="475"/>
      <c r="I143" s="475"/>
      <c r="J143" s="475"/>
      <c r="K143" s="475"/>
    </row>
    <row r="144" spans="1:11" s="21" customFormat="1" ht="25.5" x14ac:dyDescent="0.2">
      <c r="A144" s="99"/>
      <c r="B144" s="480" t="s">
        <v>616</v>
      </c>
      <c r="C144" s="480" t="s">
        <v>405</v>
      </c>
      <c r="D144" s="480"/>
      <c r="E144" s="480" t="s">
        <v>613</v>
      </c>
      <c r="F144" s="480"/>
      <c r="G144" s="480" t="s">
        <v>590</v>
      </c>
      <c r="H144" s="480"/>
      <c r="I144" s="480" t="s">
        <v>614</v>
      </c>
      <c r="J144" s="477"/>
      <c r="K144" s="475"/>
    </row>
    <row r="145" spans="1:11" s="21" customFormat="1" x14ac:dyDescent="0.2">
      <c r="A145" s="99"/>
      <c r="B145" s="478" t="s">
        <v>607</v>
      </c>
      <c r="C145" s="479">
        <f>C88</f>
        <v>1</v>
      </c>
      <c r="D145" s="479" t="s">
        <v>615</v>
      </c>
      <c r="E145" s="479">
        <v>0.06</v>
      </c>
      <c r="F145" s="479" t="s">
        <v>45</v>
      </c>
      <c r="G145" s="479">
        <f>COUNTA(B88:B96)</f>
        <v>9</v>
      </c>
      <c r="H145" s="479" t="s">
        <v>46</v>
      </c>
      <c r="I145" s="479">
        <f>ROUND((C145+E145)*G145,2)</f>
        <v>9.5399999999999991</v>
      </c>
      <c r="J145" s="476"/>
      <c r="K145" s="475"/>
    </row>
    <row r="146" spans="1:11" s="21" customFormat="1" x14ac:dyDescent="0.2">
      <c r="A146" s="99"/>
      <c r="B146" s="478" t="s">
        <v>608</v>
      </c>
      <c r="C146" s="479">
        <f>C98</f>
        <v>1.5</v>
      </c>
      <c r="D146" s="479" t="s">
        <v>615</v>
      </c>
      <c r="E146" s="479">
        <v>0.06</v>
      </c>
      <c r="F146" s="479" t="s">
        <v>45</v>
      </c>
      <c r="G146" s="479">
        <f>COUNTA(B98:B100)</f>
        <v>3</v>
      </c>
      <c r="H146" s="479" t="s">
        <v>46</v>
      </c>
      <c r="I146" s="479">
        <f t="shared" ref="I146:I150" si="7">ROUND((C146+E146)*G146,2)</f>
        <v>4.68</v>
      </c>
      <c r="J146" s="476"/>
      <c r="K146" s="475"/>
    </row>
    <row r="147" spans="1:11" s="21" customFormat="1" x14ac:dyDescent="0.2">
      <c r="A147" s="99"/>
      <c r="B147" s="478" t="s">
        <v>609</v>
      </c>
      <c r="C147" s="479">
        <f>C102</f>
        <v>2.2000000000000002</v>
      </c>
      <c r="D147" s="479" t="s">
        <v>615</v>
      </c>
      <c r="E147" s="479">
        <v>0.06</v>
      </c>
      <c r="F147" s="479" t="s">
        <v>45</v>
      </c>
      <c r="G147" s="479">
        <f>COUNTA(B102:B106)</f>
        <v>5</v>
      </c>
      <c r="H147" s="479" t="s">
        <v>46</v>
      </c>
      <c r="I147" s="479">
        <f t="shared" si="7"/>
        <v>11.3</v>
      </c>
      <c r="J147" s="476"/>
      <c r="K147" s="475"/>
    </row>
    <row r="148" spans="1:11" s="21" customFormat="1" x14ac:dyDescent="0.2">
      <c r="A148" s="99"/>
      <c r="B148" s="478" t="s">
        <v>610</v>
      </c>
      <c r="C148" s="479">
        <f>C108</f>
        <v>2.5</v>
      </c>
      <c r="D148" s="479" t="s">
        <v>615</v>
      </c>
      <c r="E148" s="479">
        <v>0.06</v>
      </c>
      <c r="F148" s="479" t="s">
        <v>45</v>
      </c>
      <c r="G148" s="479">
        <f>COUNTA(C108:C110)</f>
        <v>3</v>
      </c>
      <c r="H148" s="479" t="s">
        <v>46</v>
      </c>
      <c r="I148" s="479">
        <f t="shared" si="7"/>
        <v>7.68</v>
      </c>
      <c r="J148" s="476"/>
      <c r="K148" s="475"/>
    </row>
    <row r="149" spans="1:11" s="21" customFormat="1" x14ac:dyDescent="0.2">
      <c r="A149" s="99"/>
      <c r="B149" s="478" t="s">
        <v>611</v>
      </c>
      <c r="C149" s="479">
        <f>C112</f>
        <v>3.5</v>
      </c>
      <c r="D149" s="479" t="s">
        <v>615</v>
      </c>
      <c r="E149" s="479">
        <v>0.06</v>
      </c>
      <c r="F149" s="479" t="s">
        <v>45</v>
      </c>
      <c r="G149" s="479">
        <f>COUNTA(C112:C115)</f>
        <v>4</v>
      </c>
      <c r="H149" s="479" t="s">
        <v>46</v>
      </c>
      <c r="I149" s="479">
        <f t="shared" si="7"/>
        <v>14.24</v>
      </c>
      <c r="J149" s="476"/>
      <c r="K149" s="475"/>
    </row>
    <row r="150" spans="1:11" s="21" customFormat="1" x14ac:dyDescent="0.2">
      <c r="A150" s="99"/>
      <c r="B150" s="478" t="s">
        <v>598</v>
      </c>
      <c r="C150" s="479">
        <f>C127</f>
        <v>4.5</v>
      </c>
      <c r="D150" s="479" t="s">
        <v>615</v>
      </c>
      <c r="E150" s="479">
        <v>0.06</v>
      </c>
      <c r="F150" s="479" t="s">
        <v>45</v>
      </c>
      <c r="G150" s="479">
        <v>1</v>
      </c>
      <c r="H150" s="479" t="s">
        <v>46</v>
      </c>
      <c r="I150" s="479">
        <f t="shared" si="7"/>
        <v>4.5599999999999996</v>
      </c>
      <c r="J150" s="476"/>
      <c r="K150" s="475"/>
    </row>
    <row r="151" spans="1:11" s="21" customFormat="1" x14ac:dyDescent="0.2">
      <c r="A151" s="99"/>
      <c r="B151" s="478" t="s">
        <v>599</v>
      </c>
      <c r="C151" s="479">
        <f>C129</f>
        <v>1.5</v>
      </c>
      <c r="D151" s="479" t="s">
        <v>615</v>
      </c>
      <c r="E151" s="479">
        <v>0.06</v>
      </c>
      <c r="F151" s="479" t="s">
        <v>45</v>
      </c>
      <c r="G151" s="479">
        <v>1</v>
      </c>
      <c r="H151" s="479" t="s">
        <v>46</v>
      </c>
      <c r="I151" s="479">
        <f t="shared" ref="I151:I152" si="8">ROUND((C151+E151)*G151,2)</f>
        <v>1.56</v>
      </c>
      <c r="J151" s="476"/>
      <c r="K151" s="475"/>
    </row>
    <row r="152" spans="1:11" s="21" customFormat="1" x14ac:dyDescent="0.2">
      <c r="A152" s="99"/>
      <c r="B152" s="478" t="s">
        <v>617</v>
      </c>
      <c r="C152" s="479">
        <f>C137</f>
        <v>1</v>
      </c>
      <c r="D152" s="479" t="s">
        <v>615</v>
      </c>
      <c r="E152" s="479">
        <v>0.06</v>
      </c>
      <c r="F152" s="479" t="s">
        <v>45</v>
      </c>
      <c r="G152" s="479">
        <v>1</v>
      </c>
      <c r="H152" s="479" t="s">
        <v>46</v>
      </c>
      <c r="I152" s="479">
        <f t="shared" si="8"/>
        <v>1.06</v>
      </c>
      <c r="J152" s="476"/>
      <c r="K152" s="475"/>
    </row>
    <row r="153" spans="1:11" s="21" customFormat="1" x14ac:dyDescent="0.2">
      <c r="A153" s="99"/>
      <c r="B153" s="476"/>
      <c r="C153" s="476"/>
      <c r="D153" s="476"/>
      <c r="E153" s="476"/>
      <c r="F153" s="476"/>
      <c r="G153" s="476"/>
      <c r="H153" s="476"/>
      <c r="I153" s="476"/>
      <c r="J153" s="476"/>
      <c r="K153" s="475"/>
    </row>
    <row r="154" spans="1:11" s="21" customFormat="1" ht="17.25" customHeight="1" x14ac:dyDescent="0.2">
      <c r="A154" s="205"/>
      <c r="B154" s="383" t="s">
        <v>47</v>
      </c>
      <c r="C154" s="384">
        <f>ROUND(SUM(I145:I153),2)</f>
        <v>54.62</v>
      </c>
      <c r="D154" s="235" t="s">
        <v>12</v>
      </c>
      <c r="E154" s="205"/>
      <c r="F154" s="436"/>
      <c r="G154" s="436"/>
    </row>
    <row r="155" spans="1:11" x14ac:dyDescent="0.2">
      <c r="A155" s="172"/>
      <c r="B155" s="176"/>
      <c r="C155" s="176"/>
      <c r="D155" s="22"/>
      <c r="E155" s="22"/>
      <c r="F155" s="22"/>
      <c r="G155" s="173"/>
      <c r="H155" s="173"/>
      <c r="I155" s="175"/>
      <c r="J155" s="175"/>
    </row>
    <row r="156" spans="1:11" ht="12.75" customHeight="1" x14ac:dyDescent="0.2">
      <c r="A156" s="183" t="str">
        <f>ORÇ!A132</f>
        <v>9.3.2</v>
      </c>
      <c r="B156" s="46" t="str">
        <f>ORÇ!D132</f>
        <v>SOLEIRA EM GRANITO, LARGURA 15 CM, ESPESSURA 2,0 CM. AF_09/2020</v>
      </c>
      <c r="C156" s="46"/>
      <c r="D156" s="46"/>
      <c r="E156" s="46"/>
      <c r="F156" s="46"/>
      <c r="G156" s="46"/>
      <c r="H156" s="46"/>
      <c r="I156" s="46"/>
      <c r="J156" s="46"/>
      <c r="K156" s="46"/>
    </row>
    <row r="157" spans="1:11" ht="9.75" customHeight="1" x14ac:dyDescent="0.2">
      <c r="A157" s="275"/>
      <c r="B157" s="273"/>
      <c r="C157" s="273"/>
      <c r="D157" s="273"/>
      <c r="E157" s="273"/>
      <c r="F157" s="273"/>
      <c r="G157" s="273"/>
      <c r="H157" s="273"/>
      <c r="I157" s="273"/>
      <c r="J157" s="273"/>
      <c r="K157" s="273"/>
    </row>
    <row r="158" spans="1:11" s="21" customFormat="1" ht="25.5" x14ac:dyDescent="0.2">
      <c r="A158" s="99"/>
      <c r="B158" s="480" t="s">
        <v>616</v>
      </c>
      <c r="C158" s="480" t="s">
        <v>405</v>
      </c>
      <c r="D158" s="480"/>
      <c r="E158" s="480" t="s">
        <v>618</v>
      </c>
      <c r="F158" s="480"/>
      <c r="G158" s="480" t="s">
        <v>590</v>
      </c>
      <c r="H158" s="480"/>
      <c r="I158" s="480" t="s">
        <v>614</v>
      </c>
      <c r="J158" s="477"/>
      <c r="K158" s="475"/>
    </row>
    <row r="159" spans="1:11" s="21" customFormat="1" x14ac:dyDescent="0.2">
      <c r="A159" s="99"/>
      <c r="B159" s="478" t="str">
        <f>B16</f>
        <v>P1</v>
      </c>
      <c r="C159" s="479">
        <v>1.6</v>
      </c>
      <c r="D159" s="479" t="s">
        <v>615</v>
      </c>
      <c r="E159" s="479">
        <v>0.06</v>
      </c>
      <c r="F159" s="479" t="s">
        <v>45</v>
      </c>
      <c r="G159" s="479">
        <f>C17</f>
        <v>1</v>
      </c>
      <c r="H159" s="479" t="s">
        <v>46</v>
      </c>
      <c r="I159" s="479">
        <f>ROUND((C159+E159)*G159,2)</f>
        <v>1.66</v>
      </c>
      <c r="J159" s="476"/>
      <c r="K159" s="475"/>
    </row>
    <row r="160" spans="1:11" s="21" customFormat="1" x14ac:dyDescent="0.2">
      <c r="A160" s="99"/>
      <c r="B160" s="478" t="str">
        <f>B21</f>
        <v>P2</v>
      </c>
      <c r="C160" s="479">
        <v>3</v>
      </c>
      <c r="D160" s="479" t="s">
        <v>615</v>
      </c>
      <c r="E160" s="479">
        <v>0.06</v>
      </c>
      <c r="F160" s="479" t="s">
        <v>45</v>
      </c>
      <c r="G160" s="479">
        <f>C22</f>
        <v>1</v>
      </c>
      <c r="H160" s="479" t="s">
        <v>46</v>
      </c>
      <c r="I160" s="479">
        <f t="shared" ref="I160:I165" si="9">ROUND((C160+E160)*G160,2)</f>
        <v>3.06</v>
      </c>
      <c r="J160" s="476"/>
      <c r="K160" s="475"/>
    </row>
    <row r="161" spans="1:11" s="21" customFormat="1" x14ac:dyDescent="0.2">
      <c r="A161" s="99"/>
      <c r="B161" s="478" t="str">
        <f>B26</f>
        <v>P3</v>
      </c>
      <c r="C161" s="479">
        <v>0.9</v>
      </c>
      <c r="D161" s="479" t="s">
        <v>615</v>
      </c>
      <c r="E161" s="479">
        <v>0.06</v>
      </c>
      <c r="F161" s="479" t="s">
        <v>45</v>
      </c>
      <c r="G161" s="479">
        <f>COUNTA(E50:E56)</f>
        <v>7</v>
      </c>
      <c r="H161" s="479" t="s">
        <v>46</v>
      </c>
      <c r="I161" s="479">
        <f t="shared" si="9"/>
        <v>6.72</v>
      </c>
      <c r="J161" s="476"/>
      <c r="K161" s="475"/>
    </row>
    <row r="162" spans="1:11" s="21" customFormat="1" x14ac:dyDescent="0.2">
      <c r="A162" s="99"/>
      <c r="B162" s="478" t="str">
        <f>B43</f>
        <v>P4</v>
      </c>
      <c r="C162" s="479">
        <v>1</v>
      </c>
      <c r="D162" s="479" t="s">
        <v>615</v>
      </c>
      <c r="E162" s="479">
        <v>0.06</v>
      </c>
      <c r="F162" s="479" t="s">
        <v>45</v>
      </c>
      <c r="G162" s="479">
        <f>C44</f>
        <v>1</v>
      </c>
      <c r="H162" s="479" t="s">
        <v>46</v>
      </c>
      <c r="I162" s="479">
        <f t="shared" si="9"/>
        <v>1.06</v>
      </c>
      <c r="J162" s="476"/>
      <c r="K162" s="475"/>
    </row>
    <row r="163" spans="1:11" s="21" customFormat="1" x14ac:dyDescent="0.2">
      <c r="A163" s="99"/>
      <c r="B163" s="478" t="str">
        <f>B48</f>
        <v>P5</v>
      </c>
      <c r="C163" s="479">
        <f>C50</f>
        <v>0.8</v>
      </c>
      <c r="D163" s="479" t="s">
        <v>615</v>
      </c>
      <c r="E163" s="479">
        <v>0.06</v>
      </c>
      <c r="F163" s="479" t="s">
        <v>45</v>
      </c>
      <c r="G163" s="479">
        <f>SUM(G50:G56)</f>
        <v>8</v>
      </c>
      <c r="H163" s="479" t="s">
        <v>46</v>
      </c>
      <c r="I163" s="479">
        <f t="shared" si="9"/>
        <v>6.88</v>
      </c>
      <c r="J163" s="476"/>
      <c r="K163" s="475"/>
    </row>
    <row r="164" spans="1:11" s="21" customFormat="1" x14ac:dyDescent="0.2">
      <c r="A164" s="99"/>
      <c r="B164" s="478" t="str">
        <f>B67</f>
        <v>P6</v>
      </c>
      <c r="C164" s="479">
        <v>1.8</v>
      </c>
      <c r="D164" s="479" t="s">
        <v>615</v>
      </c>
      <c r="E164" s="479">
        <v>0.06</v>
      </c>
      <c r="F164" s="479" t="s">
        <v>45</v>
      </c>
      <c r="G164" s="479">
        <f>C72</f>
        <v>2</v>
      </c>
      <c r="H164" s="479" t="s">
        <v>46</v>
      </c>
      <c r="I164" s="479">
        <f t="shared" si="9"/>
        <v>3.72</v>
      </c>
      <c r="J164" s="476"/>
      <c r="K164" s="475"/>
    </row>
    <row r="165" spans="1:11" s="21" customFormat="1" x14ac:dyDescent="0.2">
      <c r="A165" s="99"/>
      <c r="B165" s="478" t="str">
        <f>B76</f>
        <v>P7</v>
      </c>
      <c r="C165" s="479">
        <v>1.6</v>
      </c>
      <c r="D165" s="479" t="s">
        <v>615</v>
      </c>
      <c r="E165" s="479">
        <v>0.06</v>
      </c>
      <c r="F165" s="479" t="s">
        <v>45</v>
      </c>
      <c r="G165" s="479">
        <f>C81</f>
        <v>2</v>
      </c>
      <c r="H165" s="479" t="s">
        <v>46</v>
      </c>
      <c r="I165" s="479">
        <f t="shared" si="9"/>
        <v>3.32</v>
      </c>
      <c r="J165" s="476"/>
      <c r="K165" s="475"/>
    </row>
    <row r="166" spans="1:11" s="21" customFormat="1" x14ac:dyDescent="0.2">
      <c r="A166" s="99"/>
      <c r="B166" s="476"/>
      <c r="C166" s="476"/>
      <c r="D166" s="476"/>
      <c r="E166" s="476"/>
      <c r="F166" s="476"/>
      <c r="G166" s="476"/>
      <c r="H166" s="476"/>
      <c r="I166" s="476"/>
      <c r="J166" s="476"/>
      <c r="K166" s="475"/>
    </row>
    <row r="167" spans="1:11" s="21" customFormat="1" ht="17.25" customHeight="1" x14ac:dyDescent="0.2">
      <c r="A167" s="205"/>
      <c r="B167" s="383" t="s">
        <v>47</v>
      </c>
      <c r="C167" s="384">
        <f>ROUND(SUM(I159:I166),2)</f>
        <v>26.42</v>
      </c>
      <c r="D167" s="235" t="s">
        <v>12</v>
      </c>
      <c r="E167" s="205"/>
      <c r="F167" s="436"/>
      <c r="G167" s="436"/>
    </row>
    <row r="168" spans="1:11" x14ac:dyDescent="0.2">
      <c r="A168" s="198"/>
      <c r="B168" s="176"/>
      <c r="C168" s="176"/>
      <c r="D168" s="340"/>
      <c r="E168" s="340"/>
      <c r="F168" s="340"/>
      <c r="G168" s="183"/>
      <c r="H168" s="183"/>
      <c r="I168" s="196"/>
      <c r="J168" s="196"/>
    </row>
    <row r="169" spans="1:11" x14ac:dyDescent="0.2">
      <c r="A169" s="177"/>
      <c r="B169" s="1805"/>
      <c r="C169" s="1805"/>
      <c r="D169" s="1805"/>
      <c r="E169" s="1805"/>
      <c r="F169" s="1805"/>
      <c r="G169" s="1805"/>
      <c r="H169" s="1805"/>
      <c r="I169" s="1805"/>
      <c r="J169" s="1805"/>
      <c r="K169" s="1805"/>
    </row>
    <row r="170" spans="1:11" x14ac:dyDescent="0.2">
      <c r="A170" s="11"/>
      <c r="B170" s="174"/>
      <c r="C170" s="174"/>
      <c r="D170" s="174"/>
      <c r="E170" s="174"/>
      <c r="F170" s="174"/>
      <c r="G170" s="174"/>
      <c r="H170" s="178"/>
      <c r="I170" s="174"/>
      <c r="J170" s="174"/>
      <c r="K170" s="48"/>
    </row>
    <row r="171" spans="1:11" x14ac:dyDescent="0.2">
      <c r="A171" s="11"/>
      <c r="B171" s="174"/>
      <c r="C171" s="174"/>
      <c r="D171" s="174"/>
      <c r="E171" s="174"/>
      <c r="F171" s="174"/>
      <c r="G171" s="174"/>
      <c r="H171" s="178"/>
      <c r="I171" s="174"/>
      <c r="J171" s="174"/>
      <c r="K171" s="48"/>
    </row>
    <row r="172" spans="1:11" x14ac:dyDescent="0.2">
      <c r="A172" s="11"/>
      <c r="B172" s="174"/>
      <c r="C172" s="174"/>
      <c r="D172" s="174"/>
      <c r="E172" s="174"/>
      <c r="F172" s="174"/>
      <c r="G172" s="174"/>
      <c r="H172" s="178"/>
      <c r="I172" s="174"/>
      <c r="J172" s="174"/>
      <c r="K172" s="48"/>
    </row>
    <row r="173" spans="1:11" x14ac:dyDescent="0.2">
      <c r="A173" s="48"/>
      <c r="B173" s="48"/>
      <c r="C173" s="48"/>
      <c r="D173" s="48"/>
      <c r="E173" s="48"/>
      <c r="F173" s="48"/>
      <c r="G173" s="48"/>
      <c r="H173" s="48"/>
      <c r="I173" s="48"/>
      <c r="J173" s="48"/>
      <c r="K173" s="48"/>
    </row>
    <row r="174" spans="1:11" x14ac:dyDescent="0.2">
      <c r="A174" s="136"/>
      <c r="B174" s="1735"/>
      <c r="C174" s="1735"/>
      <c r="D174" s="1735"/>
      <c r="E174" s="1735"/>
      <c r="F174" s="1735"/>
      <c r="G174" s="1735"/>
      <c r="H174" s="1735"/>
      <c r="I174" s="1735"/>
      <c r="J174" s="1735"/>
      <c r="K174" s="1735"/>
    </row>
    <row r="175" spans="1:11" x14ac:dyDescent="0.2">
      <c r="A175" s="136"/>
      <c r="B175" s="1735"/>
      <c r="C175" s="1735"/>
      <c r="D175" s="1735"/>
      <c r="E175" s="1735"/>
      <c r="F175" s="1735"/>
      <c r="G175" s="1735"/>
      <c r="H175" s="1735"/>
      <c r="I175" s="1735"/>
      <c r="J175" s="1735"/>
      <c r="K175" s="1735"/>
    </row>
    <row r="176" spans="1:11" x14ac:dyDescent="0.2">
      <c r="A176" s="133"/>
      <c r="B176" s="135"/>
      <c r="C176" s="135"/>
      <c r="D176" s="135"/>
      <c r="E176" s="135"/>
      <c r="F176" s="135"/>
      <c r="G176" s="135"/>
      <c r="H176" s="134"/>
      <c r="I176" s="135"/>
      <c r="J176" s="135"/>
    </row>
    <row r="177" spans="1:10" x14ac:dyDescent="0.2">
      <c r="A177" s="133"/>
      <c r="B177" s="135"/>
      <c r="C177" s="135"/>
      <c r="D177" s="135"/>
      <c r="E177" s="135"/>
      <c r="F177" s="135"/>
      <c r="G177" s="135"/>
      <c r="H177" s="134"/>
      <c r="I177" s="135"/>
      <c r="J177" s="135"/>
    </row>
  </sheetData>
  <mergeCells count="42">
    <mergeCell ref="B1:J2"/>
    <mergeCell ref="A3:B3"/>
    <mergeCell ref="A9:K9"/>
    <mergeCell ref="C7:D7"/>
    <mergeCell ref="J3:K3"/>
    <mergeCell ref="H3:I3"/>
    <mergeCell ref="C3:G3"/>
    <mergeCell ref="G7:K7"/>
    <mergeCell ref="C5:K5"/>
    <mergeCell ref="G6:K6"/>
    <mergeCell ref="C4:K4"/>
    <mergeCell ref="A4:B4"/>
    <mergeCell ref="A5:B5"/>
    <mergeCell ref="B174:K175"/>
    <mergeCell ref="B169:K169"/>
    <mergeCell ref="B41:K41"/>
    <mergeCell ref="A6:B6"/>
    <mergeCell ref="C6:D6"/>
    <mergeCell ref="E6:F6"/>
    <mergeCell ref="B19:K19"/>
    <mergeCell ref="A7:B7"/>
    <mergeCell ref="A10:K10"/>
    <mergeCell ref="E7:F7"/>
    <mergeCell ref="B24:K24"/>
    <mergeCell ref="B84:K84"/>
    <mergeCell ref="B65:K65"/>
    <mergeCell ref="B14:K14"/>
    <mergeCell ref="B46:K46"/>
    <mergeCell ref="B60:K60"/>
    <mergeCell ref="B74:K74"/>
    <mergeCell ref="B126:G126"/>
    <mergeCell ref="B128:G128"/>
    <mergeCell ref="B87:G87"/>
    <mergeCell ref="B142:K142"/>
    <mergeCell ref="B97:G97"/>
    <mergeCell ref="B101:G101"/>
    <mergeCell ref="B107:G107"/>
    <mergeCell ref="B108:B109"/>
    <mergeCell ref="B111:G111"/>
    <mergeCell ref="B113:B115"/>
    <mergeCell ref="B116:G116"/>
    <mergeCell ref="B118:G118"/>
  </mergeCells>
  <phoneticPr fontId="6" type="noConversion"/>
  <pageMargins left="0.51181102362204722" right="0.51181102362204722" top="0.78740157480314965" bottom="0.78740157480314965" header="0.31496062992125984" footer="0.31496062992125984"/>
  <pageSetup paperSize="9" scale="84" orientation="portrait" r:id="rId1"/>
  <rowBreaks count="3" manualBreakCount="3">
    <brk id="45" max="10" man="1"/>
    <brk id="82" max="10" man="1"/>
    <brk id="122" max="10"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72"/>
  <sheetViews>
    <sheetView showGridLines="0" view="pageBreakPreview" topLeftCell="A220" zoomScale="90" zoomScaleSheetLayoutView="90" workbookViewId="0">
      <selection activeCell="B225" sqref="B225"/>
    </sheetView>
  </sheetViews>
  <sheetFormatPr defaultRowHeight="12.75" x14ac:dyDescent="0.2"/>
  <cols>
    <col min="1" max="1" width="10.85546875" style="33" customWidth="1"/>
    <col min="2" max="2" width="16.5703125" customWidth="1"/>
    <col min="3" max="3" width="18.28515625" customWidth="1"/>
    <col min="4" max="4" width="12.140625" customWidth="1"/>
    <col min="5" max="5" width="21.140625" customWidth="1"/>
    <col min="6" max="6" width="27.5703125" customWidth="1"/>
    <col min="7" max="7" width="17.5703125" customWidth="1"/>
    <col min="8" max="8" width="11.5703125" customWidth="1"/>
    <col min="9" max="9" width="14.140625" customWidth="1"/>
    <col min="10" max="10" width="12.7109375" customWidth="1"/>
    <col min="11" max="11" width="12.42578125" customWidth="1"/>
  </cols>
  <sheetData>
    <row r="1" spans="1:13" x14ac:dyDescent="0.2">
      <c r="B1" s="1307"/>
      <c r="C1" s="1307"/>
      <c r="D1" s="1307"/>
      <c r="E1" s="1307"/>
      <c r="F1" s="1307"/>
      <c r="G1" s="1307"/>
      <c r="H1" s="1307"/>
      <c r="I1" s="1307"/>
      <c r="J1" s="1307"/>
    </row>
    <row r="2" spans="1:13" ht="69.95" customHeight="1" x14ac:dyDescent="0.2">
      <c r="A2" s="332"/>
      <c r="B2" s="1365"/>
      <c r="C2" s="1365"/>
      <c r="D2" s="1365"/>
      <c r="E2" s="1365"/>
      <c r="F2" s="1365"/>
      <c r="G2" s="1365"/>
      <c r="H2" s="1365"/>
      <c r="I2" s="1365"/>
      <c r="J2" s="1365"/>
    </row>
    <row r="3" spans="1:13" ht="15" customHeight="1" x14ac:dyDescent="0.2">
      <c r="A3" s="1316" t="s">
        <v>79</v>
      </c>
      <c r="B3" s="1317"/>
      <c r="C3" s="1321" t="str">
        <f>ORÇ!B2</f>
        <v>PREFEITURA MUNICIPAL DE OURÉM</v>
      </c>
      <c r="D3" s="1738"/>
      <c r="E3" s="1322"/>
      <c r="F3" s="1326" t="s">
        <v>85</v>
      </c>
      <c r="G3" s="1327"/>
      <c r="H3" s="1819" t="str">
        <f>ORÇ!I2</f>
        <v>OURÉM/PA</v>
      </c>
      <c r="I3" s="1820"/>
      <c r="J3" s="1821"/>
    </row>
    <row r="4" spans="1:13" ht="15" customHeight="1" x14ac:dyDescent="0.2">
      <c r="A4" s="1316" t="s">
        <v>80</v>
      </c>
      <c r="B4" s="1317"/>
      <c r="C4" s="1321" t="str">
        <f>ORÇ!B3</f>
        <v>CONSTRUÇÃO DO CENTRO DE FISIOTERAPIA, NO MUNICÍPIO DE OURÉM/PA</v>
      </c>
      <c r="D4" s="1738"/>
      <c r="E4" s="1738"/>
      <c r="F4" s="1738"/>
      <c r="G4" s="1738"/>
      <c r="H4" s="1738"/>
      <c r="I4" s="1738"/>
      <c r="J4" s="1322"/>
    </row>
    <row r="5" spans="1:13" ht="15" customHeight="1" x14ac:dyDescent="0.2">
      <c r="A5" s="1316" t="s">
        <v>161</v>
      </c>
      <c r="B5" s="1317"/>
      <c r="C5" s="1808" t="str">
        <f>ORÇ!B4</f>
        <v>AV. PADRE ANGELO MORETTE, S/Nº - OURÉM/PA</v>
      </c>
      <c r="D5" s="1809"/>
      <c r="E5" s="1809"/>
      <c r="F5" s="1809"/>
      <c r="G5" s="1809"/>
      <c r="H5" s="1809"/>
      <c r="I5" s="1809"/>
      <c r="J5" s="1810"/>
    </row>
    <row r="6" spans="1:13" ht="24.75" customHeight="1" x14ac:dyDescent="0.2">
      <c r="A6" s="1310" t="s">
        <v>81</v>
      </c>
      <c r="B6" s="1311"/>
      <c r="C6" s="1312">
        <f>ORÇ!B5</f>
        <v>0.2881986483454233</v>
      </c>
      <c r="D6" s="1680"/>
      <c r="E6" s="1342" t="s">
        <v>169</v>
      </c>
      <c r="F6" s="1343"/>
      <c r="G6" s="1816" t="str">
        <f>ORÇ!G5</f>
        <v>SINAPI FEVEREIRO 2022 - DESONERADA                                 SEDOP FEVEREIRO 2022 - DESONERADA</v>
      </c>
      <c r="H6" s="1817"/>
      <c r="I6" s="1817"/>
      <c r="J6" s="1818"/>
    </row>
    <row r="7" spans="1:13" ht="15" customHeight="1" x14ac:dyDescent="0.2">
      <c r="A7" s="1316" t="s">
        <v>82</v>
      </c>
      <c r="B7" s="1317"/>
      <c r="C7" s="1672" t="str">
        <f>ORÇ!B6</f>
        <v>MARUZA BAPTISTA</v>
      </c>
      <c r="D7" s="1673"/>
      <c r="E7" s="1342" t="s">
        <v>170</v>
      </c>
      <c r="F7" s="1343"/>
      <c r="G7" s="1811" t="str">
        <f>ORÇ!G7</f>
        <v>CAU: 28510-2 A</v>
      </c>
      <c r="H7" s="1812"/>
      <c r="I7" s="1812"/>
      <c r="J7" s="1813"/>
    </row>
    <row r="8" spans="1:13" ht="13.5" thickBot="1" x14ac:dyDescent="0.25">
      <c r="A8" s="337"/>
      <c r="B8" s="6"/>
      <c r="C8" s="6"/>
      <c r="D8" s="6"/>
      <c r="E8" s="6"/>
      <c r="F8" s="6"/>
      <c r="G8" s="6"/>
      <c r="H8" s="6"/>
      <c r="I8" s="6"/>
      <c r="J8" s="6"/>
      <c r="K8" s="47"/>
      <c r="L8" s="47"/>
    </row>
    <row r="9" spans="1:13" ht="18" customHeight="1" thickBot="1" x14ac:dyDescent="0.25">
      <c r="A9" s="1674" t="str">
        <f>CONCATENATE("MEMÓRIA DE CÁLCULO ",ORÇ!A134)</f>
        <v>MEMÓRIA DE CÁLCULO 10</v>
      </c>
      <c r="B9" s="1675"/>
      <c r="C9" s="1675"/>
      <c r="D9" s="1675"/>
      <c r="E9" s="1675"/>
      <c r="F9" s="1675"/>
      <c r="G9" s="1675"/>
      <c r="H9" s="1675"/>
      <c r="I9" s="1675"/>
      <c r="J9" s="1676"/>
      <c r="K9" s="47"/>
      <c r="L9" s="47"/>
    </row>
    <row r="10" spans="1:13" s="139" customFormat="1" ht="15" customHeight="1" x14ac:dyDescent="0.2">
      <c r="A10" s="1822" t="str">
        <f>ORÇ!D134</f>
        <v>Pavimentação</v>
      </c>
      <c r="B10" s="1822"/>
      <c r="C10" s="1822"/>
      <c r="D10" s="1822"/>
      <c r="E10" s="1822"/>
      <c r="F10" s="1822"/>
      <c r="G10" s="1822"/>
      <c r="H10" s="1822"/>
      <c r="I10" s="1822"/>
      <c r="J10" s="1822"/>
      <c r="K10" s="819"/>
      <c r="L10" s="819"/>
    </row>
    <row r="11" spans="1:13" x14ac:dyDescent="0.2">
      <c r="A11" s="226">
        <f>ORÇ!A134</f>
        <v>10</v>
      </c>
      <c r="B11" s="25" t="str">
        <f>ORÇ!D134</f>
        <v>Pavimentação</v>
      </c>
      <c r="C11" s="8"/>
      <c r="D11" s="28"/>
      <c r="E11" s="28"/>
      <c r="F11" s="28"/>
      <c r="G11" s="28"/>
      <c r="H11" s="29"/>
      <c r="I11" s="28"/>
      <c r="J11" s="28"/>
      <c r="K11" s="47"/>
      <c r="L11" s="47"/>
    </row>
    <row r="12" spans="1:13" x14ac:dyDescent="0.2">
      <c r="A12" s="341" t="str">
        <f>ORÇ!A135</f>
        <v>10.1</v>
      </c>
      <c r="B12" s="199" t="str">
        <f>ORÇ!D135</f>
        <v>Piso interno</v>
      </c>
      <c r="C12" s="199"/>
      <c r="D12" s="199"/>
      <c r="E12" s="199"/>
      <c r="F12" s="199"/>
      <c r="G12" s="199"/>
      <c r="H12" s="199"/>
      <c r="I12" s="199"/>
      <c r="J12" s="199"/>
      <c r="K12" s="199"/>
      <c r="M12" s="162"/>
    </row>
    <row r="13" spans="1:13" s="21" customFormat="1" x14ac:dyDescent="0.2">
      <c r="A13" s="466" t="str">
        <f>ORÇ!A136</f>
        <v>10.1.1</v>
      </c>
      <c r="B13" s="1711" t="str">
        <f>ORÇ!D136</f>
        <v>ATERRO MANUAL DE VALAS COM SOLO ARGILO-ARENOSO E COMPACTAÇÃO MECANIZADA. AF_05/2016</v>
      </c>
      <c r="C13" s="1711"/>
      <c r="D13" s="1711"/>
      <c r="E13" s="1711"/>
      <c r="F13" s="1711"/>
      <c r="G13" s="1711"/>
      <c r="H13" s="1711"/>
      <c r="I13" s="1711"/>
      <c r="J13" s="1711"/>
      <c r="K13" s="199"/>
      <c r="M13" s="162"/>
    </row>
    <row r="14" spans="1:13" s="21" customFormat="1" x14ac:dyDescent="0.2">
      <c r="A14" s="466"/>
      <c r="B14" s="463"/>
      <c r="C14" s="463"/>
      <c r="D14" s="463"/>
      <c r="E14" s="463"/>
      <c r="F14" s="463"/>
      <c r="G14" s="463"/>
      <c r="H14" s="463"/>
      <c r="I14" s="463"/>
      <c r="J14" s="463"/>
      <c r="K14" s="199"/>
      <c r="M14" s="162"/>
    </row>
    <row r="15" spans="1:13" s="21" customFormat="1" ht="17.25" customHeight="1" x14ac:dyDescent="0.2">
      <c r="A15" s="466"/>
      <c r="B15" s="391" t="s">
        <v>459</v>
      </c>
      <c r="C15" s="391" t="s">
        <v>496</v>
      </c>
      <c r="D15" s="512"/>
      <c r="E15" s="512" t="s">
        <v>630</v>
      </c>
      <c r="F15" s="512"/>
      <c r="G15" s="503" t="s">
        <v>312</v>
      </c>
      <c r="I15" s="162"/>
    </row>
    <row r="16" spans="1:13" s="21" customFormat="1" x14ac:dyDescent="0.2">
      <c r="A16" s="466"/>
      <c r="B16" s="482" t="s">
        <v>461</v>
      </c>
      <c r="C16" s="513">
        <v>23.25</v>
      </c>
      <c r="D16" s="512" t="s">
        <v>45</v>
      </c>
      <c r="E16" s="512">
        <v>0.09</v>
      </c>
      <c r="F16" s="512" t="s">
        <v>46</v>
      </c>
      <c r="G16" s="503">
        <f>ROUND(C16*E16,2)</f>
        <v>2.09</v>
      </c>
      <c r="I16" s="162"/>
    </row>
    <row r="17" spans="1:9" s="21" customFormat="1" x14ac:dyDescent="0.2">
      <c r="A17" s="466"/>
      <c r="B17" s="482" t="s">
        <v>462</v>
      </c>
      <c r="C17" s="513">
        <v>7.5</v>
      </c>
      <c r="D17" s="512" t="s">
        <v>45</v>
      </c>
      <c r="E17" s="512">
        <v>0.09</v>
      </c>
      <c r="F17" s="512" t="s">
        <v>46</v>
      </c>
      <c r="G17" s="503">
        <f t="shared" ref="G17:G40" si="0">ROUND(C17*E17,2)</f>
        <v>0.68</v>
      </c>
      <c r="I17" s="162"/>
    </row>
    <row r="18" spans="1:9" s="21" customFormat="1" x14ac:dyDescent="0.2">
      <c r="A18" s="466"/>
      <c r="B18" s="482" t="s">
        <v>505</v>
      </c>
      <c r="C18" s="513">
        <v>3.42</v>
      </c>
      <c r="D18" s="512" t="s">
        <v>45</v>
      </c>
      <c r="E18" s="512">
        <v>0.09</v>
      </c>
      <c r="F18" s="512" t="s">
        <v>46</v>
      </c>
      <c r="G18" s="503">
        <f t="shared" si="0"/>
        <v>0.31</v>
      </c>
      <c r="I18" s="162"/>
    </row>
    <row r="19" spans="1:9" s="21" customFormat="1" x14ac:dyDescent="0.2">
      <c r="A19" s="466"/>
      <c r="B19" s="482" t="s">
        <v>506</v>
      </c>
      <c r="C19" s="513">
        <v>3.42</v>
      </c>
      <c r="D19" s="512" t="s">
        <v>45</v>
      </c>
      <c r="E19" s="512">
        <v>0.09</v>
      </c>
      <c r="F19" s="512" t="s">
        <v>46</v>
      </c>
      <c r="G19" s="503">
        <f t="shared" si="0"/>
        <v>0.31</v>
      </c>
      <c r="I19" s="162"/>
    </row>
    <row r="20" spans="1:9" s="21" customFormat="1" x14ac:dyDescent="0.2">
      <c r="A20" s="466"/>
      <c r="B20" s="482" t="s">
        <v>211</v>
      </c>
      <c r="C20" s="513">
        <v>9.0299999999999994</v>
      </c>
      <c r="D20" s="512" t="s">
        <v>45</v>
      </c>
      <c r="E20" s="512">
        <v>0.09</v>
      </c>
      <c r="F20" s="512" t="s">
        <v>46</v>
      </c>
      <c r="G20" s="503">
        <f t="shared" si="0"/>
        <v>0.81</v>
      </c>
      <c r="I20" s="162"/>
    </row>
    <row r="21" spans="1:9" s="21" customFormat="1" x14ac:dyDescent="0.2">
      <c r="A21" s="466"/>
      <c r="B21" s="482" t="s">
        <v>463</v>
      </c>
      <c r="C21" s="513">
        <v>2.6</v>
      </c>
      <c r="D21" s="512" t="s">
        <v>45</v>
      </c>
      <c r="E21" s="512">
        <v>0.09</v>
      </c>
      <c r="F21" s="512" t="s">
        <v>46</v>
      </c>
      <c r="G21" s="503">
        <f t="shared" si="0"/>
        <v>0.23</v>
      </c>
      <c r="I21" s="162"/>
    </row>
    <row r="22" spans="1:9" s="21" customFormat="1" x14ac:dyDescent="0.2">
      <c r="A22" s="466"/>
      <c r="B22" s="482" t="s">
        <v>466</v>
      </c>
      <c r="C22" s="513">
        <v>10</v>
      </c>
      <c r="D22" s="512" t="s">
        <v>45</v>
      </c>
      <c r="E22" s="512">
        <v>0.09</v>
      </c>
      <c r="F22" s="512" t="s">
        <v>46</v>
      </c>
      <c r="G22" s="503">
        <f t="shared" si="0"/>
        <v>0.9</v>
      </c>
      <c r="I22" s="162"/>
    </row>
    <row r="23" spans="1:9" s="21" customFormat="1" ht="15.75" customHeight="1" x14ac:dyDescent="0.2">
      <c r="A23" s="466"/>
      <c r="B23" s="482" t="s">
        <v>525</v>
      </c>
      <c r="C23" s="513">
        <v>42.76</v>
      </c>
      <c r="D23" s="512" t="s">
        <v>45</v>
      </c>
      <c r="E23" s="512">
        <v>0.09</v>
      </c>
      <c r="F23" s="512" t="s">
        <v>46</v>
      </c>
      <c r="G23" s="503">
        <f t="shared" si="0"/>
        <v>3.85</v>
      </c>
      <c r="I23" s="162"/>
    </row>
    <row r="24" spans="1:9" s="21" customFormat="1" x14ac:dyDescent="0.2">
      <c r="A24" s="466"/>
      <c r="B24" s="482" t="s">
        <v>478</v>
      </c>
      <c r="C24" s="513">
        <v>11.54</v>
      </c>
      <c r="D24" s="512" t="s">
        <v>45</v>
      </c>
      <c r="E24" s="512">
        <v>0.09</v>
      </c>
      <c r="F24" s="512" t="s">
        <v>46</v>
      </c>
      <c r="G24" s="503">
        <f t="shared" si="0"/>
        <v>1.04</v>
      </c>
      <c r="I24" s="162"/>
    </row>
    <row r="25" spans="1:9" s="21" customFormat="1" x14ac:dyDescent="0.2">
      <c r="A25" s="466"/>
      <c r="B25" s="482" t="s">
        <v>465</v>
      </c>
      <c r="C25" s="513">
        <v>9.32</v>
      </c>
      <c r="D25" s="512" t="s">
        <v>45</v>
      </c>
      <c r="E25" s="512">
        <v>0.09</v>
      </c>
      <c r="F25" s="512" t="s">
        <v>46</v>
      </c>
      <c r="G25" s="503">
        <f t="shared" si="0"/>
        <v>0.84</v>
      </c>
      <c r="I25" s="162"/>
    </row>
    <row r="26" spans="1:9" s="21" customFormat="1" x14ac:dyDescent="0.2">
      <c r="A26" s="466"/>
      <c r="B26" s="482" t="s">
        <v>504</v>
      </c>
      <c r="C26" s="513">
        <v>11.42</v>
      </c>
      <c r="D26" s="512" t="s">
        <v>45</v>
      </c>
      <c r="E26" s="512">
        <v>0.09</v>
      </c>
      <c r="F26" s="512" t="s">
        <v>46</v>
      </c>
      <c r="G26" s="503">
        <f t="shared" si="0"/>
        <v>1.03</v>
      </c>
      <c r="I26" s="162"/>
    </row>
    <row r="27" spans="1:9" s="21" customFormat="1" x14ac:dyDescent="0.2">
      <c r="A27" s="466"/>
      <c r="B27" s="482" t="s">
        <v>602</v>
      </c>
      <c r="C27" s="513">
        <v>4.62</v>
      </c>
      <c r="D27" s="512" t="s">
        <v>45</v>
      </c>
      <c r="E27" s="512">
        <v>0.09</v>
      </c>
      <c r="F27" s="512" t="s">
        <v>46</v>
      </c>
      <c r="G27" s="503">
        <f t="shared" si="0"/>
        <v>0.42</v>
      </c>
      <c r="I27" s="162"/>
    </row>
    <row r="28" spans="1:9" s="21" customFormat="1" x14ac:dyDescent="0.2">
      <c r="A28" s="466"/>
      <c r="B28" s="482" t="s">
        <v>507</v>
      </c>
      <c r="C28" s="513">
        <v>12</v>
      </c>
      <c r="D28" s="512" t="s">
        <v>45</v>
      </c>
      <c r="E28" s="512">
        <v>0.09</v>
      </c>
      <c r="F28" s="512" t="s">
        <v>46</v>
      </c>
      <c r="G28" s="503">
        <f t="shared" si="0"/>
        <v>1.08</v>
      </c>
      <c r="I28" s="162"/>
    </row>
    <row r="29" spans="1:9" s="21" customFormat="1" x14ac:dyDescent="0.2">
      <c r="A29" s="466"/>
      <c r="B29" s="482" t="s">
        <v>464</v>
      </c>
      <c r="C29" s="513">
        <v>52.58</v>
      </c>
      <c r="D29" s="512" t="s">
        <v>45</v>
      </c>
      <c r="E29" s="512">
        <v>0.09</v>
      </c>
      <c r="F29" s="512" t="s">
        <v>46</v>
      </c>
      <c r="G29" s="503">
        <f t="shared" si="0"/>
        <v>4.7300000000000004</v>
      </c>
      <c r="I29" s="162"/>
    </row>
    <row r="30" spans="1:9" s="21" customFormat="1" x14ac:dyDescent="0.2">
      <c r="A30" s="466"/>
      <c r="B30" s="482" t="s">
        <v>601</v>
      </c>
      <c r="C30" s="513">
        <v>4.37</v>
      </c>
      <c r="D30" s="512" t="s">
        <v>45</v>
      </c>
      <c r="E30" s="512">
        <v>0.09</v>
      </c>
      <c r="F30" s="512" t="s">
        <v>46</v>
      </c>
      <c r="G30" s="503">
        <f t="shared" si="0"/>
        <v>0.39</v>
      </c>
      <c r="I30" s="162"/>
    </row>
    <row r="31" spans="1:9" s="21" customFormat="1" x14ac:dyDescent="0.2">
      <c r="A31" s="466"/>
      <c r="B31" s="482" t="s">
        <v>600</v>
      </c>
      <c r="C31" s="513">
        <v>4.37</v>
      </c>
      <c r="D31" s="512" t="s">
        <v>45</v>
      </c>
      <c r="E31" s="512">
        <v>0.09</v>
      </c>
      <c r="F31" s="512" t="s">
        <v>46</v>
      </c>
      <c r="G31" s="503">
        <f t="shared" si="0"/>
        <v>0.39</v>
      </c>
      <c r="I31" s="162"/>
    </row>
    <row r="32" spans="1:9" s="21" customFormat="1" x14ac:dyDescent="0.2">
      <c r="A32" s="466"/>
      <c r="B32" s="482" t="s">
        <v>508</v>
      </c>
      <c r="C32" s="513">
        <v>12.5</v>
      </c>
      <c r="D32" s="512" t="s">
        <v>45</v>
      </c>
      <c r="E32" s="512">
        <v>0.09</v>
      </c>
      <c r="F32" s="512" t="s">
        <v>46</v>
      </c>
      <c r="G32" s="503">
        <f t="shared" si="0"/>
        <v>1.1299999999999999</v>
      </c>
      <c r="I32" s="162"/>
    </row>
    <row r="33" spans="1:13" s="21" customFormat="1" x14ac:dyDescent="0.2">
      <c r="A33" s="466"/>
      <c r="B33" s="482" t="s">
        <v>509</v>
      </c>
      <c r="C33" s="513">
        <v>12.5</v>
      </c>
      <c r="D33" s="512" t="s">
        <v>45</v>
      </c>
      <c r="E33" s="512">
        <v>0.09</v>
      </c>
      <c r="F33" s="512" t="s">
        <v>46</v>
      </c>
      <c r="G33" s="503">
        <f t="shared" si="0"/>
        <v>1.1299999999999999</v>
      </c>
      <c r="I33" s="162"/>
    </row>
    <row r="34" spans="1:13" s="21" customFormat="1" x14ac:dyDescent="0.2">
      <c r="A34" s="466"/>
      <c r="B34" s="482" t="s">
        <v>526</v>
      </c>
      <c r="C34" s="513">
        <v>40.75</v>
      </c>
      <c r="D34" s="512" t="s">
        <v>45</v>
      </c>
      <c r="E34" s="512">
        <v>0.09</v>
      </c>
      <c r="F34" s="512" t="s">
        <v>46</v>
      </c>
      <c r="G34" s="503">
        <f t="shared" si="0"/>
        <v>3.67</v>
      </c>
      <c r="I34" s="162"/>
    </row>
    <row r="35" spans="1:13" s="21" customFormat="1" x14ac:dyDescent="0.2">
      <c r="A35" s="466"/>
      <c r="B35" s="482" t="s">
        <v>467</v>
      </c>
      <c r="C35" s="513">
        <v>82.94</v>
      </c>
      <c r="D35" s="512" t="s">
        <v>45</v>
      </c>
      <c r="E35" s="512">
        <v>0.09</v>
      </c>
      <c r="F35" s="512" t="s">
        <v>46</v>
      </c>
      <c r="G35" s="503">
        <f t="shared" si="0"/>
        <v>7.46</v>
      </c>
      <c r="I35" s="162"/>
    </row>
    <row r="36" spans="1:13" s="21" customFormat="1" x14ac:dyDescent="0.2">
      <c r="A36" s="466"/>
      <c r="B36" s="482" t="s">
        <v>480</v>
      </c>
      <c r="C36" s="513">
        <v>3.96</v>
      </c>
      <c r="D36" s="512" t="s">
        <v>45</v>
      </c>
      <c r="E36" s="512">
        <v>0.09</v>
      </c>
      <c r="F36" s="512" t="s">
        <v>46</v>
      </c>
      <c r="G36" s="503">
        <f t="shared" si="0"/>
        <v>0.36</v>
      </c>
      <c r="I36" s="162"/>
    </row>
    <row r="37" spans="1:13" s="21" customFormat="1" x14ac:dyDescent="0.2">
      <c r="A37" s="466"/>
      <c r="B37" s="482" t="s">
        <v>481</v>
      </c>
      <c r="C37" s="513">
        <v>4.7699999999999996</v>
      </c>
      <c r="D37" s="512" t="s">
        <v>45</v>
      </c>
      <c r="E37" s="512">
        <v>0.09</v>
      </c>
      <c r="F37" s="512" t="s">
        <v>46</v>
      </c>
      <c r="G37" s="503">
        <f t="shared" si="0"/>
        <v>0.43</v>
      </c>
      <c r="I37" s="162"/>
    </row>
    <row r="38" spans="1:13" s="21" customFormat="1" x14ac:dyDescent="0.2">
      <c r="A38" s="466"/>
      <c r="B38" s="464" t="s">
        <v>530</v>
      </c>
      <c r="C38" s="429">
        <v>12.62</v>
      </c>
      <c r="D38" s="512" t="s">
        <v>45</v>
      </c>
      <c r="E38" s="512">
        <v>0.09</v>
      </c>
      <c r="F38" s="512" t="s">
        <v>46</v>
      </c>
      <c r="G38" s="503">
        <f t="shared" si="0"/>
        <v>1.1399999999999999</v>
      </c>
      <c r="I38" s="162"/>
    </row>
    <row r="39" spans="1:13" s="21" customFormat="1" x14ac:dyDescent="0.2">
      <c r="A39" s="466"/>
      <c r="B39" s="482" t="s">
        <v>482</v>
      </c>
      <c r="C39" s="513">
        <v>3.96</v>
      </c>
      <c r="D39" s="512" t="s">
        <v>45</v>
      </c>
      <c r="E39" s="512">
        <v>0.09</v>
      </c>
      <c r="F39" s="512" t="s">
        <v>46</v>
      </c>
      <c r="G39" s="503">
        <f t="shared" si="0"/>
        <v>0.36</v>
      </c>
      <c r="I39" s="162"/>
    </row>
    <row r="40" spans="1:13" s="21" customFormat="1" ht="14.25" customHeight="1" x14ac:dyDescent="0.2">
      <c r="A40" s="466"/>
      <c r="B40" s="482" t="s">
        <v>280</v>
      </c>
      <c r="C40" s="513">
        <v>53.41</v>
      </c>
      <c r="D40" s="512" t="s">
        <v>45</v>
      </c>
      <c r="E40" s="512">
        <v>0.09</v>
      </c>
      <c r="F40" s="512" t="s">
        <v>46</v>
      </c>
      <c r="G40" s="503">
        <f t="shared" si="0"/>
        <v>4.8099999999999996</v>
      </c>
      <c r="I40" s="162"/>
    </row>
    <row r="41" spans="1:13" s="21" customFormat="1" x14ac:dyDescent="0.2">
      <c r="A41" s="466"/>
      <c r="B41" s="463"/>
      <c r="C41" s="463"/>
      <c r="D41" s="463"/>
      <c r="E41" s="463"/>
      <c r="F41" s="463"/>
      <c r="G41" s="463"/>
      <c r="H41" s="463"/>
      <c r="I41" s="463"/>
      <c r="J41" s="463"/>
      <c r="K41" s="199"/>
      <c r="M41" s="162"/>
    </row>
    <row r="42" spans="1:13" s="21" customFormat="1" x14ac:dyDescent="0.2">
      <c r="A42" s="466"/>
      <c r="B42" s="249" t="s">
        <v>47</v>
      </c>
      <c r="C42" s="514">
        <f>ROUND(SUM(G16:G40),2)</f>
        <v>39.590000000000003</v>
      </c>
      <c r="D42" s="408" t="s">
        <v>497</v>
      </c>
      <c r="E42" s="463"/>
      <c r="F42" s="463"/>
      <c r="G42" s="463"/>
      <c r="H42" s="463"/>
      <c r="I42" s="463"/>
      <c r="J42" s="463"/>
      <c r="K42" s="199"/>
      <c r="M42" s="162"/>
    </row>
    <row r="43" spans="1:13" s="509" customFormat="1" x14ac:dyDescent="0.2">
      <c r="A43" s="506"/>
      <c r="B43" s="495"/>
      <c r="C43" s="495"/>
      <c r="D43" s="495"/>
      <c r="E43" s="507"/>
      <c r="F43" s="507"/>
      <c r="G43" s="507"/>
      <c r="H43" s="507"/>
      <c r="I43" s="507"/>
      <c r="J43" s="507"/>
      <c r="K43" s="508"/>
      <c r="M43" s="510"/>
    </row>
    <row r="44" spans="1:13" x14ac:dyDescent="0.2">
      <c r="A44" s="388" t="str">
        <f>ORÇ!A137</f>
        <v>10.1.2</v>
      </c>
      <c r="B44" s="1711" t="str">
        <f>ORÇ!D137</f>
        <v>LASTRO DE CONCRETO MAGRO, APLICADO EM PISOS, LAJES SOBRE SOLO OU RADIERS, ESPESSURA DE 3 CM. AF_07/2016</v>
      </c>
      <c r="C44" s="1711"/>
      <c r="D44" s="1711"/>
      <c r="E44" s="1711"/>
      <c r="F44" s="1711"/>
      <c r="G44" s="1711"/>
      <c r="H44" s="1711"/>
      <c r="I44" s="1711"/>
      <c r="J44" s="1711"/>
      <c r="K44" s="199"/>
      <c r="M44" s="162"/>
    </row>
    <row r="45" spans="1:13" x14ac:dyDescent="0.2">
      <c r="A45" s="388"/>
      <c r="B45" s="387"/>
      <c r="C45" s="387"/>
      <c r="D45" s="387"/>
      <c r="E45" s="387"/>
      <c r="F45" s="387"/>
      <c r="G45" s="387"/>
      <c r="H45" s="387"/>
      <c r="I45" s="387"/>
      <c r="J45" s="387"/>
      <c r="K45" s="199"/>
      <c r="M45" s="162"/>
    </row>
    <row r="46" spans="1:13" ht="17.25" customHeight="1" x14ac:dyDescent="0.2">
      <c r="A46" s="388"/>
      <c r="B46" s="391" t="s">
        <v>459</v>
      </c>
      <c r="C46" s="391" t="s">
        <v>496</v>
      </c>
      <c r="D46" s="387"/>
      <c r="E46" s="387"/>
      <c r="F46" s="387"/>
      <c r="G46" s="199"/>
      <c r="I46" s="162"/>
    </row>
    <row r="47" spans="1:13" x14ac:dyDescent="0.2">
      <c r="A47" s="388"/>
      <c r="B47" s="393" t="s">
        <v>461</v>
      </c>
      <c r="C47" s="394">
        <f>C16</f>
        <v>23.25</v>
      </c>
      <c r="D47" s="387"/>
      <c r="E47" s="387"/>
      <c r="F47" s="387"/>
      <c r="G47" s="199"/>
      <c r="I47" s="162"/>
    </row>
    <row r="48" spans="1:13" x14ac:dyDescent="0.2">
      <c r="A48" s="388"/>
      <c r="B48" s="393" t="s">
        <v>462</v>
      </c>
      <c r="C48" s="394">
        <f t="shared" ref="C48:C71" si="1">C17</f>
        <v>7.5</v>
      </c>
      <c r="D48" s="387"/>
      <c r="E48" s="387"/>
      <c r="F48" s="387"/>
      <c r="G48" s="199"/>
      <c r="I48" s="162"/>
    </row>
    <row r="49" spans="1:9" x14ac:dyDescent="0.2">
      <c r="A49" s="388"/>
      <c r="B49" s="393" t="s">
        <v>505</v>
      </c>
      <c r="C49" s="394">
        <f t="shared" si="1"/>
        <v>3.42</v>
      </c>
      <c r="D49" s="387"/>
      <c r="E49" s="387"/>
      <c r="F49" s="387"/>
      <c r="G49" s="199"/>
      <c r="I49" s="162"/>
    </row>
    <row r="50" spans="1:9" x14ac:dyDescent="0.2">
      <c r="A50" s="388"/>
      <c r="B50" s="393" t="s">
        <v>506</v>
      </c>
      <c r="C50" s="394">
        <f t="shared" si="1"/>
        <v>3.42</v>
      </c>
      <c r="D50" s="387"/>
      <c r="E50" s="387"/>
      <c r="F50" s="387"/>
      <c r="G50" s="199"/>
      <c r="I50" s="162"/>
    </row>
    <row r="51" spans="1:9" x14ac:dyDescent="0.2">
      <c r="A51" s="388"/>
      <c r="B51" s="393" t="s">
        <v>211</v>
      </c>
      <c r="C51" s="394">
        <f t="shared" si="1"/>
        <v>9.0299999999999994</v>
      </c>
      <c r="D51" s="387"/>
      <c r="E51" s="387"/>
      <c r="F51" s="387"/>
      <c r="G51" s="199"/>
      <c r="I51" s="162"/>
    </row>
    <row r="52" spans="1:9" x14ac:dyDescent="0.2">
      <c r="A52" s="388"/>
      <c r="B52" s="396" t="s">
        <v>463</v>
      </c>
      <c r="C52" s="394">
        <f>C21</f>
        <v>2.6</v>
      </c>
      <c r="D52" s="387"/>
      <c r="E52" s="387"/>
      <c r="F52" s="387"/>
      <c r="G52" s="199"/>
      <c r="I52" s="162"/>
    </row>
    <row r="53" spans="1:9" x14ac:dyDescent="0.2">
      <c r="A53" s="388"/>
      <c r="B53" s="393" t="s">
        <v>466</v>
      </c>
      <c r="C53" s="394">
        <f t="shared" si="1"/>
        <v>10</v>
      </c>
      <c r="D53" s="387"/>
      <c r="E53" s="387"/>
      <c r="F53" s="387"/>
      <c r="G53" s="199"/>
      <c r="I53" s="162"/>
    </row>
    <row r="54" spans="1:9" ht="15.75" customHeight="1" x14ac:dyDescent="0.2">
      <c r="A54" s="388"/>
      <c r="B54" s="482" t="s">
        <v>525</v>
      </c>
      <c r="C54" s="394">
        <f t="shared" si="1"/>
        <v>42.76</v>
      </c>
      <c r="D54" s="387"/>
      <c r="E54" s="387"/>
      <c r="F54" s="387"/>
      <c r="G54" s="199"/>
      <c r="I54" s="162"/>
    </row>
    <row r="55" spans="1:9" x14ac:dyDescent="0.2">
      <c r="A55" s="388"/>
      <c r="B55" s="393" t="s">
        <v>478</v>
      </c>
      <c r="C55" s="394">
        <f t="shared" si="1"/>
        <v>11.54</v>
      </c>
      <c r="D55" s="387"/>
      <c r="E55" s="387"/>
      <c r="F55" s="387"/>
      <c r="G55" s="199"/>
      <c r="I55" s="162"/>
    </row>
    <row r="56" spans="1:9" x14ac:dyDescent="0.2">
      <c r="A56" s="388"/>
      <c r="B56" s="393" t="s">
        <v>465</v>
      </c>
      <c r="C56" s="394">
        <f t="shared" si="1"/>
        <v>9.32</v>
      </c>
      <c r="D56" s="387"/>
      <c r="E56" s="387"/>
      <c r="F56" s="387"/>
      <c r="G56" s="199"/>
      <c r="I56" s="162"/>
    </row>
    <row r="57" spans="1:9" x14ac:dyDescent="0.2">
      <c r="A57" s="388"/>
      <c r="B57" s="393" t="s">
        <v>504</v>
      </c>
      <c r="C57" s="394">
        <f t="shared" si="1"/>
        <v>11.42</v>
      </c>
      <c r="D57" s="387"/>
      <c r="E57" s="387"/>
      <c r="F57" s="387"/>
      <c r="G57" s="199"/>
      <c r="I57" s="162"/>
    </row>
    <row r="58" spans="1:9" x14ac:dyDescent="0.2">
      <c r="A58" s="388"/>
      <c r="B58" s="482" t="s">
        <v>602</v>
      </c>
      <c r="C58" s="394">
        <f t="shared" si="1"/>
        <v>4.62</v>
      </c>
      <c r="D58" s="387"/>
      <c r="E58" s="387"/>
      <c r="F58" s="387"/>
      <c r="G58" s="199"/>
      <c r="I58" s="162"/>
    </row>
    <row r="59" spans="1:9" x14ac:dyDescent="0.2">
      <c r="A59" s="388"/>
      <c r="B59" s="482" t="s">
        <v>507</v>
      </c>
      <c r="C59" s="394">
        <f t="shared" si="1"/>
        <v>12</v>
      </c>
      <c r="D59" s="387"/>
      <c r="E59" s="387"/>
      <c r="F59" s="387"/>
      <c r="G59" s="199"/>
      <c r="I59" s="162"/>
    </row>
    <row r="60" spans="1:9" x14ac:dyDescent="0.2">
      <c r="A60" s="388"/>
      <c r="B60" s="393" t="s">
        <v>464</v>
      </c>
      <c r="C60" s="394">
        <f t="shared" si="1"/>
        <v>52.58</v>
      </c>
      <c r="D60" s="387"/>
      <c r="E60" s="387"/>
      <c r="F60" s="387"/>
      <c r="G60" s="199"/>
      <c r="I60" s="162"/>
    </row>
    <row r="61" spans="1:9" x14ac:dyDescent="0.2">
      <c r="A61" s="388"/>
      <c r="B61" s="482" t="s">
        <v>601</v>
      </c>
      <c r="C61" s="394">
        <f t="shared" si="1"/>
        <v>4.37</v>
      </c>
      <c r="D61" s="387"/>
      <c r="E61" s="387"/>
      <c r="F61" s="387"/>
      <c r="G61" s="199"/>
      <c r="I61" s="162"/>
    </row>
    <row r="62" spans="1:9" x14ac:dyDescent="0.2">
      <c r="A62" s="388"/>
      <c r="B62" s="482" t="s">
        <v>600</v>
      </c>
      <c r="C62" s="394">
        <f t="shared" si="1"/>
        <v>4.37</v>
      </c>
      <c r="D62" s="387"/>
      <c r="E62" s="387"/>
      <c r="F62" s="387"/>
      <c r="G62" s="199"/>
      <c r="I62" s="162"/>
    </row>
    <row r="63" spans="1:9" x14ac:dyDescent="0.2">
      <c r="A63" s="388"/>
      <c r="B63" s="482" t="s">
        <v>508</v>
      </c>
      <c r="C63" s="394">
        <f t="shared" si="1"/>
        <v>12.5</v>
      </c>
      <c r="D63" s="387"/>
      <c r="E63" s="387"/>
      <c r="F63" s="387"/>
      <c r="G63" s="199"/>
      <c r="I63" s="162"/>
    </row>
    <row r="64" spans="1:9" x14ac:dyDescent="0.2">
      <c r="A64" s="388"/>
      <c r="B64" s="396" t="s">
        <v>509</v>
      </c>
      <c r="C64" s="394">
        <f t="shared" si="1"/>
        <v>12.5</v>
      </c>
      <c r="D64" s="387"/>
      <c r="E64" s="387"/>
      <c r="F64" s="387"/>
      <c r="G64" s="199"/>
      <c r="I64" s="162"/>
    </row>
    <row r="65" spans="1:13" x14ac:dyDescent="0.2">
      <c r="A65" s="466"/>
      <c r="B65" s="482" t="s">
        <v>526</v>
      </c>
      <c r="C65" s="394">
        <f t="shared" si="1"/>
        <v>40.75</v>
      </c>
      <c r="D65" s="463"/>
      <c r="E65" s="463"/>
      <c r="F65" s="463"/>
      <c r="G65" s="199"/>
      <c r="I65" s="162"/>
    </row>
    <row r="66" spans="1:13" x14ac:dyDescent="0.2">
      <c r="A66" s="388"/>
      <c r="B66" s="482" t="s">
        <v>1860</v>
      </c>
      <c r="C66" s="394">
        <f t="shared" si="1"/>
        <v>82.94</v>
      </c>
      <c r="D66" s="387"/>
      <c r="E66" s="387"/>
      <c r="F66" s="387"/>
      <c r="G66" s="199"/>
      <c r="I66" s="162"/>
    </row>
    <row r="67" spans="1:13" x14ac:dyDescent="0.2">
      <c r="A67" s="388"/>
      <c r="B67" s="393" t="s">
        <v>480</v>
      </c>
      <c r="C67" s="394">
        <f t="shared" si="1"/>
        <v>3.96</v>
      </c>
      <c r="D67" s="387"/>
      <c r="E67" s="387"/>
      <c r="F67" s="387"/>
      <c r="G67" s="199"/>
      <c r="I67" s="162"/>
    </row>
    <row r="68" spans="1:13" x14ac:dyDescent="0.2">
      <c r="A68" s="388"/>
      <c r="B68" s="393" t="s">
        <v>481</v>
      </c>
      <c r="C68" s="394">
        <f t="shared" si="1"/>
        <v>4.7699999999999996</v>
      </c>
      <c r="D68" s="387"/>
      <c r="E68" s="387"/>
      <c r="F68" s="387"/>
      <c r="G68" s="199"/>
      <c r="I68" s="162"/>
    </row>
    <row r="69" spans="1:13" x14ac:dyDescent="0.2">
      <c r="A69" s="390"/>
      <c r="B69" s="464" t="s">
        <v>530</v>
      </c>
      <c r="C69" s="394">
        <f t="shared" si="1"/>
        <v>12.62</v>
      </c>
      <c r="D69" s="389"/>
      <c r="E69" s="389"/>
      <c r="F69" s="389"/>
      <c r="G69" s="199"/>
      <c r="I69" s="162"/>
    </row>
    <row r="70" spans="1:13" x14ac:dyDescent="0.2">
      <c r="A70" s="388"/>
      <c r="B70" s="396" t="s">
        <v>482</v>
      </c>
      <c r="C70" s="394">
        <f t="shared" si="1"/>
        <v>3.96</v>
      </c>
      <c r="D70" s="387"/>
      <c r="E70" s="387"/>
      <c r="F70" s="387"/>
      <c r="G70" s="199"/>
      <c r="I70" s="162"/>
    </row>
    <row r="71" spans="1:13" ht="14.25" customHeight="1" x14ac:dyDescent="0.2">
      <c r="A71" s="388"/>
      <c r="B71" s="396" t="s">
        <v>280</v>
      </c>
      <c r="C71" s="394">
        <f t="shared" si="1"/>
        <v>53.41</v>
      </c>
      <c r="D71" s="387"/>
      <c r="E71" s="387"/>
      <c r="F71" s="387"/>
      <c r="G71" s="199"/>
      <c r="I71" s="162"/>
    </row>
    <row r="72" spans="1:13" x14ac:dyDescent="0.2">
      <c r="A72" s="388"/>
      <c r="B72" s="387"/>
      <c r="C72" s="387"/>
      <c r="D72" s="387"/>
      <c r="E72" s="387"/>
      <c r="F72" s="387"/>
      <c r="G72" s="387"/>
      <c r="H72" s="387"/>
      <c r="I72" s="387"/>
      <c r="J72" s="387"/>
      <c r="K72" s="199"/>
      <c r="M72" s="162"/>
    </row>
    <row r="73" spans="1:13" x14ac:dyDescent="0.2">
      <c r="A73" s="388"/>
      <c r="B73" s="249" t="s">
        <v>47</v>
      </c>
      <c r="C73" s="71">
        <f>ROUND(SUM(C47:C71),2)</f>
        <v>439.61</v>
      </c>
      <c r="D73" s="72" t="s">
        <v>4</v>
      </c>
      <c r="E73" s="387"/>
      <c r="F73" s="387"/>
      <c r="G73" s="387"/>
      <c r="H73" s="387"/>
      <c r="I73" s="387"/>
      <c r="J73" s="387"/>
      <c r="K73" s="199"/>
      <c r="M73" s="162"/>
    </row>
    <row r="74" spans="1:13" s="307" customFormat="1" x14ac:dyDescent="0.2">
      <c r="A74" s="397"/>
      <c r="B74" s="368"/>
      <c r="C74" s="398"/>
      <c r="D74" s="399"/>
      <c r="E74" s="400"/>
      <c r="F74" s="400"/>
      <c r="G74" s="400"/>
      <c r="H74" s="400"/>
      <c r="I74" s="400"/>
      <c r="J74" s="400"/>
      <c r="K74" s="401"/>
      <c r="M74" s="402"/>
    </row>
    <row r="75" spans="1:13" ht="27.75" customHeight="1" x14ac:dyDescent="0.2">
      <c r="A75" s="341" t="str">
        <f>ORÇ!A138</f>
        <v>10.1.3</v>
      </c>
      <c r="B75" s="1711" t="str">
        <f>ORÇ!D138</f>
        <v>CONTRAPISO EM ARGAMASSA TRAÇO 1:4 (CIMENTO E AREIA), PREPARO MECÂNICO COM BETONEIRA 400 L, APLICADO EM ÁREAS SECAS SOBRE LAJE, ADERIDO, ACABAMENTO NÃO REFORÇADO, ESPESSURA 3CM. AF_07/2021</v>
      </c>
      <c r="C75" s="1711"/>
      <c r="D75" s="1711"/>
      <c r="E75" s="1711"/>
      <c r="F75" s="1711"/>
      <c r="G75" s="1711"/>
      <c r="H75" s="1711"/>
      <c r="I75" s="1711"/>
      <c r="J75" s="1711"/>
      <c r="K75" s="199"/>
      <c r="M75" s="162"/>
    </row>
    <row r="76" spans="1:13" x14ac:dyDescent="0.2">
      <c r="A76" s="355"/>
      <c r="B76" s="354"/>
      <c r="C76" s="354"/>
      <c r="D76" s="354"/>
      <c r="E76" s="354"/>
      <c r="F76" s="354"/>
      <c r="G76" s="354"/>
      <c r="H76" s="354"/>
      <c r="I76" s="354"/>
      <c r="J76" s="354"/>
      <c r="K76" s="199"/>
      <c r="M76" s="162"/>
    </row>
    <row r="77" spans="1:13" ht="14.25" customHeight="1" x14ac:dyDescent="0.2">
      <c r="A77" s="341"/>
      <c r="B77" s="1823" t="s">
        <v>635</v>
      </c>
      <c r="C77" s="1823"/>
      <c r="D77" s="1823"/>
      <c r="E77" s="311"/>
      <c r="F77" s="311"/>
      <c r="G77" s="311"/>
      <c r="H77" s="311"/>
      <c r="I77" s="311"/>
      <c r="J77" s="311"/>
      <c r="K77" s="199"/>
      <c r="M77" s="162"/>
    </row>
    <row r="78" spans="1:13" x14ac:dyDescent="0.2">
      <c r="A78" s="355"/>
      <c r="B78" s="249" t="s">
        <v>47</v>
      </c>
      <c r="C78" s="71">
        <f>C73</f>
        <v>439.61</v>
      </c>
      <c r="D78" s="72" t="s">
        <v>4</v>
      </c>
      <c r="E78" s="354"/>
      <c r="F78" s="354"/>
      <c r="G78" s="354"/>
      <c r="H78" s="354"/>
      <c r="I78" s="354"/>
      <c r="J78" s="354"/>
      <c r="K78" s="199"/>
      <c r="M78" s="162"/>
    </row>
    <row r="79" spans="1:13" x14ac:dyDescent="0.2">
      <c r="A79" s="355"/>
      <c r="B79" s="354"/>
      <c r="C79" s="354"/>
      <c r="D79" s="354"/>
      <c r="E79" s="354"/>
      <c r="F79" s="354"/>
      <c r="G79" s="354"/>
      <c r="H79" s="354"/>
      <c r="I79" s="354"/>
      <c r="J79" s="354"/>
      <c r="K79" s="199"/>
      <c r="M79" s="162"/>
    </row>
    <row r="80" spans="1:13" s="139" customFormat="1" ht="15" customHeight="1" x14ac:dyDescent="0.2">
      <c r="A80" s="1814" t="str">
        <f>ORÇ!A139</f>
        <v>10.1.4</v>
      </c>
      <c r="B80" s="1711" t="str">
        <f>ORÇ!D139</f>
        <v>REVESTIMENTO CERÂMICO PARA PISO COM PLACAS TIPO ESMALTADA EXTRA DE DIMENSÕES 35X35 CM APLICADA EM AMBIENTES DE ÁREA ENTRE 5 M2 E 10 M2. AF_06/2014</v>
      </c>
      <c r="C80" s="1711"/>
      <c r="D80" s="1711"/>
      <c r="E80" s="1711"/>
      <c r="F80" s="1711"/>
      <c r="G80" s="1711"/>
      <c r="H80" s="1711"/>
      <c r="I80" s="1711"/>
      <c r="J80" s="1711"/>
      <c r="K80" s="406"/>
      <c r="L80" s="882"/>
    </row>
    <row r="81" spans="1:12" s="139" customFormat="1" ht="15" customHeight="1" x14ac:dyDescent="0.2">
      <c r="A81" s="1814"/>
      <c r="B81" s="1711"/>
      <c r="C81" s="1711"/>
      <c r="D81" s="1711"/>
      <c r="E81" s="1711"/>
      <c r="F81" s="1711"/>
      <c r="G81" s="1711"/>
      <c r="H81" s="1711"/>
      <c r="I81" s="1711"/>
      <c r="J81" s="1711"/>
      <c r="K81" s="406"/>
      <c r="L81" s="882"/>
    </row>
    <row r="82" spans="1:12" x14ac:dyDescent="0.2">
      <c r="A82" s="341"/>
      <c r="B82" s="199"/>
      <c r="C82" s="199"/>
      <c r="D82" s="199"/>
      <c r="E82" s="199"/>
      <c r="F82" s="199"/>
      <c r="G82" s="199"/>
      <c r="H82" s="199"/>
      <c r="I82" s="199"/>
      <c r="J82" s="199"/>
      <c r="K82" s="199"/>
      <c r="L82" s="300"/>
    </row>
    <row r="83" spans="1:12" x14ac:dyDescent="0.2">
      <c r="A83" s="1038"/>
      <c r="B83" s="199"/>
      <c r="C83" s="199"/>
      <c r="D83" s="199"/>
      <c r="E83" s="199"/>
      <c r="F83" s="199"/>
      <c r="G83" s="199"/>
      <c r="H83" s="199"/>
      <c r="I83" s="199"/>
      <c r="J83" s="199"/>
      <c r="K83" s="199"/>
      <c r="L83" s="1035"/>
    </row>
    <row r="84" spans="1:12" ht="18" customHeight="1" x14ac:dyDescent="0.2">
      <c r="A84" s="466"/>
      <c r="B84" s="391" t="s">
        <v>459</v>
      </c>
      <c r="C84" s="391" t="s">
        <v>496</v>
      </c>
      <c r="D84" s="463"/>
      <c r="E84" s="463"/>
      <c r="F84" s="463"/>
      <c r="G84" s="199"/>
      <c r="I84" s="162"/>
    </row>
    <row r="85" spans="1:12" ht="15" customHeight="1" x14ac:dyDescent="0.2">
      <c r="A85" s="1038"/>
      <c r="B85" s="1824" t="s">
        <v>619</v>
      </c>
      <c r="C85" s="1825"/>
      <c r="D85" s="1037"/>
      <c r="E85" s="1037"/>
      <c r="F85" s="1037"/>
      <c r="G85" s="199"/>
      <c r="I85" s="162"/>
    </row>
    <row r="86" spans="1:12" ht="15" customHeight="1" x14ac:dyDescent="0.2">
      <c r="A86" s="388"/>
      <c r="B86" s="515" t="str">
        <f>B47</f>
        <v>Pediatria</v>
      </c>
      <c r="C86" s="501">
        <f>C47</f>
        <v>23.25</v>
      </c>
      <c r="D86" s="387"/>
      <c r="E86" s="387"/>
      <c r="F86" s="387"/>
      <c r="G86" s="199"/>
      <c r="I86" s="162"/>
    </row>
    <row r="87" spans="1:12" ht="15" customHeight="1" x14ac:dyDescent="0.2">
      <c r="A87" s="466"/>
      <c r="B87" s="515" t="str">
        <f>B48</f>
        <v>Almoxarifado</v>
      </c>
      <c r="C87" s="501">
        <f>C48</f>
        <v>7.5</v>
      </c>
      <c r="D87" s="463"/>
      <c r="E87" s="463"/>
      <c r="F87" s="463"/>
      <c r="G87" s="199"/>
      <c r="I87" s="162"/>
    </row>
    <row r="88" spans="1:12" ht="15" customHeight="1" x14ac:dyDescent="0.2">
      <c r="A88" s="466"/>
      <c r="B88" s="515" t="str">
        <f t="shared" ref="B88:C91" si="2">B54</f>
        <v>Circulação 3</v>
      </c>
      <c r="C88" s="501">
        <f t="shared" si="2"/>
        <v>42.76</v>
      </c>
      <c r="D88" s="463"/>
      <c r="E88" s="463"/>
      <c r="F88" s="463"/>
      <c r="G88" s="199"/>
      <c r="I88" s="162"/>
    </row>
    <row r="89" spans="1:12" ht="15" customHeight="1" x14ac:dyDescent="0.2">
      <c r="A89" s="466"/>
      <c r="B89" s="515" t="str">
        <f t="shared" si="2"/>
        <v>Administração</v>
      </c>
      <c r="C89" s="501">
        <f t="shared" si="2"/>
        <v>11.54</v>
      </c>
      <c r="D89" s="463"/>
      <c r="E89" s="463"/>
      <c r="F89" s="463"/>
      <c r="G89" s="199"/>
      <c r="I89" s="162"/>
    </row>
    <row r="90" spans="1:12" ht="15" customHeight="1" x14ac:dyDescent="0.2">
      <c r="A90" s="466"/>
      <c r="B90" s="515" t="str">
        <f t="shared" si="2"/>
        <v>Estoque</v>
      </c>
      <c r="C90" s="501">
        <f t="shared" si="2"/>
        <v>9.32</v>
      </c>
      <c r="D90" s="463"/>
      <c r="E90" s="463"/>
      <c r="F90" s="463"/>
      <c r="G90" s="199"/>
      <c r="I90" s="162"/>
    </row>
    <row r="91" spans="1:12" ht="15" customHeight="1" x14ac:dyDescent="0.2">
      <c r="A91" s="466"/>
      <c r="B91" s="515" t="str">
        <f t="shared" si="2"/>
        <v>Hall</v>
      </c>
      <c r="C91" s="501">
        <f t="shared" si="2"/>
        <v>11.42</v>
      </c>
      <c r="D91" s="463"/>
      <c r="E91" s="463"/>
      <c r="F91" s="463"/>
      <c r="G91" s="199"/>
      <c r="I91" s="162"/>
    </row>
    <row r="92" spans="1:12" ht="15" customHeight="1" x14ac:dyDescent="0.2">
      <c r="A92" s="466"/>
      <c r="B92" s="515" t="str">
        <f>B59</f>
        <v>Consultório 03</v>
      </c>
      <c r="C92" s="501">
        <f>C59</f>
        <v>12</v>
      </c>
      <c r="D92" s="463"/>
      <c r="E92" s="463"/>
      <c r="F92" s="463"/>
      <c r="G92" s="199"/>
      <c r="I92" s="162"/>
    </row>
    <row r="93" spans="1:12" ht="15" customHeight="1" x14ac:dyDescent="0.2">
      <c r="A93" s="466"/>
      <c r="B93" s="515" t="str">
        <f>B60</f>
        <v>Mecanoterapia</v>
      </c>
      <c r="C93" s="501">
        <f>C60</f>
        <v>52.58</v>
      </c>
      <c r="D93" s="463"/>
      <c r="E93" s="463"/>
      <c r="F93" s="463"/>
      <c r="G93" s="199"/>
      <c r="I93" s="162"/>
    </row>
    <row r="94" spans="1:12" ht="15" customHeight="1" x14ac:dyDescent="0.2">
      <c r="A94" s="466"/>
      <c r="B94" s="515" t="str">
        <f t="shared" ref="B94:C97" si="3">B63</f>
        <v>Consultório 02</v>
      </c>
      <c r="C94" s="501">
        <f t="shared" si="3"/>
        <v>12.5</v>
      </c>
      <c r="D94" s="463"/>
      <c r="E94" s="463"/>
      <c r="F94" s="463"/>
      <c r="G94" s="199"/>
      <c r="I94" s="162"/>
    </row>
    <row r="95" spans="1:12" ht="15" customHeight="1" x14ac:dyDescent="0.2">
      <c r="A95" s="466"/>
      <c r="B95" s="515" t="str">
        <f t="shared" si="3"/>
        <v>Consultório 01</v>
      </c>
      <c r="C95" s="501">
        <f t="shared" si="3"/>
        <v>12.5</v>
      </c>
      <c r="D95" s="463"/>
      <c r="E95" s="463"/>
      <c r="F95" s="463"/>
      <c r="G95" s="199"/>
      <c r="I95" s="162"/>
    </row>
    <row r="96" spans="1:12" ht="18" customHeight="1" x14ac:dyDescent="0.2">
      <c r="A96" s="466"/>
      <c r="B96" s="515" t="str">
        <f t="shared" si="3"/>
        <v>Circulação 2</v>
      </c>
      <c r="C96" s="501">
        <f t="shared" si="3"/>
        <v>40.75</v>
      </c>
      <c r="D96" s="463"/>
      <c r="E96" s="463"/>
      <c r="F96" s="463"/>
      <c r="G96" s="199"/>
      <c r="I96" s="162"/>
    </row>
    <row r="97" spans="1:13" ht="15" customHeight="1" x14ac:dyDescent="0.2">
      <c r="A97" s="466"/>
      <c r="B97" s="515" t="str">
        <f t="shared" si="3"/>
        <v>Eletrotermoterap.</v>
      </c>
      <c r="C97" s="501">
        <f t="shared" si="3"/>
        <v>82.94</v>
      </c>
      <c r="D97" s="463"/>
      <c r="E97" s="463"/>
      <c r="F97" s="463"/>
      <c r="G97" s="199"/>
      <c r="I97" s="162"/>
    </row>
    <row r="98" spans="1:13" ht="19.5" customHeight="1" x14ac:dyDescent="0.2">
      <c r="A98" s="466"/>
      <c r="B98" s="515" t="str">
        <f>B69</f>
        <v>Circulação 1</v>
      </c>
      <c r="C98" s="501">
        <f>C69</f>
        <v>12.62</v>
      </c>
      <c r="D98" s="463"/>
      <c r="E98" s="463"/>
      <c r="F98" s="463"/>
      <c r="G98" s="199"/>
      <c r="I98" s="162"/>
    </row>
    <row r="99" spans="1:13" ht="19.5" customHeight="1" x14ac:dyDescent="0.2">
      <c r="A99" s="466"/>
      <c r="B99" s="515" t="str">
        <f>B71</f>
        <v>Recepção</v>
      </c>
      <c r="C99" s="501">
        <f>C71</f>
        <v>53.41</v>
      </c>
      <c r="D99" s="463"/>
      <c r="E99" s="463"/>
      <c r="F99" s="463"/>
      <c r="G99" s="199"/>
      <c r="I99" s="162"/>
    </row>
    <row r="100" spans="1:13" s="21" customFormat="1" ht="15.75" customHeight="1" x14ac:dyDescent="0.2">
      <c r="A100" s="682"/>
      <c r="B100" s="1824" t="s">
        <v>620</v>
      </c>
      <c r="C100" s="1825"/>
      <c r="D100" s="1039"/>
      <c r="E100" s="1039"/>
      <c r="F100" s="1039"/>
      <c r="G100" s="403"/>
      <c r="I100" s="162"/>
    </row>
    <row r="101" spans="1:13" ht="15" customHeight="1" x14ac:dyDescent="0.2">
      <c r="A101" s="466"/>
      <c r="B101" s="515" t="str">
        <f t="shared" ref="B101:C105" si="4">B49</f>
        <v>BHO Fem.</v>
      </c>
      <c r="C101" s="501">
        <f t="shared" si="4"/>
        <v>3.42</v>
      </c>
      <c r="D101" s="463"/>
      <c r="E101" s="463"/>
      <c r="F101" s="463"/>
      <c r="G101" s="199"/>
      <c r="I101" s="162"/>
    </row>
    <row r="102" spans="1:13" ht="15" customHeight="1" x14ac:dyDescent="0.2">
      <c r="A102" s="466"/>
      <c r="B102" s="515" t="str">
        <f t="shared" si="4"/>
        <v>BHO Masc.</v>
      </c>
      <c r="C102" s="501">
        <f t="shared" si="4"/>
        <v>3.42</v>
      </c>
      <c r="D102" s="463"/>
      <c r="E102" s="463"/>
      <c r="F102" s="463"/>
      <c r="G102" s="199"/>
      <c r="I102" s="162"/>
    </row>
    <row r="103" spans="1:13" ht="15" customHeight="1" x14ac:dyDescent="0.2">
      <c r="A103" s="466"/>
      <c r="B103" s="515" t="str">
        <f t="shared" si="4"/>
        <v>Copa</v>
      </c>
      <c r="C103" s="501">
        <f t="shared" si="4"/>
        <v>9.0299999999999994</v>
      </c>
      <c r="D103" s="463"/>
      <c r="E103" s="463"/>
      <c r="F103" s="463"/>
      <c r="G103" s="199"/>
      <c r="I103" s="162"/>
    </row>
    <row r="104" spans="1:13" ht="15" customHeight="1" x14ac:dyDescent="0.2">
      <c r="A104" s="466"/>
      <c r="B104" s="515" t="str">
        <f t="shared" si="4"/>
        <v>DML</v>
      </c>
      <c r="C104" s="501">
        <f t="shared" si="4"/>
        <v>2.6</v>
      </c>
      <c r="D104" s="463"/>
      <c r="E104" s="463"/>
      <c r="F104" s="463"/>
      <c r="G104" s="199"/>
      <c r="I104" s="162"/>
    </row>
    <row r="105" spans="1:13" ht="15" customHeight="1" x14ac:dyDescent="0.2">
      <c r="A105" s="466"/>
      <c r="B105" s="515" t="str">
        <f t="shared" si="4"/>
        <v>Saúna</v>
      </c>
      <c r="C105" s="501">
        <f t="shared" si="4"/>
        <v>10</v>
      </c>
      <c r="D105" s="463"/>
      <c r="E105" s="463"/>
      <c r="F105" s="463"/>
      <c r="G105" s="199"/>
      <c r="I105" s="162"/>
    </row>
    <row r="106" spans="1:13" ht="15" customHeight="1" x14ac:dyDescent="0.2">
      <c r="A106" s="466"/>
      <c r="B106" s="515" t="str">
        <f>B58</f>
        <v>WC PCD 3</v>
      </c>
      <c r="C106" s="501">
        <f>C58</f>
        <v>4.62</v>
      </c>
      <c r="D106" s="463"/>
      <c r="E106" s="463"/>
      <c r="F106" s="463"/>
      <c r="G106" s="199"/>
      <c r="I106" s="162"/>
    </row>
    <row r="107" spans="1:13" ht="15" customHeight="1" x14ac:dyDescent="0.2">
      <c r="A107" s="466"/>
      <c r="B107" s="515" t="str">
        <f>B61</f>
        <v>WC PCD 2</v>
      </c>
      <c r="C107" s="501">
        <f>C61</f>
        <v>4.37</v>
      </c>
      <c r="D107" s="463"/>
      <c r="E107" s="463"/>
      <c r="F107" s="463"/>
      <c r="G107" s="199"/>
      <c r="I107" s="162"/>
    </row>
    <row r="108" spans="1:13" ht="15" customHeight="1" x14ac:dyDescent="0.2">
      <c r="A108" s="466"/>
      <c r="B108" s="515" t="str">
        <f>B62</f>
        <v>WC PCD 1</v>
      </c>
      <c r="C108" s="501">
        <f>C62</f>
        <v>4.37</v>
      </c>
      <c r="D108" s="463"/>
      <c r="E108" s="463"/>
      <c r="F108" s="463"/>
      <c r="G108" s="199"/>
      <c r="I108" s="162"/>
    </row>
    <row r="109" spans="1:13" ht="15" customHeight="1" x14ac:dyDescent="0.2">
      <c r="A109" s="466"/>
      <c r="B109" s="515" t="str">
        <f>B67</f>
        <v>WC PCD Fem.</v>
      </c>
      <c r="C109" s="501">
        <f>C67</f>
        <v>3.96</v>
      </c>
      <c r="D109" s="463"/>
      <c r="E109" s="463"/>
      <c r="F109" s="463"/>
      <c r="G109" s="199"/>
      <c r="I109" s="162"/>
    </row>
    <row r="110" spans="1:13" ht="15" customHeight="1" x14ac:dyDescent="0.2">
      <c r="A110" s="466"/>
      <c r="B110" s="515" t="str">
        <f>B68</f>
        <v>Fraldário</v>
      </c>
      <c r="C110" s="501">
        <f>C68</f>
        <v>4.7699999999999996</v>
      </c>
      <c r="D110" s="463"/>
      <c r="E110" s="463"/>
      <c r="F110" s="463"/>
      <c r="G110" s="199"/>
      <c r="I110" s="162"/>
    </row>
    <row r="111" spans="1:13" ht="15" customHeight="1" x14ac:dyDescent="0.2">
      <c r="A111" s="466"/>
      <c r="B111" s="515" t="str">
        <f>B70</f>
        <v>WC PCD Masc.</v>
      </c>
      <c r="C111" s="501">
        <f>C70</f>
        <v>3.96</v>
      </c>
      <c r="D111" s="463"/>
      <c r="E111" s="463"/>
      <c r="F111" s="463"/>
      <c r="G111" s="199"/>
      <c r="I111" s="162"/>
    </row>
    <row r="112" spans="1:13" x14ac:dyDescent="0.2">
      <c r="A112" s="388"/>
      <c r="B112" s="387"/>
      <c r="C112" s="387"/>
      <c r="D112" s="387"/>
      <c r="E112" s="387"/>
      <c r="F112" s="387"/>
      <c r="G112" s="387"/>
      <c r="H112" s="387"/>
      <c r="I112" s="387"/>
      <c r="J112" s="387"/>
      <c r="K112" s="199"/>
      <c r="M112" s="162"/>
    </row>
    <row r="113" spans="1:13" x14ac:dyDescent="0.2">
      <c r="A113" s="388"/>
      <c r="B113" s="249" t="s">
        <v>47</v>
      </c>
      <c r="C113" s="71">
        <f>ROUND(SUM(C84:C111),2)</f>
        <v>439.61</v>
      </c>
      <c r="D113" s="72" t="s">
        <v>4</v>
      </c>
      <c r="E113" s="387"/>
      <c r="F113" s="387"/>
      <c r="G113" s="387"/>
      <c r="H113" s="387"/>
      <c r="I113" s="387"/>
      <c r="J113" s="387"/>
      <c r="K113" s="199"/>
      <c r="M113" s="162"/>
    </row>
    <row r="114" spans="1:13" ht="15" customHeight="1" x14ac:dyDescent="0.2">
      <c r="A114" s="341"/>
      <c r="B114" s="199"/>
      <c r="C114" s="199"/>
      <c r="D114" s="199"/>
      <c r="E114" s="199"/>
      <c r="F114" s="199"/>
      <c r="G114" s="199"/>
      <c r="H114" s="199"/>
      <c r="I114" s="199"/>
      <c r="J114" s="199"/>
      <c r="K114" s="199"/>
      <c r="L114" s="300"/>
    </row>
    <row r="115" spans="1:13" ht="22.5" customHeight="1" x14ac:dyDescent="0.2">
      <c r="A115" s="341" t="str">
        <f>ORÇ!A140</f>
        <v>10.1.5</v>
      </c>
      <c r="B115" s="1711" t="str">
        <f>ORÇ!D140</f>
        <v>RODAPÉ CERÂMICO DE 7CM DE ALTURA COM PLACAS TIPO ESMALTADA COMERCIAL DE DIMENSÕES 35X35CM (PADRAO POPULAR). AF_06/2017</v>
      </c>
      <c r="C115" s="1711"/>
      <c r="D115" s="1711"/>
      <c r="E115" s="1711"/>
      <c r="F115" s="1711"/>
      <c r="G115" s="1711"/>
      <c r="H115" s="1711"/>
      <c r="I115" s="1711"/>
      <c r="J115" s="1711"/>
      <c r="K115" s="199"/>
      <c r="L115" s="145"/>
    </row>
    <row r="116" spans="1:13" x14ac:dyDescent="0.2">
      <c r="A116" s="388"/>
      <c r="B116" s="387"/>
      <c r="C116" s="387"/>
      <c r="D116" s="387"/>
      <c r="E116" s="387"/>
      <c r="F116" s="387"/>
      <c r="G116" s="387"/>
      <c r="H116" s="387"/>
      <c r="I116" s="387"/>
      <c r="J116" s="387"/>
      <c r="K116" s="199"/>
      <c r="L116" s="386"/>
    </row>
    <row r="117" spans="1:13" ht="14.25" customHeight="1" x14ac:dyDescent="0.2">
      <c r="A117" s="388"/>
      <c r="B117" s="233" t="s">
        <v>459</v>
      </c>
      <c r="C117" s="233" t="s">
        <v>313</v>
      </c>
      <c r="D117" s="387"/>
      <c r="E117" s="387"/>
      <c r="F117" s="387"/>
      <c r="G117" s="387"/>
      <c r="H117" s="387"/>
      <c r="I117" s="387"/>
      <c r="J117" s="387"/>
      <c r="K117" s="199"/>
      <c r="L117" s="386"/>
    </row>
    <row r="118" spans="1:13" x14ac:dyDescent="0.2">
      <c r="A118" s="388"/>
      <c r="B118" s="1774" t="str">
        <f>B47</f>
        <v>Pediatria</v>
      </c>
      <c r="C118" s="233">
        <v>5</v>
      </c>
      <c r="D118" s="387"/>
      <c r="E118" s="387"/>
      <c r="F118" s="387"/>
      <c r="G118" s="387"/>
      <c r="H118" s="387"/>
      <c r="I118" s="387"/>
      <c r="J118" s="387"/>
      <c r="K118" s="199"/>
      <c r="L118" s="386"/>
    </row>
    <row r="119" spans="1:13" x14ac:dyDescent="0.2">
      <c r="A119" s="466"/>
      <c r="B119" s="1775"/>
      <c r="C119" s="233">
        <v>5</v>
      </c>
      <c r="D119" s="463"/>
      <c r="E119" s="463"/>
      <c r="F119" s="463"/>
      <c r="G119" s="463"/>
      <c r="H119" s="463"/>
      <c r="I119" s="463"/>
      <c r="J119" s="463"/>
      <c r="K119" s="199"/>
      <c r="L119" s="461"/>
    </row>
    <row r="120" spans="1:13" x14ac:dyDescent="0.2">
      <c r="A120" s="466"/>
      <c r="B120" s="1775"/>
      <c r="C120" s="233">
        <v>4.6500000000000004</v>
      </c>
      <c r="D120" s="463"/>
      <c r="E120" s="463"/>
      <c r="F120" s="463"/>
      <c r="G120" s="463"/>
      <c r="H120" s="463"/>
      <c r="I120" s="463"/>
      <c r="J120" s="463"/>
      <c r="K120" s="199"/>
      <c r="L120" s="461"/>
    </row>
    <row r="121" spans="1:13" x14ac:dyDescent="0.2">
      <c r="A121" s="466"/>
      <c r="B121" s="1776"/>
      <c r="C121" s="233">
        <v>4.6500000000000004</v>
      </c>
      <c r="D121" s="463"/>
      <c r="E121" s="463"/>
      <c r="F121" s="463"/>
      <c r="G121" s="463"/>
      <c r="H121" s="463"/>
      <c r="I121" s="463"/>
      <c r="J121" s="463"/>
      <c r="K121" s="199"/>
      <c r="L121" s="461"/>
    </row>
    <row r="122" spans="1:13" x14ac:dyDescent="0.2">
      <c r="A122" s="388"/>
      <c r="B122" s="1774" t="str">
        <f>B48</f>
        <v>Almoxarifado</v>
      </c>
      <c r="C122" s="233">
        <v>3</v>
      </c>
      <c r="D122" s="387"/>
      <c r="E122" s="387"/>
      <c r="F122" s="387"/>
      <c r="G122" s="387"/>
      <c r="H122" s="387"/>
      <c r="I122" s="387"/>
      <c r="J122" s="387"/>
      <c r="K122" s="199"/>
      <c r="L122" s="386"/>
    </row>
    <row r="123" spans="1:13" x14ac:dyDescent="0.2">
      <c r="A123" s="466"/>
      <c r="B123" s="1775"/>
      <c r="C123" s="233">
        <v>3</v>
      </c>
      <c r="D123" s="463"/>
      <c r="E123" s="463"/>
      <c r="F123" s="463"/>
      <c r="G123" s="463"/>
      <c r="H123" s="463"/>
      <c r="I123" s="463"/>
      <c r="J123" s="463"/>
      <c r="K123" s="199"/>
      <c r="L123" s="461"/>
    </row>
    <row r="124" spans="1:13" x14ac:dyDescent="0.2">
      <c r="A124" s="466"/>
      <c r="B124" s="1775"/>
      <c r="C124" s="233">
        <v>2.5</v>
      </c>
      <c r="D124" s="463"/>
      <c r="E124" s="463"/>
      <c r="F124" s="463"/>
      <c r="G124" s="463"/>
      <c r="H124" s="463"/>
      <c r="I124" s="463"/>
      <c r="J124" s="463"/>
      <c r="K124" s="199"/>
      <c r="L124" s="461"/>
    </row>
    <row r="125" spans="1:13" x14ac:dyDescent="0.2">
      <c r="A125" s="466"/>
      <c r="B125" s="1776"/>
      <c r="C125" s="233">
        <v>2.5</v>
      </c>
      <c r="D125" s="463"/>
      <c r="E125" s="463"/>
      <c r="F125" s="463"/>
      <c r="G125" s="463"/>
      <c r="H125" s="463"/>
      <c r="I125" s="463"/>
      <c r="J125" s="463"/>
      <c r="K125" s="199"/>
      <c r="L125" s="461"/>
    </row>
    <row r="126" spans="1:13" x14ac:dyDescent="0.2">
      <c r="A126" s="466"/>
      <c r="B126" s="1774" t="str">
        <f>B54</f>
        <v>Circulação 3</v>
      </c>
      <c r="C126" s="233">
        <v>1.8</v>
      </c>
      <c r="D126" s="463"/>
      <c r="E126" s="463"/>
      <c r="F126" s="463"/>
      <c r="G126" s="463"/>
      <c r="H126" s="463"/>
      <c r="I126" s="463"/>
      <c r="J126" s="463"/>
      <c r="K126" s="199"/>
      <c r="L126" s="461"/>
    </row>
    <row r="127" spans="1:13" x14ac:dyDescent="0.2">
      <c r="A127" s="466"/>
      <c r="B127" s="1775"/>
      <c r="C127" s="233">
        <v>3.15</v>
      </c>
      <c r="D127" s="463"/>
      <c r="E127" s="463"/>
      <c r="F127" s="463"/>
      <c r="G127" s="463"/>
      <c r="H127" s="463"/>
      <c r="I127" s="463"/>
      <c r="J127" s="463"/>
      <c r="K127" s="199"/>
      <c r="L127" s="461"/>
    </row>
    <row r="128" spans="1:13" x14ac:dyDescent="0.2">
      <c r="A128" s="466"/>
      <c r="B128" s="1775"/>
      <c r="C128" s="233">
        <v>8.4499999999999993</v>
      </c>
      <c r="D128" s="463"/>
      <c r="E128" s="463"/>
      <c r="F128" s="463"/>
      <c r="G128" s="463"/>
      <c r="H128" s="463"/>
      <c r="I128" s="463"/>
      <c r="J128" s="463"/>
      <c r="K128" s="199"/>
      <c r="L128" s="461"/>
    </row>
    <row r="129" spans="1:12" x14ac:dyDescent="0.2">
      <c r="A129" s="466"/>
      <c r="B129" s="1775"/>
      <c r="C129" s="233">
        <v>4.5</v>
      </c>
      <c r="D129" s="463"/>
      <c r="E129" s="463"/>
      <c r="F129" s="463"/>
      <c r="G129" s="463"/>
      <c r="H129" s="463"/>
      <c r="I129" s="463"/>
      <c r="J129" s="463"/>
      <c r="K129" s="199"/>
      <c r="L129" s="461"/>
    </row>
    <row r="130" spans="1:12" x14ac:dyDescent="0.2">
      <c r="A130" s="466"/>
      <c r="B130" s="1775"/>
      <c r="C130" s="233">
        <v>5.2</v>
      </c>
      <c r="D130" s="463"/>
      <c r="E130" s="463"/>
      <c r="F130" s="463"/>
      <c r="G130" s="463"/>
      <c r="H130" s="463"/>
      <c r="I130" s="463"/>
      <c r="J130" s="463"/>
      <c r="K130" s="199"/>
      <c r="L130" s="461"/>
    </row>
    <row r="131" spans="1:12" x14ac:dyDescent="0.2">
      <c r="A131" s="466"/>
      <c r="B131" s="1776"/>
      <c r="C131" s="233">
        <v>3.8</v>
      </c>
      <c r="D131" s="463"/>
      <c r="E131" s="463"/>
      <c r="F131" s="463"/>
      <c r="G131" s="463"/>
      <c r="H131" s="463"/>
      <c r="I131" s="463"/>
      <c r="J131" s="463"/>
      <c r="K131" s="199"/>
      <c r="L131" s="461"/>
    </row>
    <row r="132" spans="1:12" x14ac:dyDescent="0.2">
      <c r="A132" s="466"/>
      <c r="B132" s="1774" t="str">
        <f>B55</f>
        <v>Administração</v>
      </c>
      <c r="C132" s="233">
        <v>4.05</v>
      </c>
      <c r="D132" s="463"/>
      <c r="E132" s="463"/>
      <c r="F132" s="463"/>
      <c r="G132" s="463"/>
      <c r="H132" s="463"/>
      <c r="I132" s="463"/>
      <c r="J132" s="463"/>
      <c r="K132" s="199"/>
      <c r="L132" s="461"/>
    </row>
    <row r="133" spans="1:12" x14ac:dyDescent="0.2">
      <c r="A133" s="466"/>
      <c r="B133" s="1775"/>
      <c r="C133" s="233">
        <v>4.05</v>
      </c>
      <c r="D133" s="463"/>
      <c r="E133" s="463"/>
      <c r="F133" s="463"/>
      <c r="G133" s="463"/>
      <c r="H133" s="463"/>
      <c r="I133" s="463"/>
      <c r="J133" s="463"/>
      <c r="K133" s="199"/>
      <c r="L133" s="461"/>
    </row>
    <row r="134" spans="1:12" x14ac:dyDescent="0.2">
      <c r="A134" s="466"/>
      <c r="B134" s="1775"/>
      <c r="C134" s="233">
        <v>2.85</v>
      </c>
      <c r="D134" s="463"/>
      <c r="E134" s="463"/>
      <c r="F134" s="463"/>
      <c r="G134" s="463"/>
      <c r="H134" s="463"/>
      <c r="I134" s="463"/>
      <c r="J134" s="463"/>
      <c r="K134" s="199"/>
      <c r="L134" s="461"/>
    </row>
    <row r="135" spans="1:12" x14ac:dyDescent="0.2">
      <c r="A135" s="466"/>
      <c r="B135" s="1776"/>
      <c r="C135" s="233">
        <v>2.85</v>
      </c>
      <c r="D135" s="463"/>
      <c r="E135" s="463"/>
      <c r="F135" s="463"/>
      <c r="G135" s="463"/>
      <c r="H135" s="463"/>
      <c r="I135" s="463"/>
      <c r="J135" s="463"/>
      <c r="K135" s="199"/>
      <c r="L135" s="461"/>
    </row>
    <row r="136" spans="1:12" x14ac:dyDescent="0.2">
      <c r="A136" s="466"/>
      <c r="B136" s="1774" t="str">
        <f>B56</f>
        <v>Estoque</v>
      </c>
      <c r="C136" s="233">
        <v>2.2999999999999998</v>
      </c>
      <c r="D136" s="463"/>
      <c r="E136" s="463"/>
      <c r="F136" s="463"/>
      <c r="G136" s="463"/>
      <c r="H136" s="463"/>
      <c r="I136" s="463"/>
      <c r="J136" s="463"/>
      <c r="K136" s="199"/>
      <c r="L136" s="461"/>
    </row>
    <row r="137" spans="1:12" x14ac:dyDescent="0.2">
      <c r="A137" s="466"/>
      <c r="B137" s="1775"/>
      <c r="C137" s="233">
        <v>2.2999999999999998</v>
      </c>
      <c r="D137" s="463"/>
      <c r="E137" s="463"/>
      <c r="F137" s="463"/>
      <c r="G137" s="463"/>
      <c r="H137" s="463"/>
      <c r="I137" s="463"/>
      <c r="J137" s="463"/>
      <c r="K137" s="199"/>
      <c r="L137" s="461"/>
    </row>
    <row r="138" spans="1:12" x14ac:dyDescent="0.2">
      <c r="A138" s="466"/>
      <c r="B138" s="1775"/>
      <c r="C138" s="233">
        <v>4.05</v>
      </c>
      <c r="D138" s="463"/>
      <c r="E138" s="463"/>
      <c r="F138" s="463"/>
      <c r="G138" s="463"/>
      <c r="H138" s="463"/>
      <c r="I138" s="463"/>
      <c r="J138" s="463"/>
      <c r="K138" s="199"/>
      <c r="L138" s="461"/>
    </row>
    <row r="139" spans="1:12" x14ac:dyDescent="0.2">
      <c r="A139" s="466"/>
      <c r="B139" s="1776"/>
      <c r="C139" s="233">
        <v>4.05</v>
      </c>
      <c r="D139" s="463"/>
      <c r="E139" s="463"/>
      <c r="F139" s="463"/>
      <c r="G139" s="463"/>
      <c r="H139" s="463"/>
      <c r="I139" s="463"/>
      <c r="J139" s="463"/>
      <c r="K139" s="199"/>
      <c r="L139" s="461"/>
    </row>
    <row r="140" spans="1:12" x14ac:dyDescent="0.2">
      <c r="A140" s="466"/>
      <c r="B140" s="1774" t="str">
        <f>B57</f>
        <v>Hall</v>
      </c>
      <c r="C140" s="233">
        <v>5.15</v>
      </c>
      <c r="D140" s="463"/>
      <c r="E140" s="463"/>
      <c r="F140" s="463"/>
      <c r="G140" s="463"/>
      <c r="H140" s="463"/>
      <c r="I140" s="463"/>
      <c r="J140" s="463"/>
      <c r="K140" s="199"/>
      <c r="L140" s="461"/>
    </row>
    <row r="141" spans="1:12" x14ac:dyDescent="0.2">
      <c r="A141" s="466"/>
      <c r="B141" s="1775"/>
      <c r="C141" s="233">
        <v>2.95</v>
      </c>
      <c r="D141" s="463"/>
      <c r="E141" s="463"/>
      <c r="F141" s="463"/>
      <c r="G141" s="463"/>
      <c r="H141" s="463"/>
      <c r="I141" s="463"/>
      <c r="J141" s="463"/>
      <c r="K141" s="199"/>
      <c r="L141" s="461"/>
    </row>
    <row r="142" spans="1:12" x14ac:dyDescent="0.2">
      <c r="A142" s="466"/>
      <c r="B142" s="1775"/>
      <c r="C142" s="233">
        <v>2.0499999999999998</v>
      </c>
      <c r="D142" s="463"/>
      <c r="E142" s="463"/>
      <c r="F142" s="463"/>
      <c r="G142" s="463"/>
      <c r="H142" s="463"/>
      <c r="I142" s="463"/>
      <c r="J142" s="463"/>
      <c r="K142" s="199"/>
      <c r="L142" s="461"/>
    </row>
    <row r="143" spans="1:12" x14ac:dyDescent="0.2">
      <c r="A143" s="466"/>
      <c r="B143" s="1776"/>
      <c r="C143" s="233">
        <v>1.8</v>
      </c>
      <c r="D143" s="463"/>
      <c r="E143" s="463"/>
      <c r="F143" s="463"/>
      <c r="G143" s="463"/>
      <c r="H143" s="463"/>
      <c r="I143" s="463"/>
      <c r="J143" s="463"/>
      <c r="K143" s="199"/>
      <c r="L143" s="461"/>
    </row>
    <row r="144" spans="1:12" x14ac:dyDescent="0.2">
      <c r="A144" s="466"/>
      <c r="B144" s="1774" t="str">
        <f>B59</f>
        <v>Consultório 03</v>
      </c>
      <c r="C144" s="233">
        <v>5</v>
      </c>
      <c r="D144" s="463"/>
      <c r="E144" s="463"/>
      <c r="F144" s="463"/>
      <c r="G144" s="463"/>
      <c r="H144" s="463"/>
      <c r="I144" s="463"/>
      <c r="J144" s="463"/>
      <c r="K144" s="199"/>
      <c r="L144" s="461"/>
    </row>
    <row r="145" spans="1:12" x14ac:dyDescent="0.2">
      <c r="A145" s="466"/>
      <c r="B145" s="1775"/>
      <c r="C145" s="233">
        <v>5</v>
      </c>
      <c r="D145" s="463"/>
      <c r="E145" s="463"/>
      <c r="F145" s="463"/>
      <c r="G145" s="463"/>
      <c r="H145" s="463"/>
      <c r="I145" s="463"/>
      <c r="J145" s="463"/>
      <c r="K145" s="199"/>
      <c r="L145" s="461"/>
    </row>
    <row r="146" spans="1:12" x14ac:dyDescent="0.2">
      <c r="A146" s="466"/>
      <c r="B146" s="1775"/>
      <c r="C146" s="233">
        <v>2.4</v>
      </c>
      <c r="D146" s="463"/>
      <c r="E146" s="463"/>
      <c r="F146" s="463"/>
      <c r="G146" s="463"/>
      <c r="H146" s="463"/>
      <c r="I146" s="463"/>
      <c r="J146" s="463"/>
      <c r="K146" s="199"/>
      <c r="L146" s="461"/>
    </row>
    <row r="147" spans="1:12" x14ac:dyDescent="0.2">
      <c r="A147" s="466"/>
      <c r="B147" s="1776"/>
      <c r="C147" s="233">
        <v>2.4</v>
      </c>
      <c r="D147" s="463"/>
      <c r="E147" s="463"/>
      <c r="F147" s="463"/>
      <c r="G147" s="463"/>
      <c r="H147" s="463"/>
      <c r="I147" s="463"/>
      <c r="J147" s="463"/>
      <c r="K147" s="199"/>
      <c r="L147" s="461"/>
    </row>
    <row r="148" spans="1:12" x14ac:dyDescent="0.2">
      <c r="A148" s="466"/>
      <c r="B148" s="1774" t="str">
        <f>B60</f>
        <v>Mecanoterapia</v>
      </c>
      <c r="C148" s="233">
        <v>8.5500000000000007</v>
      </c>
      <c r="D148" s="463"/>
      <c r="E148" s="463"/>
      <c r="F148" s="463"/>
      <c r="G148" s="463"/>
      <c r="H148" s="463"/>
      <c r="I148" s="463"/>
      <c r="J148" s="463"/>
      <c r="K148" s="199"/>
      <c r="L148" s="461"/>
    </row>
    <row r="149" spans="1:12" x14ac:dyDescent="0.2">
      <c r="A149" s="466"/>
      <c r="B149" s="1775"/>
      <c r="C149" s="233">
        <v>8.5500000000000007</v>
      </c>
      <c r="D149" s="463"/>
      <c r="E149" s="463"/>
      <c r="F149" s="463"/>
      <c r="G149" s="463"/>
      <c r="H149" s="463"/>
      <c r="I149" s="463"/>
      <c r="J149" s="463"/>
      <c r="K149" s="199"/>
      <c r="L149" s="461"/>
    </row>
    <row r="150" spans="1:12" x14ac:dyDescent="0.2">
      <c r="A150" s="466"/>
      <c r="B150" s="1775"/>
      <c r="C150" s="233">
        <v>6.15</v>
      </c>
      <c r="D150" s="463"/>
      <c r="E150" s="463"/>
      <c r="F150" s="463"/>
      <c r="G150" s="463"/>
      <c r="H150" s="463"/>
      <c r="I150" s="463"/>
      <c r="J150" s="463"/>
      <c r="K150" s="199"/>
      <c r="L150" s="461"/>
    </row>
    <row r="151" spans="1:12" x14ac:dyDescent="0.2">
      <c r="A151" s="466"/>
      <c r="B151" s="1776"/>
      <c r="C151" s="233">
        <v>6.15</v>
      </c>
      <c r="D151" s="463"/>
      <c r="E151" s="463"/>
      <c r="F151" s="463"/>
      <c r="G151" s="463"/>
      <c r="H151" s="463"/>
      <c r="I151" s="463"/>
      <c r="J151" s="463"/>
      <c r="K151" s="199"/>
      <c r="L151" s="461"/>
    </row>
    <row r="152" spans="1:12" x14ac:dyDescent="0.2">
      <c r="A152" s="466"/>
      <c r="B152" s="1774" t="str">
        <f>B63</f>
        <v>Consultório 02</v>
      </c>
      <c r="C152" s="233">
        <v>2.5</v>
      </c>
      <c r="D152" s="463"/>
      <c r="E152" s="463"/>
      <c r="F152" s="463"/>
      <c r="G152" s="463"/>
      <c r="H152" s="463"/>
      <c r="I152" s="463"/>
      <c r="J152" s="463"/>
      <c r="K152" s="199"/>
      <c r="L152" s="461"/>
    </row>
    <row r="153" spans="1:12" x14ac:dyDescent="0.2">
      <c r="A153" s="466"/>
      <c r="B153" s="1775"/>
      <c r="C153" s="233">
        <v>2.5</v>
      </c>
      <c r="D153" s="463"/>
      <c r="E153" s="463"/>
      <c r="F153" s="463"/>
      <c r="G153" s="463"/>
      <c r="H153" s="463"/>
      <c r="I153" s="463"/>
      <c r="J153" s="463"/>
      <c r="K153" s="199"/>
      <c r="L153" s="461"/>
    </row>
    <row r="154" spans="1:12" x14ac:dyDescent="0.2">
      <c r="A154" s="466"/>
      <c r="B154" s="1775"/>
      <c r="C154" s="233">
        <v>5</v>
      </c>
      <c r="D154" s="463"/>
      <c r="E154" s="463"/>
      <c r="F154" s="463"/>
      <c r="G154" s="463"/>
      <c r="H154" s="463"/>
      <c r="I154" s="463"/>
      <c r="J154" s="463"/>
      <c r="K154" s="199"/>
      <c r="L154" s="461"/>
    </row>
    <row r="155" spans="1:12" x14ac:dyDescent="0.2">
      <c r="A155" s="466"/>
      <c r="B155" s="1776"/>
      <c r="C155" s="233">
        <v>5</v>
      </c>
      <c r="D155" s="463"/>
      <c r="E155" s="463"/>
      <c r="F155" s="463"/>
      <c r="G155" s="463"/>
      <c r="H155" s="463"/>
      <c r="I155" s="463"/>
      <c r="J155" s="463"/>
      <c r="K155" s="199"/>
      <c r="L155" s="461"/>
    </row>
    <row r="156" spans="1:12" x14ac:dyDescent="0.2">
      <c r="A156" s="388"/>
      <c r="B156" s="1774" t="str">
        <f>B64</f>
        <v>Consultório 01</v>
      </c>
      <c r="C156" s="233">
        <v>2.5</v>
      </c>
      <c r="D156" s="387"/>
      <c r="E156" s="387"/>
      <c r="F156" s="387"/>
      <c r="G156" s="387"/>
      <c r="H156" s="387"/>
      <c r="I156" s="387"/>
      <c r="J156" s="387"/>
      <c r="K156" s="199"/>
      <c r="L156" s="386"/>
    </row>
    <row r="157" spans="1:12" x14ac:dyDescent="0.2">
      <c r="A157" s="466"/>
      <c r="B157" s="1775"/>
      <c r="C157" s="233">
        <v>2.5</v>
      </c>
      <c r="D157" s="463"/>
      <c r="E157" s="463"/>
      <c r="F157" s="463"/>
      <c r="G157" s="463"/>
      <c r="H157" s="463"/>
      <c r="I157" s="463"/>
      <c r="J157" s="463"/>
      <c r="K157" s="199"/>
      <c r="L157" s="461"/>
    </row>
    <row r="158" spans="1:12" x14ac:dyDescent="0.2">
      <c r="A158" s="466"/>
      <c r="B158" s="1775"/>
      <c r="C158" s="233">
        <v>5</v>
      </c>
      <c r="D158" s="463"/>
      <c r="E158" s="463"/>
      <c r="F158" s="463"/>
      <c r="G158" s="463"/>
      <c r="H158" s="463"/>
      <c r="I158" s="463"/>
      <c r="J158" s="463"/>
      <c r="K158" s="199"/>
      <c r="L158" s="461"/>
    </row>
    <row r="159" spans="1:12" x14ac:dyDescent="0.2">
      <c r="A159" s="466"/>
      <c r="B159" s="1776"/>
      <c r="C159" s="233">
        <v>5</v>
      </c>
      <c r="D159" s="463"/>
      <c r="E159" s="463"/>
      <c r="F159" s="463"/>
      <c r="G159" s="463"/>
      <c r="H159" s="463"/>
      <c r="I159" s="463"/>
      <c r="J159" s="463"/>
      <c r="K159" s="199"/>
      <c r="L159" s="461"/>
    </row>
    <row r="160" spans="1:12" x14ac:dyDescent="0.2">
      <c r="A160" s="466"/>
      <c r="B160" s="1774" t="str">
        <f>B65</f>
        <v>Circulação 2</v>
      </c>
      <c r="C160" s="233">
        <v>16.3</v>
      </c>
      <c r="D160" s="463"/>
      <c r="E160" s="463"/>
      <c r="F160" s="463"/>
      <c r="G160" s="463"/>
      <c r="H160" s="463"/>
      <c r="I160" s="463"/>
      <c r="J160" s="463"/>
      <c r="K160" s="199"/>
      <c r="L160" s="461"/>
    </row>
    <row r="161" spans="1:12" x14ac:dyDescent="0.2">
      <c r="A161" s="388"/>
      <c r="B161" s="1776"/>
      <c r="C161" s="233">
        <v>11.9</v>
      </c>
      <c r="D161" s="387"/>
      <c r="E161" s="387"/>
      <c r="F161" s="387"/>
      <c r="G161" s="387"/>
      <c r="H161" s="387"/>
      <c r="I161" s="387"/>
      <c r="J161" s="387"/>
      <c r="K161" s="199"/>
      <c r="L161" s="386"/>
    </row>
    <row r="162" spans="1:12" x14ac:dyDescent="0.2">
      <c r="A162" s="388"/>
      <c r="B162" s="1774" t="str">
        <f>B66</f>
        <v>Eletrotermoterap.</v>
      </c>
      <c r="C162" s="233">
        <v>8.5500000000000007</v>
      </c>
      <c r="D162" s="387"/>
      <c r="E162" s="387"/>
      <c r="F162" s="387"/>
      <c r="G162" s="387"/>
      <c r="H162" s="387"/>
      <c r="I162" s="387"/>
      <c r="J162" s="387"/>
      <c r="K162" s="199"/>
      <c r="L162" s="386"/>
    </row>
    <row r="163" spans="1:12" x14ac:dyDescent="0.2">
      <c r="A163" s="466"/>
      <c r="B163" s="1775"/>
      <c r="C163" s="233">
        <v>8.5500000000000007</v>
      </c>
      <c r="D163" s="463"/>
      <c r="E163" s="463"/>
      <c r="F163" s="463"/>
      <c r="G163" s="463"/>
      <c r="H163" s="463"/>
      <c r="I163" s="463"/>
      <c r="J163" s="463"/>
      <c r="K163" s="199"/>
      <c r="L163" s="461"/>
    </row>
    <row r="164" spans="1:12" x14ac:dyDescent="0.2">
      <c r="A164" s="466"/>
      <c r="B164" s="1775"/>
      <c r="C164" s="233">
        <v>9.6999999999999993</v>
      </c>
      <c r="D164" s="463"/>
      <c r="E164" s="463"/>
      <c r="F164" s="463"/>
      <c r="G164" s="463"/>
      <c r="H164" s="463"/>
      <c r="I164" s="463"/>
      <c r="J164" s="463"/>
      <c r="K164" s="199"/>
      <c r="L164" s="461"/>
    </row>
    <row r="165" spans="1:12" x14ac:dyDescent="0.2">
      <c r="A165" s="466"/>
      <c r="B165" s="1776"/>
      <c r="C165" s="233">
        <v>9.6999999999999993</v>
      </c>
      <c r="D165" s="463"/>
      <c r="E165" s="463"/>
      <c r="F165" s="463"/>
      <c r="G165" s="463"/>
      <c r="H165" s="463"/>
      <c r="I165" s="463"/>
      <c r="J165" s="463"/>
      <c r="K165" s="199"/>
      <c r="L165" s="461"/>
    </row>
    <row r="166" spans="1:12" x14ac:dyDescent="0.2">
      <c r="A166" s="388"/>
      <c r="B166" s="1774" t="str">
        <f>B69</f>
        <v>Circulação 1</v>
      </c>
      <c r="C166" s="233">
        <v>5.15</v>
      </c>
      <c r="D166" s="387"/>
      <c r="E166" s="387"/>
      <c r="F166" s="387"/>
      <c r="G166" s="387"/>
      <c r="H166" s="387"/>
      <c r="I166" s="387"/>
      <c r="J166" s="387"/>
      <c r="K166" s="199"/>
      <c r="L166" s="386"/>
    </row>
    <row r="167" spans="1:12" x14ac:dyDescent="0.2">
      <c r="A167" s="466"/>
      <c r="B167" s="1775"/>
      <c r="C167" s="233">
        <v>5.15</v>
      </c>
      <c r="D167" s="463"/>
      <c r="E167" s="463"/>
      <c r="F167" s="463"/>
      <c r="G167" s="463"/>
      <c r="H167" s="463"/>
      <c r="I167" s="463"/>
      <c r="J167" s="463"/>
      <c r="K167" s="199"/>
      <c r="L167" s="461"/>
    </row>
    <row r="168" spans="1:12" x14ac:dyDescent="0.2">
      <c r="A168" s="466"/>
      <c r="B168" s="1776"/>
      <c r="C168" s="233">
        <v>2.4500000000000002</v>
      </c>
      <c r="D168" s="463"/>
      <c r="E168" s="463"/>
      <c r="F168" s="463"/>
      <c r="G168" s="463"/>
      <c r="H168" s="463"/>
      <c r="I168" s="463"/>
      <c r="J168" s="463"/>
      <c r="K168" s="199"/>
      <c r="L168" s="461"/>
    </row>
    <row r="169" spans="1:12" x14ac:dyDescent="0.2">
      <c r="A169" s="466"/>
      <c r="B169" s="1774" t="str">
        <f>B71</f>
        <v>Recepção</v>
      </c>
      <c r="C169" s="233">
        <v>2.8</v>
      </c>
      <c r="D169" s="463"/>
      <c r="E169" s="463"/>
      <c r="F169" s="463"/>
      <c r="G169" s="463"/>
      <c r="H169" s="463"/>
      <c r="I169" s="463"/>
      <c r="J169" s="463"/>
      <c r="K169" s="199"/>
      <c r="L169" s="461"/>
    </row>
    <row r="170" spans="1:12" x14ac:dyDescent="0.2">
      <c r="A170" s="466"/>
      <c r="B170" s="1775"/>
      <c r="C170" s="233">
        <v>5.45</v>
      </c>
      <c r="D170" s="463"/>
      <c r="E170" s="463"/>
      <c r="F170" s="463"/>
      <c r="G170" s="463"/>
      <c r="H170" s="463"/>
      <c r="I170" s="463"/>
      <c r="J170" s="463"/>
      <c r="K170" s="199"/>
      <c r="L170" s="461"/>
    </row>
    <row r="171" spans="1:12" x14ac:dyDescent="0.2">
      <c r="A171" s="466"/>
      <c r="B171" s="1775"/>
      <c r="C171" s="233">
        <v>5.45</v>
      </c>
      <c r="D171" s="463"/>
      <c r="E171" s="463"/>
      <c r="F171" s="463"/>
      <c r="G171" s="463"/>
      <c r="H171" s="463"/>
      <c r="I171" s="463"/>
      <c r="J171" s="463"/>
      <c r="K171" s="199"/>
      <c r="L171" s="461"/>
    </row>
    <row r="172" spans="1:12" x14ac:dyDescent="0.2">
      <c r="A172" s="466"/>
      <c r="B172" s="1775"/>
      <c r="C172" s="233">
        <v>4.5</v>
      </c>
      <c r="D172" s="463"/>
      <c r="E172" s="463"/>
      <c r="F172" s="463"/>
      <c r="G172" s="463"/>
      <c r="H172" s="463"/>
      <c r="I172" s="463"/>
      <c r="J172" s="463"/>
      <c r="K172" s="199"/>
      <c r="L172" s="461"/>
    </row>
    <row r="173" spans="1:12" x14ac:dyDescent="0.2">
      <c r="A173" s="388"/>
      <c r="B173" s="1776"/>
      <c r="C173" s="233">
        <v>9.8000000000000007</v>
      </c>
      <c r="D173" s="387"/>
      <c r="E173" s="387"/>
      <c r="F173" s="387"/>
      <c r="G173" s="387"/>
      <c r="H173" s="387"/>
      <c r="I173" s="387"/>
      <c r="J173" s="387"/>
      <c r="K173" s="199"/>
      <c r="L173" s="386"/>
    </row>
    <row r="174" spans="1:12" x14ac:dyDescent="0.2">
      <c r="A174" s="388"/>
      <c r="B174" s="174"/>
      <c r="C174" s="174"/>
      <c r="D174" s="199"/>
      <c r="E174" s="199"/>
      <c r="F174" s="199"/>
      <c r="G174" s="199"/>
      <c r="H174" s="199"/>
      <c r="I174" s="199"/>
      <c r="J174" s="199"/>
      <c r="K174" s="199"/>
      <c r="L174" s="386"/>
    </row>
    <row r="175" spans="1:12" x14ac:dyDescent="0.2">
      <c r="A175" s="388"/>
      <c r="B175" s="365" t="s">
        <v>460</v>
      </c>
      <c r="C175" s="404">
        <f>ROUND(SUM(C118:C173),2)</f>
        <v>275.3</v>
      </c>
      <c r="D175" s="405" t="s">
        <v>12</v>
      </c>
      <c r="E175" s="199"/>
      <c r="F175" s="199"/>
      <c r="G175" s="199"/>
      <c r="H175" s="199"/>
      <c r="I175" s="199"/>
      <c r="J175" s="199"/>
      <c r="K175" s="199"/>
      <c r="L175" s="386"/>
    </row>
    <row r="176" spans="1:12" x14ac:dyDescent="0.2">
      <c r="A176" s="388"/>
      <c r="B176" s="199"/>
      <c r="C176" s="199"/>
      <c r="D176" s="199"/>
      <c r="E176" s="199"/>
      <c r="F176" s="199"/>
      <c r="G176" s="199"/>
      <c r="H176" s="199"/>
      <c r="I176" s="199"/>
      <c r="J176" s="199"/>
      <c r="K176" s="199"/>
    </row>
    <row r="177" spans="1:11" x14ac:dyDescent="0.2">
      <c r="A177" s="388"/>
      <c r="B177" s="1815" t="s">
        <v>468</v>
      </c>
      <c r="C177" s="1815"/>
      <c r="D177" s="1815"/>
      <c r="E177" s="1815"/>
      <c r="F177" s="1815"/>
      <c r="G177" s="1815"/>
      <c r="H177" s="199"/>
      <c r="I177" s="199"/>
      <c r="J177" s="199"/>
      <c r="K177" s="199"/>
    </row>
    <row r="178" spans="1:11" x14ac:dyDescent="0.2">
      <c r="A178" s="388"/>
      <c r="B178" s="233" t="s">
        <v>437</v>
      </c>
      <c r="C178" s="233" t="s">
        <v>405</v>
      </c>
      <c r="D178" s="502"/>
      <c r="E178" s="503" t="s">
        <v>469</v>
      </c>
      <c r="F178" s="503"/>
      <c r="G178" s="503" t="s">
        <v>213</v>
      </c>
      <c r="H178" s="199"/>
      <c r="I178" s="199"/>
      <c r="J178" s="199"/>
      <c r="K178" s="199"/>
    </row>
    <row r="179" spans="1:11" x14ac:dyDescent="0.2">
      <c r="A179" s="388"/>
      <c r="B179" s="503" t="str">
        <f>'9.ESQ.'!B159</f>
        <v>P1</v>
      </c>
      <c r="C179" s="503">
        <f>'9.ESQ.'!C159</f>
        <v>1.6</v>
      </c>
      <c r="D179" s="503" t="s">
        <v>45</v>
      </c>
      <c r="E179" s="1036">
        <f>'9.ESQ.'!G159</f>
        <v>1</v>
      </c>
      <c r="F179" s="503" t="s">
        <v>46</v>
      </c>
      <c r="G179" s="503">
        <f>ROUND(C179*E179,2)</f>
        <v>1.6</v>
      </c>
      <c r="H179" s="199"/>
      <c r="I179" s="199"/>
      <c r="J179" s="199"/>
      <c r="K179" s="199"/>
    </row>
    <row r="180" spans="1:11" x14ac:dyDescent="0.2">
      <c r="A180" s="466"/>
      <c r="B180" s="503" t="str">
        <f>'9.ESQ.'!B160</f>
        <v>P2</v>
      </c>
      <c r="C180" s="503">
        <f>'9.ESQ.'!C160</f>
        <v>3</v>
      </c>
      <c r="D180" s="503" t="s">
        <v>45</v>
      </c>
      <c r="E180" s="1036">
        <f>'9.ESQ.'!G160</f>
        <v>1</v>
      </c>
      <c r="F180" s="503" t="s">
        <v>46</v>
      </c>
      <c r="G180" s="503">
        <f t="shared" ref="G180:G185" si="5">ROUND(C180*E180,2)</f>
        <v>3</v>
      </c>
      <c r="H180" s="199"/>
      <c r="I180" s="199"/>
      <c r="J180" s="199"/>
      <c r="K180" s="199"/>
    </row>
    <row r="181" spans="1:11" x14ac:dyDescent="0.2">
      <c r="A181" s="466"/>
      <c r="B181" s="503" t="str">
        <f>'9.ESQ.'!B161</f>
        <v>P3</v>
      </c>
      <c r="C181" s="503">
        <f>'9.ESQ.'!C161</f>
        <v>0.9</v>
      </c>
      <c r="D181" s="503" t="s">
        <v>45</v>
      </c>
      <c r="E181" s="1036">
        <f>'9.ESQ.'!G161</f>
        <v>7</v>
      </c>
      <c r="F181" s="503" t="s">
        <v>46</v>
      </c>
      <c r="G181" s="503">
        <f t="shared" si="5"/>
        <v>6.3</v>
      </c>
      <c r="H181" s="199"/>
      <c r="I181" s="199"/>
      <c r="J181" s="199"/>
      <c r="K181" s="199"/>
    </row>
    <row r="182" spans="1:11" x14ac:dyDescent="0.2">
      <c r="A182" s="466"/>
      <c r="B182" s="503" t="str">
        <f>'9.ESQ.'!B162</f>
        <v>P4</v>
      </c>
      <c r="C182" s="503">
        <f>'9.ESQ.'!C162</f>
        <v>1</v>
      </c>
      <c r="D182" s="503" t="s">
        <v>45</v>
      </c>
      <c r="E182" s="1036">
        <f>'9.ESQ.'!G162</f>
        <v>1</v>
      </c>
      <c r="F182" s="503" t="s">
        <v>46</v>
      </c>
      <c r="G182" s="503">
        <f t="shared" si="5"/>
        <v>1</v>
      </c>
      <c r="H182" s="199"/>
      <c r="I182" s="199"/>
      <c r="J182" s="199"/>
      <c r="K182" s="199"/>
    </row>
    <row r="183" spans="1:11" x14ac:dyDescent="0.2">
      <c r="A183" s="466"/>
      <c r="B183" s="503" t="str">
        <f>'9.ESQ.'!B163</f>
        <v>P5</v>
      </c>
      <c r="C183" s="503">
        <f>'9.ESQ.'!C163</f>
        <v>0.8</v>
      </c>
      <c r="D183" s="503" t="s">
        <v>45</v>
      </c>
      <c r="E183" s="1036">
        <f>'9.ESQ.'!G163</f>
        <v>8</v>
      </c>
      <c r="F183" s="503" t="s">
        <v>46</v>
      </c>
      <c r="G183" s="503">
        <f t="shared" si="5"/>
        <v>6.4</v>
      </c>
      <c r="H183" s="199"/>
      <c r="I183" s="199"/>
      <c r="J183" s="199"/>
      <c r="K183" s="199"/>
    </row>
    <row r="184" spans="1:11" x14ac:dyDescent="0.2">
      <c r="A184" s="466"/>
      <c r="B184" s="503" t="str">
        <f>'9.ESQ.'!B164</f>
        <v>P6</v>
      </c>
      <c r="C184" s="503">
        <f>'9.ESQ.'!C164</f>
        <v>1.8</v>
      </c>
      <c r="D184" s="503" t="s">
        <v>45</v>
      </c>
      <c r="E184" s="1036">
        <f>'9.ESQ.'!G164</f>
        <v>2</v>
      </c>
      <c r="F184" s="503" t="s">
        <v>46</v>
      </c>
      <c r="G184" s="503">
        <f t="shared" si="5"/>
        <v>3.6</v>
      </c>
      <c r="H184" s="199"/>
      <c r="I184" s="199"/>
      <c r="J184" s="199"/>
      <c r="K184" s="199"/>
    </row>
    <row r="185" spans="1:11" x14ac:dyDescent="0.2">
      <c r="A185" s="466"/>
      <c r="B185" s="503" t="str">
        <f>'9.ESQ.'!B165</f>
        <v>P7</v>
      </c>
      <c r="C185" s="503">
        <f>'9.ESQ.'!C165</f>
        <v>1.6</v>
      </c>
      <c r="D185" s="503" t="s">
        <v>45</v>
      </c>
      <c r="E185" s="1036">
        <f>'9.ESQ.'!G165</f>
        <v>2</v>
      </c>
      <c r="F185" s="503" t="s">
        <v>46</v>
      </c>
      <c r="G185" s="503">
        <f t="shared" si="5"/>
        <v>3.2</v>
      </c>
      <c r="H185" s="199"/>
      <c r="I185" s="199"/>
      <c r="J185" s="199"/>
      <c r="K185" s="199"/>
    </row>
    <row r="186" spans="1:11" x14ac:dyDescent="0.2">
      <c r="A186" s="388"/>
      <c r="B186" s="199"/>
      <c r="C186" s="199"/>
      <c r="D186" s="199"/>
      <c r="E186" s="199"/>
      <c r="F186" s="199"/>
      <c r="G186" s="199"/>
      <c r="H186" s="199"/>
      <c r="I186" s="199"/>
      <c r="J186" s="199"/>
      <c r="K186" s="199"/>
    </row>
    <row r="187" spans="1:11" s="139" customFormat="1" ht="28.5" customHeight="1" x14ac:dyDescent="0.2">
      <c r="A187" s="1038"/>
      <c r="B187" s="1054" t="s">
        <v>484</v>
      </c>
      <c r="C187" s="1055">
        <f>ROUND(SUM(G179:G185),2)</f>
        <v>25.1</v>
      </c>
      <c r="D187" s="1056" t="s">
        <v>12</v>
      </c>
      <c r="E187" s="406"/>
      <c r="F187" s="406"/>
      <c r="G187" s="406"/>
      <c r="H187" s="406"/>
      <c r="I187" s="406"/>
      <c r="J187" s="406"/>
      <c r="K187" s="406"/>
    </row>
    <row r="188" spans="1:11" x14ac:dyDescent="0.2">
      <c r="A188" s="388"/>
      <c r="B188" s="199"/>
      <c r="C188" s="199"/>
      <c r="D188" s="199"/>
      <c r="E188" s="199"/>
      <c r="F188" s="199"/>
      <c r="G188" s="199"/>
      <c r="H188" s="199"/>
      <c r="I188" s="199"/>
      <c r="J188" s="199"/>
      <c r="K188" s="199"/>
    </row>
    <row r="189" spans="1:11" s="139" customFormat="1" ht="17.25" customHeight="1" x14ac:dyDescent="0.2">
      <c r="A189" s="1038"/>
      <c r="B189" s="376"/>
      <c r="C189" s="378" t="s">
        <v>486</v>
      </c>
      <c r="D189" s="378"/>
      <c r="E189" s="378" t="s">
        <v>468</v>
      </c>
      <c r="F189" s="378"/>
      <c r="G189" s="379" t="s">
        <v>213</v>
      </c>
      <c r="H189" s="406"/>
      <c r="I189" s="406"/>
      <c r="J189" s="406"/>
      <c r="K189" s="406"/>
    </row>
    <row r="190" spans="1:11" s="139" customFormat="1" ht="25.5" x14ac:dyDescent="0.2">
      <c r="A190" s="388"/>
      <c r="B190" s="380" t="s">
        <v>485</v>
      </c>
      <c r="C190" s="381">
        <f>C175</f>
        <v>275.3</v>
      </c>
      <c r="D190" s="381" t="s">
        <v>215</v>
      </c>
      <c r="E190" s="381">
        <f>C187</f>
        <v>25.1</v>
      </c>
      <c r="F190" s="381" t="s">
        <v>46</v>
      </c>
      <c r="G190" s="382">
        <f>ROUND(C190-E190,2)</f>
        <v>250.2</v>
      </c>
      <c r="H190" s="406"/>
      <c r="I190" s="406"/>
      <c r="J190" s="406"/>
      <c r="K190" s="406"/>
    </row>
    <row r="191" spans="1:11" x14ac:dyDescent="0.2">
      <c r="A191" s="388"/>
      <c r="B191" s="199"/>
      <c r="C191" s="199"/>
      <c r="D191" s="199"/>
      <c r="E191" s="199"/>
      <c r="F191" s="199"/>
      <c r="G191" s="199"/>
      <c r="H191" s="199"/>
      <c r="I191" s="199"/>
      <c r="J191" s="199"/>
      <c r="K191" s="199"/>
    </row>
    <row r="192" spans="1:11" s="139" customFormat="1" ht="15.75" customHeight="1" x14ac:dyDescent="0.2">
      <c r="A192" s="466" t="str">
        <f>ORÇ!A141</f>
        <v>10.2</v>
      </c>
      <c r="B192" s="1826" t="str">
        <f>ORÇ!D141</f>
        <v>Piso externo</v>
      </c>
      <c r="C192" s="1826"/>
      <c r="D192" s="406"/>
      <c r="E192" s="406"/>
      <c r="F192" s="406"/>
      <c r="G192" s="406"/>
      <c r="H192" s="406"/>
      <c r="I192" s="406"/>
      <c r="J192" s="406"/>
      <c r="K192" s="406"/>
    </row>
    <row r="193" spans="1:13" ht="20.25" customHeight="1" x14ac:dyDescent="0.2">
      <c r="A193" s="466" t="str">
        <f>ORÇ!A142</f>
        <v>10.2.1</v>
      </c>
      <c r="B193" s="1711" t="str">
        <f>ORÇ!D142</f>
        <v>LASTRO DE CONCRETO MAGRO, APLICADO EM PISOS, LAJES SOBRE SOLO OU RADIERS, ESPESSURA DE 3 CM. AF_07/2016</v>
      </c>
      <c r="C193" s="1711"/>
      <c r="D193" s="1711"/>
      <c r="E193" s="1711"/>
      <c r="F193" s="1711"/>
      <c r="G193" s="1711"/>
      <c r="H193" s="1711"/>
      <c r="I193" s="1711"/>
      <c r="J193" s="1711"/>
      <c r="K193" s="199"/>
    </row>
    <row r="194" spans="1:13" ht="12.75" customHeight="1" x14ac:dyDescent="0.2">
      <c r="A194" s="466"/>
      <c r="B194" s="199"/>
      <c r="C194" s="199"/>
      <c r="D194" s="199"/>
      <c r="E194" s="199"/>
      <c r="F194" s="199"/>
      <c r="G194" s="199"/>
      <c r="H194" s="199"/>
      <c r="I194" s="199"/>
      <c r="J194" s="199"/>
      <c r="K194" s="199"/>
    </row>
    <row r="195" spans="1:13" s="21" customFormat="1" ht="17.25" customHeight="1" x14ac:dyDescent="0.2">
      <c r="A195" s="466"/>
      <c r="B195" s="391" t="s">
        <v>459</v>
      </c>
      <c r="C195" s="391" t="s">
        <v>216</v>
      </c>
      <c r="D195" s="512"/>
      <c r="E195" s="512" t="s">
        <v>405</v>
      </c>
      <c r="F195" s="512"/>
      <c r="G195" s="503" t="s">
        <v>213</v>
      </c>
      <c r="I195" s="162"/>
    </row>
    <row r="196" spans="1:13" s="21" customFormat="1" ht="15" customHeight="1" x14ac:dyDescent="0.2">
      <c r="A196" s="466"/>
      <c r="B196" s="1789" t="s">
        <v>645</v>
      </c>
      <c r="C196" s="513">
        <v>8.1</v>
      </c>
      <c r="D196" s="512" t="s">
        <v>45</v>
      </c>
      <c r="E196" s="512">
        <v>0.5</v>
      </c>
      <c r="F196" s="512" t="s">
        <v>46</v>
      </c>
      <c r="G196" s="503">
        <f>ROUND(C196*E196,2)</f>
        <v>4.05</v>
      </c>
      <c r="I196" s="162"/>
    </row>
    <row r="197" spans="1:13" s="21" customFormat="1" ht="15" customHeight="1" x14ac:dyDescent="0.2">
      <c r="A197" s="466"/>
      <c r="B197" s="1790"/>
      <c r="C197" s="513">
        <v>4.1500000000000004</v>
      </c>
      <c r="D197" s="512" t="s">
        <v>45</v>
      </c>
      <c r="E197" s="512">
        <v>0.5</v>
      </c>
      <c r="F197" s="512" t="s">
        <v>46</v>
      </c>
      <c r="G197" s="503">
        <f t="shared" ref="G197:G203" si="6">ROUND(C197*E197,2)</f>
        <v>2.08</v>
      </c>
      <c r="I197" s="162"/>
    </row>
    <row r="198" spans="1:13" s="21" customFormat="1" ht="15" customHeight="1" x14ac:dyDescent="0.2">
      <c r="A198" s="466"/>
      <c r="B198" s="1790"/>
      <c r="C198" s="513">
        <v>1.85</v>
      </c>
      <c r="D198" s="512" t="s">
        <v>45</v>
      </c>
      <c r="E198" s="512">
        <v>0.5</v>
      </c>
      <c r="F198" s="512" t="s">
        <v>46</v>
      </c>
      <c r="G198" s="503">
        <f t="shared" si="6"/>
        <v>0.93</v>
      </c>
      <c r="I198" s="162"/>
    </row>
    <row r="199" spans="1:13" s="21" customFormat="1" ht="15" customHeight="1" x14ac:dyDescent="0.2">
      <c r="A199" s="466"/>
      <c r="B199" s="1790"/>
      <c r="C199" s="513">
        <v>27.35</v>
      </c>
      <c r="D199" s="512" t="s">
        <v>45</v>
      </c>
      <c r="E199" s="512">
        <v>0.5</v>
      </c>
      <c r="F199" s="512" t="s">
        <v>46</v>
      </c>
      <c r="G199" s="503">
        <f t="shared" si="6"/>
        <v>13.68</v>
      </c>
      <c r="I199" s="162"/>
    </row>
    <row r="200" spans="1:13" s="21" customFormat="1" ht="15" customHeight="1" x14ac:dyDescent="0.2">
      <c r="A200" s="466"/>
      <c r="B200" s="1791"/>
      <c r="C200" s="513">
        <v>24.9</v>
      </c>
      <c r="D200" s="512" t="s">
        <v>45</v>
      </c>
      <c r="E200" s="512">
        <v>0.5</v>
      </c>
      <c r="F200" s="512" t="s">
        <v>46</v>
      </c>
      <c r="G200" s="503">
        <f t="shared" si="6"/>
        <v>12.45</v>
      </c>
      <c r="I200" s="162"/>
    </row>
    <row r="201" spans="1:13" s="21" customFormat="1" ht="15.75" customHeight="1" x14ac:dyDescent="0.2">
      <c r="A201" s="466"/>
      <c r="B201" s="1033" t="s">
        <v>1825</v>
      </c>
      <c r="C201" s="513">
        <v>7.6</v>
      </c>
      <c r="D201" s="512" t="s">
        <v>45</v>
      </c>
      <c r="E201" s="512">
        <v>4.7</v>
      </c>
      <c r="F201" s="512" t="s">
        <v>46</v>
      </c>
      <c r="G201" s="503">
        <f t="shared" si="6"/>
        <v>35.72</v>
      </c>
      <c r="I201" s="162"/>
    </row>
    <row r="202" spans="1:13" s="21" customFormat="1" ht="15.75" customHeight="1" x14ac:dyDescent="0.2">
      <c r="A202" s="466"/>
      <c r="B202" s="528" t="s">
        <v>1826</v>
      </c>
      <c r="C202" s="513">
        <v>2</v>
      </c>
      <c r="D202" s="512" t="s">
        <v>45</v>
      </c>
      <c r="E202" s="512">
        <v>2</v>
      </c>
      <c r="F202" s="512" t="s">
        <v>46</v>
      </c>
      <c r="G202" s="503">
        <f t="shared" si="6"/>
        <v>4</v>
      </c>
      <c r="I202" s="162"/>
    </row>
    <row r="203" spans="1:13" s="21" customFormat="1" ht="15.75" customHeight="1" x14ac:dyDescent="0.2">
      <c r="A203" s="466"/>
      <c r="B203" s="528" t="s">
        <v>1827</v>
      </c>
      <c r="C203" s="513">
        <v>17.649999999999999</v>
      </c>
      <c r="D203" s="512" t="s">
        <v>45</v>
      </c>
      <c r="E203" s="512">
        <v>2</v>
      </c>
      <c r="F203" s="512" t="s">
        <v>46</v>
      </c>
      <c r="G203" s="503">
        <f t="shared" si="6"/>
        <v>35.299999999999997</v>
      </c>
      <c r="I203" s="162"/>
    </row>
    <row r="204" spans="1:13" s="21" customFormat="1" x14ac:dyDescent="0.2">
      <c r="A204" s="466"/>
      <c r="B204" s="463"/>
      <c r="C204" s="463"/>
      <c r="D204" s="463"/>
      <c r="E204" s="463"/>
      <c r="F204" s="463"/>
      <c r="G204" s="463"/>
      <c r="H204" s="463"/>
      <c r="I204" s="463"/>
      <c r="J204" s="463"/>
      <c r="K204" s="199"/>
      <c r="M204" s="162"/>
    </row>
    <row r="205" spans="1:13" s="21" customFormat="1" x14ac:dyDescent="0.2">
      <c r="A205" s="466"/>
      <c r="B205" s="249" t="s">
        <v>47</v>
      </c>
      <c r="C205" s="514">
        <f>ROUND(SUM(G196:G203),2)</f>
        <v>108.21</v>
      </c>
      <c r="D205" s="408" t="s">
        <v>4</v>
      </c>
      <c r="E205" s="463"/>
      <c r="F205" s="463"/>
      <c r="G205" s="463"/>
      <c r="H205" s="463"/>
      <c r="I205" s="463"/>
      <c r="J205" s="463"/>
      <c r="K205" s="199"/>
      <c r="M205" s="162"/>
    </row>
    <row r="206" spans="1:13" s="458" customFormat="1" x14ac:dyDescent="0.2">
      <c r="A206" s="397"/>
      <c r="B206" s="368"/>
      <c r="C206" s="368"/>
      <c r="D206" s="368"/>
      <c r="E206" s="400"/>
      <c r="F206" s="400"/>
      <c r="G206" s="400"/>
      <c r="H206" s="400"/>
      <c r="I206" s="400"/>
      <c r="J206" s="400"/>
      <c r="K206" s="401"/>
      <c r="M206" s="402"/>
    </row>
    <row r="207" spans="1:13" s="21" customFormat="1" ht="29.25" customHeight="1" x14ac:dyDescent="0.2">
      <c r="A207" s="879" t="str">
        <f>ORÇ!A143</f>
        <v>10.2.2</v>
      </c>
      <c r="B207" s="1711" t="str">
        <f>ORÇ!D143</f>
        <v>ASSENTAMENTO DE GUIA (MEIO-FIO) EM TRECHO RETO, CONFECCIONADA EM CONCRETO PRÉ-FABRICADO, DIMENSÕES 100X15X13X30 CM (COMPRIMENTO X BASE INFERIOR X BASE SUPERIOR X ALTURA), PARA VIAS URBANAS (USO VIÁRIO). AF_06/2016</v>
      </c>
      <c r="C207" s="1711"/>
      <c r="D207" s="1711"/>
      <c r="E207" s="1711"/>
      <c r="F207" s="1711"/>
      <c r="G207" s="1711"/>
      <c r="H207" s="1711"/>
      <c r="I207" s="1711"/>
      <c r="J207" s="1711"/>
      <c r="K207" s="199"/>
    </row>
    <row r="208" spans="1:13" s="21" customFormat="1" x14ac:dyDescent="0.2">
      <c r="A208" s="879"/>
      <c r="B208" s="199"/>
      <c r="C208" s="199"/>
      <c r="D208" s="199"/>
      <c r="E208" s="199"/>
      <c r="F208" s="199"/>
      <c r="G208" s="199"/>
      <c r="H208" s="199"/>
      <c r="I208" s="199"/>
      <c r="J208" s="199"/>
      <c r="K208" s="199"/>
    </row>
    <row r="209" spans="1:11" s="21" customFormat="1" x14ac:dyDescent="0.2">
      <c r="A209" s="879"/>
      <c r="B209" s="522"/>
      <c r="C209" s="512" t="s">
        <v>216</v>
      </c>
      <c r="D209" s="199"/>
      <c r="E209" s="199"/>
      <c r="F209" s="199"/>
      <c r="G209" s="199"/>
      <c r="H209" s="199"/>
      <c r="I209" s="199"/>
      <c r="J209" s="199"/>
      <c r="K209" s="199"/>
    </row>
    <row r="210" spans="1:11" s="21" customFormat="1" x14ac:dyDescent="0.2">
      <c r="A210" s="879"/>
      <c r="B210" s="1830" t="s">
        <v>1695</v>
      </c>
      <c r="C210" s="519">
        <v>7.98</v>
      </c>
      <c r="D210" s="199"/>
      <c r="E210" s="199"/>
      <c r="F210" s="199"/>
      <c r="G210" s="199"/>
      <c r="H210" s="199"/>
      <c r="I210" s="199"/>
      <c r="J210" s="199"/>
      <c r="K210" s="199"/>
    </row>
    <row r="211" spans="1:11" s="21" customFormat="1" x14ac:dyDescent="0.2">
      <c r="A211" s="879"/>
      <c r="B211" s="1831"/>
      <c r="C211" s="519">
        <v>7.98</v>
      </c>
      <c r="D211" s="199"/>
      <c r="E211" s="199"/>
      <c r="F211" s="199"/>
      <c r="G211" s="199"/>
      <c r="H211" s="199"/>
      <c r="I211" s="199"/>
      <c r="J211" s="199"/>
      <c r="K211" s="199"/>
    </row>
    <row r="212" spans="1:11" s="21" customFormat="1" x14ac:dyDescent="0.2">
      <c r="A212" s="879"/>
      <c r="B212" s="1831"/>
      <c r="C212" s="519">
        <v>2.9</v>
      </c>
      <c r="D212" s="199"/>
      <c r="E212" s="199"/>
      <c r="F212" s="199"/>
      <c r="G212" s="199"/>
      <c r="H212" s="199"/>
      <c r="I212" s="199"/>
      <c r="J212" s="199"/>
      <c r="K212" s="199"/>
    </row>
    <row r="213" spans="1:11" s="21" customFormat="1" x14ac:dyDescent="0.2">
      <c r="A213" s="879"/>
      <c r="B213" s="1831"/>
      <c r="C213" s="519">
        <v>2.9</v>
      </c>
      <c r="D213" s="199"/>
      <c r="E213" s="199"/>
      <c r="F213" s="199"/>
      <c r="G213" s="199"/>
      <c r="H213" s="199"/>
      <c r="I213" s="199"/>
      <c r="J213" s="199"/>
      <c r="K213" s="199"/>
    </row>
    <row r="214" spans="1:11" s="21" customFormat="1" x14ac:dyDescent="0.2">
      <c r="A214" s="879"/>
      <c r="B214" s="1831"/>
      <c r="C214" s="519">
        <v>1.6</v>
      </c>
      <c r="D214" s="199"/>
      <c r="E214" s="199"/>
      <c r="F214" s="199"/>
      <c r="G214" s="199"/>
      <c r="H214" s="199"/>
      <c r="I214" s="199"/>
      <c r="J214" s="199"/>
      <c r="K214" s="199"/>
    </row>
    <row r="215" spans="1:11" s="21" customFormat="1" x14ac:dyDescent="0.2">
      <c r="A215" s="879"/>
      <c r="B215" s="1832"/>
      <c r="C215" s="519">
        <v>1.6</v>
      </c>
      <c r="D215" s="199"/>
      <c r="E215" s="199"/>
      <c r="F215" s="199"/>
      <c r="G215" s="199"/>
      <c r="H215" s="199"/>
      <c r="I215" s="199"/>
      <c r="J215" s="199"/>
      <c r="K215" s="199"/>
    </row>
    <row r="216" spans="1:11" s="21" customFormat="1" x14ac:dyDescent="0.2">
      <c r="A216" s="879"/>
      <c r="B216" s="1830" t="s">
        <v>1696</v>
      </c>
      <c r="C216" s="519">
        <v>1.6</v>
      </c>
      <c r="D216" s="199"/>
      <c r="E216" s="199"/>
      <c r="F216" s="199"/>
      <c r="G216" s="199"/>
      <c r="H216" s="199"/>
      <c r="I216" s="199"/>
      <c r="J216" s="199"/>
      <c r="K216" s="199"/>
    </row>
    <row r="217" spans="1:11" s="21" customFormat="1" x14ac:dyDescent="0.2">
      <c r="A217" s="879"/>
      <c r="B217" s="1831"/>
      <c r="C217" s="519">
        <v>1.6</v>
      </c>
      <c r="D217" s="199"/>
      <c r="E217" s="199"/>
      <c r="F217" s="199"/>
      <c r="G217" s="199"/>
      <c r="H217" s="199"/>
      <c r="I217" s="199"/>
      <c r="J217" s="199"/>
      <c r="K217" s="199"/>
    </row>
    <row r="218" spans="1:11" s="21" customFormat="1" x14ac:dyDescent="0.2">
      <c r="A218" s="879"/>
      <c r="B218" s="1831"/>
      <c r="C218" s="519">
        <v>1.1100000000000001</v>
      </c>
      <c r="D218" s="199"/>
      <c r="E218" s="199"/>
      <c r="F218" s="199"/>
      <c r="G218" s="199"/>
      <c r="H218" s="199"/>
      <c r="I218" s="199"/>
      <c r="J218" s="199"/>
      <c r="K218" s="199"/>
    </row>
    <row r="219" spans="1:11" s="21" customFormat="1" x14ac:dyDescent="0.2">
      <c r="A219" s="879"/>
      <c r="B219" s="1832"/>
      <c r="C219" s="519">
        <v>1.1100000000000001</v>
      </c>
      <c r="D219" s="199"/>
      <c r="E219" s="199"/>
      <c r="F219" s="199"/>
      <c r="G219" s="199"/>
      <c r="H219" s="199"/>
      <c r="I219" s="199"/>
      <c r="J219" s="199"/>
      <c r="K219" s="199"/>
    </row>
    <row r="220" spans="1:11" s="21" customFormat="1" x14ac:dyDescent="0.2">
      <c r="A220" s="879"/>
      <c r="B220" s="1830" t="s">
        <v>1822</v>
      </c>
      <c r="C220" s="519">
        <v>3.25</v>
      </c>
      <c r="D220" s="199"/>
      <c r="E220" s="199"/>
      <c r="F220" s="199"/>
      <c r="G220" s="199"/>
      <c r="H220" s="199"/>
      <c r="I220" s="199"/>
      <c r="J220" s="199"/>
      <c r="K220" s="199"/>
    </row>
    <row r="221" spans="1:11" s="21" customFormat="1" x14ac:dyDescent="0.2">
      <c r="A221" s="879"/>
      <c r="B221" s="1831"/>
      <c r="C221" s="519">
        <v>3.4</v>
      </c>
      <c r="D221" s="199"/>
      <c r="E221" s="199"/>
      <c r="F221" s="199"/>
      <c r="G221" s="199"/>
      <c r="H221" s="199"/>
      <c r="I221" s="199"/>
      <c r="J221" s="199"/>
      <c r="K221" s="199"/>
    </row>
    <row r="222" spans="1:11" s="21" customFormat="1" x14ac:dyDescent="0.2">
      <c r="A222" s="879"/>
      <c r="B222" s="1832"/>
      <c r="C222" s="519">
        <v>1.35</v>
      </c>
      <c r="D222" s="199"/>
      <c r="E222" s="199"/>
      <c r="F222" s="199"/>
      <c r="G222" s="199"/>
      <c r="H222" s="199"/>
      <c r="I222" s="199"/>
      <c r="J222" s="199"/>
      <c r="K222" s="199"/>
    </row>
    <row r="223" spans="1:11" s="21" customFormat="1" x14ac:dyDescent="0.2">
      <c r="A223" s="879"/>
      <c r="B223" s="403"/>
      <c r="C223" s="199"/>
      <c r="D223" s="199"/>
      <c r="E223" s="199"/>
      <c r="F223" s="199"/>
      <c r="G223" s="199"/>
      <c r="H223" s="199"/>
      <c r="I223" s="199"/>
      <c r="J223" s="199"/>
      <c r="K223" s="199"/>
    </row>
    <row r="224" spans="1:11" s="21" customFormat="1" x14ac:dyDescent="0.2">
      <c r="A224" s="879"/>
      <c r="B224" s="249" t="s">
        <v>500</v>
      </c>
      <c r="C224" s="514">
        <f>ROUND(SUM(C210:C222),2)</f>
        <v>38.380000000000003</v>
      </c>
      <c r="D224" s="408" t="s">
        <v>12</v>
      </c>
      <c r="E224" s="199"/>
      <c r="F224" s="199"/>
      <c r="G224" s="199"/>
      <c r="H224" s="199"/>
      <c r="I224" s="199"/>
      <c r="J224" s="199"/>
      <c r="K224" s="199"/>
    </row>
    <row r="225" spans="1:13" s="21" customFormat="1" x14ac:dyDescent="0.2">
      <c r="A225" s="879"/>
      <c r="B225" s="199"/>
      <c r="C225" s="199"/>
      <c r="D225" s="199"/>
      <c r="E225" s="199"/>
      <c r="F225" s="199"/>
      <c r="G225" s="199"/>
      <c r="H225" s="199"/>
      <c r="I225" s="199"/>
      <c r="J225" s="199"/>
      <c r="K225" s="199"/>
    </row>
    <row r="226" spans="1:13" s="21" customFormat="1" ht="19.5" customHeight="1" x14ac:dyDescent="0.2">
      <c r="A226" s="879" t="str">
        <f>ORÇ!A144</f>
        <v>10.2.3</v>
      </c>
      <c r="B226" s="1711" t="str">
        <f>ORÇ!D144</f>
        <v>CAMADA REGULARIZADORA NO TRAÇO 1:4</v>
      </c>
      <c r="C226" s="1711"/>
      <c r="D226" s="1711"/>
      <c r="E226" s="1711"/>
      <c r="F226" s="1711"/>
      <c r="G226" s="1711"/>
      <c r="H226" s="1711"/>
      <c r="I226" s="1711"/>
      <c r="J226" s="1711"/>
      <c r="K226" s="199"/>
    </row>
    <row r="227" spans="1:13" s="21" customFormat="1" ht="12.75" customHeight="1" x14ac:dyDescent="0.2">
      <c r="A227" s="879"/>
      <c r="B227" s="199"/>
      <c r="C227" s="199"/>
      <c r="D227" s="199"/>
      <c r="E227" s="199"/>
      <c r="F227" s="199"/>
      <c r="G227" s="199"/>
      <c r="H227" s="199"/>
      <c r="I227" s="199"/>
      <c r="J227" s="199"/>
      <c r="K227" s="199"/>
    </row>
    <row r="228" spans="1:13" s="21" customFormat="1" ht="17.25" customHeight="1" x14ac:dyDescent="0.2">
      <c r="A228" s="879"/>
      <c r="B228" s="391" t="s">
        <v>459</v>
      </c>
      <c r="C228" s="391" t="s">
        <v>216</v>
      </c>
      <c r="D228" s="512"/>
      <c r="E228" s="512" t="s">
        <v>405</v>
      </c>
      <c r="F228" s="512"/>
      <c r="G228" s="503" t="s">
        <v>213</v>
      </c>
    </row>
    <row r="229" spans="1:13" s="21" customFormat="1" ht="28.5" customHeight="1" x14ac:dyDescent="0.2">
      <c r="A229" s="879"/>
      <c r="B229" s="1" t="s">
        <v>1824</v>
      </c>
      <c r="C229" s="493">
        <v>20</v>
      </c>
      <c r="D229" s="491" t="s">
        <v>45</v>
      </c>
      <c r="E229" s="493">
        <v>1.05</v>
      </c>
      <c r="F229" s="678" t="s">
        <v>46</v>
      </c>
      <c r="G229" s="678">
        <f>ROUND(C229*E229,2)</f>
        <v>21</v>
      </c>
    </row>
    <row r="230" spans="1:13" s="21" customFormat="1" x14ac:dyDescent="0.2">
      <c r="A230" s="879"/>
      <c r="B230" s="878"/>
      <c r="C230" s="878"/>
      <c r="D230" s="878"/>
      <c r="E230" s="878"/>
      <c r="F230" s="878"/>
      <c r="G230" s="878"/>
      <c r="H230" s="878"/>
      <c r="I230" s="878"/>
      <c r="J230" s="878"/>
      <c r="K230" s="199"/>
      <c r="M230" s="162"/>
    </row>
    <row r="231" spans="1:13" s="140" customFormat="1" ht="15" customHeight="1" x14ac:dyDescent="0.2">
      <c r="A231" s="879"/>
      <c r="B231" s="667" t="s">
        <v>47</v>
      </c>
      <c r="C231" s="668">
        <f>ROUND(SUM(G229),2)</f>
        <v>21</v>
      </c>
      <c r="D231" s="669" t="s">
        <v>497</v>
      </c>
      <c r="E231" s="878"/>
      <c r="F231" s="878"/>
      <c r="G231" s="878"/>
      <c r="H231" s="878"/>
      <c r="I231" s="878"/>
      <c r="J231" s="878"/>
      <c r="K231" s="406"/>
      <c r="M231" s="162"/>
    </row>
    <row r="232" spans="1:13" s="458" customFormat="1" x14ac:dyDescent="0.2">
      <c r="A232" s="397"/>
      <c r="B232" s="368"/>
      <c r="C232" s="368"/>
      <c r="D232" s="368"/>
      <c r="E232" s="883"/>
      <c r="F232" s="883"/>
      <c r="G232" s="883"/>
      <c r="H232" s="883"/>
      <c r="I232" s="883"/>
      <c r="J232" s="883"/>
      <c r="K232" s="401"/>
      <c r="M232" s="402"/>
    </row>
    <row r="233" spans="1:13" s="21" customFormat="1" ht="31.5" customHeight="1" x14ac:dyDescent="0.2">
      <c r="A233" s="879" t="str">
        <f>ORÇ!A145</f>
        <v>10.2.4</v>
      </c>
      <c r="B233" s="1711" t="str">
        <f>ORÇ!D145</f>
        <v>EXECUÇÃO DE PASSEIO (CALÇADA) OU PISO DE CONCRETO COM CONCRETO MOLDADO IN LOCO, FEITO EM OBRA, ACABAMENTO CONVENCIONAL, ESPESSURA 12 CM, ARMADO. AF_07/2016</v>
      </c>
      <c r="C233" s="1711"/>
      <c r="D233" s="1711"/>
      <c r="E233" s="1711"/>
      <c r="F233" s="1711"/>
      <c r="G233" s="1711"/>
      <c r="H233" s="1711"/>
      <c r="I233" s="1711"/>
      <c r="J233" s="1711"/>
      <c r="K233" s="199"/>
    </row>
    <row r="234" spans="1:13" s="21" customFormat="1" ht="12.75" customHeight="1" x14ac:dyDescent="0.2">
      <c r="A234" s="466"/>
      <c r="B234" s="199"/>
      <c r="C234" s="199"/>
      <c r="D234" s="199"/>
      <c r="E234" s="199"/>
      <c r="F234" s="199"/>
      <c r="G234" s="199"/>
      <c r="H234" s="199"/>
      <c r="I234" s="199"/>
      <c r="J234" s="199"/>
      <c r="K234" s="199"/>
    </row>
    <row r="235" spans="1:13" s="21" customFormat="1" ht="17.25" customHeight="1" x14ac:dyDescent="0.2">
      <c r="A235" s="466"/>
      <c r="B235" s="391" t="str">
        <f>B195</f>
        <v>Ambientes</v>
      </c>
      <c r="C235" s="391" t="str">
        <f>C195</f>
        <v>Comprimento</v>
      </c>
      <c r="D235" s="391"/>
      <c r="E235" s="391" t="str">
        <f>E195</f>
        <v>Largura</v>
      </c>
      <c r="F235" s="512"/>
      <c r="G235" s="503" t="s">
        <v>213</v>
      </c>
      <c r="I235" s="162"/>
    </row>
    <row r="236" spans="1:13" s="21" customFormat="1" ht="18" customHeight="1" x14ac:dyDescent="0.2">
      <c r="A236" s="466"/>
      <c r="B236" s="785" t="str">
        <f>B201</f>
        <v>Ambulância</v>
      </c>
      <c r="C236" s="516">
        <f>C201</f>
        <v>7.6</v>
      </c>
      <c r="D236" s="391" t="str">
        <f>D201</f>
        <v>x</v>
      </c>
      <c r="E236" s="516">
        <f>E201</f>
        <v>4.7</v>
      </c>
      <c r="F236" s="512" t="s">
        <v>46</v>
      </c>
      <c r="G236" s="503">
        <f>ROUND(C236*E236,2)</f>
        <v>35.72</v>
      </c>
      <c r="I236" s="162"/>
    </row>
    <row r="237" spans="1:13" s="21" customFormat="1" ht="18" customHeight="1" x14ac:dyDescent="0.2">
      <c r="A237" s="466"/>
      <c r="B237" s="785" t="s">
        <v>1826</v>
      </c>
      <c r="C237" s="516">
        <f>C202</f>
        <v>2</v>
      </c>
      <c r="D237" s="391" t="str">
        <f>D202</f>
        <v>x</v>
      </c>
      <c r="E237" s="516">
        <f>E202</f>
        <v>2</v>
      </c>
      <c r="F237" s="512" t="s">
        <v>46</v>
      </c>
      <c r="G237" s="503">
        <f t="shared" ref="G237" si="7">ROUND(C237*E237,2)</f>
        <v>4</v>
      </c>
      <c r="I237" s="162"/>
    </row>
    <row r="238" spans="1:13" s="21" customFormat="1" x14ac:dyDescent="0.2">
      <c r="A238" s="466"/>
      <c r="B238" s="463"/>
      <c r="C238" s="463"/>
      <c r="D238" s="463"/>
      <c r="E238" s="463"/>
      <c r="F238" s="463"/>
      <c r="G238" s="463"/>
      <c r="H238" s="463"/>
      <c r="I238" s="463"/>
      <c r="J238" s="463"/>
      <c r="K238" s="199"/>
      <c r="M238" s="162"/>
    </row>
    <row r="239" spans="1:13" s="140" customFormat="1" ht="18" customHeight="1" x14ac:dyDescent="0.2">
      <c r="A239" s="818"/>
      <c r="B239" s="667" t="s">
        <v>47</v>
      </c>
      <c r="C239" s="668">
        <f>ROUND(SUM(G236:G237),2)</f>
        <v>39.72</v>
      </c>
      <c r="D239" s="669" t="s">
        <v>4</v>
      </c>
      <c r="E239" s="817"/>
      <c r="F239" s="817"/>
      <c r="G239" s="817"/>
      <c r="H239" s="817"/>
      <c r="I239" s="817"/>
      <c r="J239" s="817"/>
      <c r="K239" s="406"/>
      <c r="M239" s="162"/>
    </row>
    <row r="240" spans="1:13" s="458" customFormat="1" x14ac:dyDescent="0.2">
      <c r="A240" s="397"/>
      <c r="B240" s="368"/>
      <c r="C240" s="368"/>
      <c r="D240" s="368"/>
      <c r="E240" s="400"/>
      <c r="F240" s="400"/>
      <c r="G240" s="400"/>
      <c r="H240" s="400"/>
      <c r="I240" s="400"/>
      <c r="J240" s="400"/>
      <c r="K240" s="401"/>
      <c r="M240" s="402"/>
    </row>
    <row r="241" spans="1:13" s="21" customFormat="1" ht="21" customHeight="1" x14ac:dyDescent="0.2">
      <c r="A241" s="466" t="str">
        <f>ORÇ!A146</f>
        <v>10.2.5</v>
      </c>
      <c r="B241" s="1711" t="str">
        <f>ORÇ!D146</f>
        <v xml:space="preserve">EXECUÇÃO DE PASSEIO (CALÇADA) OU PISO DE CONCRETO COM CONCRETO MOLDADO IN LOCO, USINADO, ACABAMENTO CONVENCIONAL, NÃO ARMADO. AF_07/2016 </v>
      </c>
      <c r="C241" s="1711"/>
      <c r="D241" s="1711"/>
      <c r="E241" s="1711"/>
      <c r="F241" s="1711"/>
      <c r="G241" s="1711"/>
      <c r="H241" s="1711"/>
      <c r="I241" s="1711"/>
      <c r="J241" s="1711"/>
      <c r="K241" s="199"/>
    </row>
    <row r="242" spans="1:13" s="21" customFormat="1" ht="12.75" customHeight="1" x14ac:dyDescent="0.2">
      <c r="A242" s="466"/>
      <c r="B242" s="199"/>
      <c r="C242" s="199"/>
      <c r="D242" s="199"/>
      <c r="E242" s="199"/>
      <c r="F242" s="199"/>
      <c r="G242" s="199"/>
      <c r="H242" s="199"/>
      <c r="I242" s="199"/>
      <c r="J242" s="199"/>
      <c r="K242" s="199"/>
    </row>
    <row r="243" spans="1:13" s="21" customFormat="1" ht="17.25" customHeight="1" x14ac:dyDescent="0.2">
      <c r="A243" s="466"/>
      <c r="B243" s="391" t="str">
        <f>B195</f>
        <v>Ambientes</v>
      </c>
      <c r="C243" s="391" t="str">
        <f>C195</f>
        <v>Comprimento</v>
      </c>
      <c r="D243" s="391"/>
      <c r="E243" s="391" t="str">
        <f t="shared" ref="E243:E248" si="8">E195</f>
        <v>Largura</v>
      </c>
      <c r="F243" s="512"/>
      <c r="G243" s="512" t="s">
        <v>630</v>
      </c>
      <c r="H243" s="512"/>
      <c r="I243" s="503" t="s">
        <v>312</v>
      </c>
    </row>
    <row r="244" spans="1:13" s="21" customFormat="1" x14ac:dyDescent="0.2">
      <c r="A244" s="466"/>
      <c r="B244" s="1827" t="str">
        <f>B196</f>
        <v>Calçada de Proteção</v>
      </c>
      <c r="C244" s="516">
        <f>C196</f>
        <v>8.1</v>
      </c>
      <c r="D244" s="391" t="str">
        <f t="shared" ref="D244:D248" si="9">D196</f>
        <v>x</v>
      </c>
      <c r="E244" s="516">
        <f t="shared" si="8"/>
        <v>0.5</v>
      </c>
      <c r="F244" s="512" t="s">
        <v>45</v>
      </c>
      <c r="G244" s="512">
        <v>0.08</v>
      </c>
      <c r="H244" s="512" t="s">
        <v>46</v>
      </c>
      <c r="I244" s="530">
        <f>ROUND(C244*E244*G244,2)</f>
        <v>0.32</v>
      </c>
    </row>
    <row r="245" spans="1:13" s="21" customFormat="1" x14ac:dyDescent="0.2">
      <c r="A245" s="466"/>
      <c r="B245" s="1828"/>
      <c r="C245" s="516">
        <f>C197</f>
        <v>4.1500000000000004</v>
      </c>
      <c r="D245" s="391" t="str">
        <f t="shared" si="9"/>
        <v>x</v>
      </c>
      <c r="E245" s="516">
        <f t="shared" si="8"/>
        <v>0.5</v>
      </c>
      <c r="F245" s="512" t="s">
        <v>45</v>
      </c>
      <c r="G245" s="512">
        <v>0.08</v>
      </c>
      <c r="H245" s="512" t="s">
        <v>46</v>
      </c>
      <c r="I245" s="530">
        <f t="shared" ref="I245:I253" si="10">ROUND(C245*E245*G245,2)</f>
        <v>0.17</v>
      </c>
    </row>
    <row r="246" spans="1:13" s="21" customFormat="1" x14ac:dyDescent="0.2">
      <c r="A246" s="466"/>
      <c r="B246" s="1828"/>
      <c r="C246" s="516">
        <f>C198</f>
        <v>1.85</v>
      </c>
      <c r="D246" s="391" t="str">
        <f t="shared" si="9"/>
        <v>x</v>
      </c>
      <c r="E246" s="516">
        <f t="shared" si="8"/>
        <v>0.5</v>
      </c>
      <c r="F246" s="512" t="s">
        <v>45</v>
      </c>
      <c r="G246" s="512">
        <v>0.08</v>
      </c>
      <c r="H246" s="512" t="s">
        <v>46</v>
      </c>
      <c r="I246" s="530">
        <f t="shared" si="10"/>
        <v>7.0000000000000007E-2</v>
      </c>
    </row>
    <row r="247" spans="1:13" s="21" customFormat="1" x14ac:dyDescent="0.2">
      <c r="A247" s="466"/>
      <c r="B247" s="1828"/>
      <c r="C247" s="516">
        <f>C199</f>
        <v>27.35</v>
      </c>
      <c r="D247" s="391" t="str">
        <f t="shared" si="9"/>
        <v>x</v>
      </c>
      <c r="E247" s="516">
        <f t="shared" si="8"/>
        <v>0.5</v>
      </c>
      <c r="F247" s="512" t="s">
        <v>45</v>
      </c>
      <c r="G247" s="512">
        <v>0.08</v>
      </c>
      <c r="H247" s="512" t="s">
        <v>46</v>
      </c>
      <c r="I247" s="530">
        <f t="shared" si="10"/>
        <v>1.0900000000000001</v>
      </c>
    </row>
    <row r="248" spans="1:13" s="21" customFormat="1" x14ac:dyDescent="0.2">
      <c r="A248" s="466"/>
      <c r="B248" s="1829"/>
      <c r="C248" s="516">
        <f>C200</f>
        <v>24.9</v>
      </c>
      <c r="D248" s="391" t="str">
        <f t="shared" si="9"/>
        <v>x</v>
      </c>
      <c r="E248" s="516">
        <f t="shared" si="8"/>
        <v>0.5</v>
      </c>
      <c r="F248" s="512" t="s">
        <v>45</v>
      </c>
      <c r="G248" s="512">
        <v>0.08</v>
      </c>
      <c r="H248" s="512" t="s">
        <v>46</v>
      </c>
      <c r="I248" s="530">
        <f t="shared" si="10"/>
        <v>1</v>
      </c>
    </row>
    <row r="249" spans="1:13" s="21" customFormat="1" ht="21.75" customHeight="1" x14ac:dyDescent="0.2">
      <c r="A249" s="896"/>
      <c r="B249" s="1827" t="s">
        <v>1828</v>
      </c>
      <c r="C249" s="516">
        <v>7.2</v>
      </c>
      <c r="D249" s="391" t="str">
        <f>D199</f>
        <v>x</v>
      </c>
      <c r="E249" s="516">
        <v>0.1</v>
      </c>
      <c r="F249" s="512" t="s">
        <v>45</v>
      </c>
      <c r="G249" s="512">
        <v>0.05</v>
      </c>
      <c r="H249" s="512" t="s">
        <v>46</v>
      </c>
      <c r="I249" s="530">
        <f t="shared" ref="I249:I250" si="11">ROUND(C249*E249*G249,2)</f>
        <v>0.04</v>
      </c>
    </row>
    <row r="250" spans="1:13" s="21" customFormat="1" ht="21.75" customHeight="1" x14ac:dyDescent="0.2">
      <c r="A250" s="896"/>
      <c r="B250" s="1829"/>
      <c r="C250" s="516">
        <v>7.2</v>
      </c>
      <c r="D250" s="391" t="str">
        <f>D200</f>
        <v>x</v>
      </c>
      <c r="E250" s="516">
        <v>0.1</v>
      </c>
      <c r="F250" s="512" t="s">
        <v>45</v>
      </c>
      <c r="G250" s="512">
        <v>0.05</v>
      </c>
      <c r="H250" s="512" t="s">
        <v>46</v>
      </c>
      <c r="I250" s="530">
        <f t="shared" si="11"/>
        <v>0.04</v>
      </c>
    </row>
    <row r="251" spans="1:13" s="21" customFormat="1" ht="26.25" customHeight="1" x14ac:dyDescent="0.2">
      <c r="A251" s="818"/>
      <c r="B251" s="3" t="s">
        <v>1822</v>
      </c>
      <c r="C251" s="516">
        <v>11.35</v>
      </c>
      <c r="D251" s="391" t="str">
        <f>D202</f>
        <v>x</v>
      </c>
      <c r="E251" s="516">
        <v>2.1</v>
      </c>
      <c r="F251" s="512" t="s">
        <v>45</v>
      </c>
      <c r="G251" s="512">
        <v>0.03</v>
      </c>
      <c r="H251" s="512" t="s">
        <v>46</v>
      </c>
      <c r="I251" s="530">
        <f t="shared" si="10"/>
        <v>0.72</v>
      </c>
    </row>
    <row r="252" spans="1:13" s="21" customFormat="1" ht="29.25" customHeight="1" x14ac:dyDescent="0.2">
      <c r="A252" s="879"/>
      <c r="B252" s="3" t="s">
        <v>1697</v>
      </c>
      <c r="C252" s="1833" t="s">
        <v>1698</v>
      </c>
      <c r="D252" s="1834"/>
      <c r="E252" s="516">
        <v>54.88</v>
      </c>
      <c r="F252" s="512" t="s">
        <v>45</v>
      </c>
      <c r="G252" s="512">
        <v>0.03</v>
      </c>
      <c r="H252" s="512" t="s">
        <v>46</v>
      </c>
      <c r="I252" s="530">
        <f>ROUND(E252*G252,2)</f>
        <v>1.65</v>
      </c>
    </row>
    <row r="253" spans="1:13" s="21" customFormat="1" ht="15.75" customHeight="1" x14ac:dyDescent="0.2">
      <c r="A253" s="466"/>
      <c r="B253" s="517" t="str">
        <f>B203</f>
        <v>Patamar 2</v>
      </c>
      <c r="C253" s="516">
        <f>C203</f>
        <v>17.649999999999999</v>
      </c>
      <c r="D253" s="391" t="str">
        <f>D203</f>
        <v>x</v>
      </c>
      <c r="E253" s="516">
        <f>E203</f>
        <v>2</v>
      </c>
      <c r="F253" s="512" t="s">
        <v>45</v>
      </c>
      <c r="G253" s="512">
        <v>0.12</v>
      </c>
      <c r="H253" s="512" t="s">
        <v>46</v>
      </c>
      <c r="I253" s="530">
        <f t="shared" si="10"/>
        <v>4.24</v>
      </c>
    </row>
    <row r="254" spans="1:13" s="21" customFormat="1" x14ac:dyDescent="0.2">
      <c r="A254" s="466"/>
      <c r="B254" s="463"/>
      <c r="C254" s="463"/>
      <c r="D254" s="463"/>
      <c r="E254" s="463"/>
      <c r="F254" s="463"/>
      <c r="G254" s="463"/>
      <c r="H254" s="463"/>
      <c r="I254" s="463"/>
      <c r="J254" s="463"/>
      <c r="K254" s="199"/>
      <c r="M254" s="162"/>
    </row>
    <row r="255" spans="1:13" s="140" customFormat="1" ht="15" customHeight="1" x14ac:dyDescent="0.2">
      <c r="A255" s="818"/>
      <c r="B255" s="667" t="s">
        <v>47</v>
      </c>
      <c r="C255" s="668">
        <f>ROUND(SUM(I244:I253),2)</f>
        <v>9.34</v>
      </c>
      <c r="D255" s="669" t="s">
        <v>497</v>
      </c>
      <c r="E255" s="817"/>
      <c r="F255" s="817"/>
      <c r="G255" s="817"/>
      <c r="H255" s="817"/>
      <c r="I255" s="817"/>
      <c r="J255" s="817"/>
      <c r="K255" s="406"/>
      <c r="M255" s="162"/>
    </row>
    <row r="256" spans="1:13" s="458" customFormat="1" x14ac:dyDescent="0.2">
      <c r="A256" s="397"/>
      <c r="B256" s="368"/>
      <c r="C256" s="368"/>
      <c r="D256" s="368"/>
      <c r="E256" s="400"/>
      <c r="F256" s="400"/>
      <c r="G256" s="400"/>
      <c r="H256" s="400"/>
      <c r="I256" s="400"/>
      <c r="J256" s="400"/>
      <c r="K256" s="401"/>
      <c r="M256" s="402"/>
    </row>
    <row r="257" spans="1:13" s="21" customFormat="1" ht="24.75" customHeight="1" x14ac:dyDescent="0.2">
      <c r="A257" s="1070" t="str">
        <f>ORÇ!A147</f>
        <v>10.2.6</v>
      </c>
      <c r="B257" s="1711" t="str">
        <f>ORÇ!D147</f>
        <v>CALÇADA (INCL.ALICERCE, BALDRAME E CONCRETO C/ JUNTA SECA)</v>
      </c>
      <c r="C257" s="1711"/>
      <c r="D257" s="1711"/>
      <c r="E257" s="1711"/>
      <c r="F257" s="1711"/>
      <c r="G257" s="1711"/>
      <c r="H257" s="1711"/>
      <c r="I257" s="1711"/>
      <c r="J257" s="1711"/>
      <c r="K257" s="199"/>
    </row>
    <row r="258" spans="1:13" s="21" customFormat="1" ht="12.75" customHeight="1" x14ac:dyDescent="0.2">
      <c r="A258" s="1070"/>
      <c r="B258" s="199"/>
      <c r="C258" s="199"/>
      <c r="D258" s="199"/>
      <c r="E258" s="199"/>
      <c r="F258" s="199"/>
      <c r="G258" s="199"/>
      <c r="H258" s="199"/>
      <c r="I258" s="199"/>
      <c r="J258" s="199"/>
      <c r="K258" s="199"/>
    </row>
    <row r="259" spans="1:13" s="21" customFormat="1" ht="17.25" customHeight="1" x14ac:dyDescent="0.2">
      <c r="A259" s="1070"/>
      <c r="B259" s="391" t="str">
        <f>B235</f>
        <v>Ambientes</v>
      </c>
      <c r="C259" s="391" t="str">
        <f>C235</f>
        <v>Comprimento</v>
      </c>
      <c r="D259" s="391"/>
      <c r="E259" s="391" t="str">
        <f>E235</f>
        <v>Largura</v>
      </c>
      <c r="F259" s="512"/>
      <c r="G259" s="503" t="s">
        <v>213</v>
      </c>
      <c r="I259" s="162"/>
    </row>
    <row r="260" spans="1:13" s="140" customFormat="1" ht="27.75" customHeight="1" x14ac:dyDescent="0.2">
      <c r="A260" s="1070"/>
      <c r="B260" s="3" t="s">
        <v>1823</v>
      </c>
      <c r="C260" s="516">
        <v>20</v>
      </c>
      <c r="D260" s="391" t="str">
        <f>D202</f>
        <v>x</v>
      </c>
      <c r="E260" s="516">
        <v>1.2</v>
      </c>
      <c r="F260" s="512" t="s">
        <v>46</v>
      </c>
      <c r="G260" s="530">
        <f>ROUND(C260*E260,2)</f>
        <v>24</v>
      </c>
      <c r="I260" s="162"/>
    </row>
    <row r="261" spans="1:13" s="21" customFormat="1" x14ac:dyDescent="0.2">
      <c r="A261" s="1070"/>
      <c r="B261" s="1069"/>
      <c r="C261" s="1069"/>
      <c r="D261" s="1069"/>
      <c r="E261" s="1069"/>
      <c r="F261" s="1069"/>
      <c r="G261" s="1069"/>
      <c r="H261" s="1069"/>
      <c r="I261" s="1069"/>
      <c r="J261" s="1069"/>
      <c r="K261" s="199"/>
      <c r="M261" s="162"/>
    </row>
    <row r="262" spans="1:13" s="140" customFormat="1" ht="18" customHeight="1" x14ac:dyDescent="0.2">
      <c r="A262" s="1070"/>
      <c r="B262" s="667" t="s">
        <v>47</v>
      </c>
      <c r="C262" s="668">
        <f>ROUND(SUM(G260:G260),2)</f>
        <v>24</v>
      </c>
      <c r="D262" s="669" t="s">
        <v>4</v>
      </c>
      <c r="E262" s="1069"/>
      <c r="F262" s="1069"/>
      <c r="G262" s="1069"/>
      <c r="H262" s="1069"/>
      <c r="I262" s="1069"/>
      <c r="J262" s="1069"/>
      <c r="K262" s="406"/>
      <c r="M262" s="162"/>
    </row>
    <row r="263" spans="1:13" s="458" customFormat="1" x14ac:dyDescent="0.2">
      <c r="A263" s="397"/>
      <c r="B263" s="368"/>
      <c r="C263" s="368"/>
      <c r="D263" s="368"/>
      <c r="E263" s="1071"/>
      <c r="F263" s="1071"/>
      <c r="G263" s="1071"/>
      <c r="H263" s="1071"/>
      <c r="I263" s="1071"/>
      <c r="J263" s="1071"/>
      <c r="K263" s="401"/>
      <c r="M263" s="402"/>
    </row>
    <row r="264" spans="1:13" s="21" customFormat="1" ht="24.75" customHeight="1" x14ac:dyDescent="0.2">
      <c r="A264" s="1104" t="str">
        <f>ORÇ!A148</f>
        <v>10.2.7</v>
      </c>
      <c r="B264" s="1711" t="str">
        <f>ORÇ!D148</f>
        <v>CONCRETO CICLÓPICO FCK = 15MPA, 30% PEDRA DE MÃO EM VOLUME REAL, INCLUSIVE LANÇAMENTO. AF_05/2021</v>
      </c>
      <c r="C264" s="1711"/>
      <c r="D264" s="1711"/>
      <c r="E264" s="1711"/>
      <c r="F264" s="1711"/>
      <c r="G264" s="1711"/>
      <c r="H264" s="1711"/>
      <c r="I264" s="1711"/>
      <c r="J264" s="1711"/>
      <c r="K264" s="199"/>
    </row>
    <row r="265" spans="1:13" s="21" customFormat="1" ht="12.75" customHeight="1" x14ac:dyDescent="0.2">
      <c r="A265" s="1104"/>
      <c r="B265" s="199"/>
      <c r="C265" s="199"/>
      <c r="D265" s="199"/>
      <c r="E265" s="199"/>
      <c r="F265" s="199"/>
      <c r="G265" s="199"/>
      <c r="H265" s="199"/>
      <c r="I265" s="199"/>
      <c r="J265" s="199"/>
      <c r="K265" s="199"/>
    </row>
    <row r="266" spans="1:13" s="21" customFormat="1" ht="12.75" customHeight="1" x14ac:dyDescent="0.2">
      <c r="A266" s="1104"/>
      <c r="B266" s="403" t="s">
        <v>2165</v>
      </c>
      <c r="C266" s="199"/>
      <c r="D266" s="199"/>
      <c r="E266" s="199"/>
      <c r="F266" s="199"/>
      <c r="G266" s="199"/>
      <c r="H266" s="199"/>
      <c r="I266" s="199"/>
      <c r="J266" s="199"/>
      <c r="K266" s="199"/>
    </row>
    <row r="267" spans="1:13" s="21" customFormat="1" ht="12.75" customHeight="1" x14ac:dyDescent="0.2">
      <c r="A267" s="1104"/>
      <c r="B267" s="403" t="s">
        <v>2166</v>
      </c>
      <c r="C267" s="199"/>
      <c r="D267" s="199"/>
      <c r="E267" s="199"/>
      <c r="F267" s="199"/>
      <c r="G267" s="199"/>
      <c r="H267" s="199"/>
      <c r="I267" s="199"/>
      <c r="J267" s="199"/>
      <c r="K267" s="199"/>
    </row>
    <row r="268" spans="1:13" s="21" customFormat="1" ht="12.75" customHeight="1" x14ac:dyDescent="0.2">
      <c r="A268" s="1104"/>
      <c r="B268" s="199"/>
      <c r="C268" s="199"/>
      <c r="D268" s="199"/>
      <c r="E268" s="199"/>
      <c r="F268" s="199"/>
      <c r="G268" s="199"/>
      <c r="H268" s="199"/>
      <c r="I268" s="199"/>
      <c r="J268" s="199"/>
      <c r="K268" s="199"/>
    </row>
    <row r="269" spans="1:13" s="21" customFormat="1" ht="17.25" customHeight="1" x14ac:dyDescent="0.2">
      <c r="A269" s="1104"/>
      <c r="B269" s="391" t="s">
        <v>589</v>
      </c>
      <c r="C269" s="391" t="s">
        <v>216</v>
      </c>
      <c r="D269" s="391"/>
      <c r="E269" s="391" t="s">
        <v>405</v>
      </c>
      <c r="F269" s="512"/>
      <c r="G269" s="512" t="s">
        <v>630</v>
      </c>
      <c r="H269" s="512"/>
      <c r="I269" s="503" t="s">
        <v>312</v>
      </c>
    </row>
    <row r="270" spans="1:13" s="140" customFormat="1" ht="28.5" customHeight="1" x14ac:dyDescent="0.2">
      <c r="A270" s="1104"/>
      <c r="B270" s="3" t="s">
        <v>1824</v>
      </c>
      <c r="C270" s="516">
        <v>20</v>
      </c>
      <c r="D270" s="391" t="s">
        <v>45</v>
      </c>
      <c r="E270" s="516">
        <v>0.4</v>
      </c>
      <c r="F270" s="512" t="s">
        <v>45</v>
      </c>
      <c r="G270" s="512">
        <v>0.25</v>
      </c>
      <c r="H270" s="512" t="s">
        <v>46</v>
      </c>
      <c r="I270" s="530">
        <f>ROUND(C270*E270*G270,2)</f>
        <v>2</v>
      </c>
    </row>
    <row r="271" spans="1:13" s="21" customFormat="1" x14ac:dyDescent="0.2">
      <c r="A271" s="1104"/>
      <c r="B271" s="1103"/>
      <c r="C271" s="1103"/>
      <c r="D271" s="1103"/>
      <c r="E271" s="1103"/>
      <c r="F271" s="1103"/>
      <c r="G271" s="1103"/>
      <c r="H271" s="1103"/>
      <c r="I271" s="1103"/>
      <c r="J271" s="1103"/>
      <c r="K271" s="199"/>
      <c r="M271" s="162"/>
    </row>
    <row r="272" spans="1:13" s="140" customFormat="1" ht="18" customHeight="1" x14ac:dyDescent="0.2">
      <c r="A272" s="1104"/>
      <c r="B272" s="667" t="s">
        <v>47</v>
      </c>
      <c r="C272" s="668">
        <f>ROUND(SUM(I270:I271),2)</f>
        <v>2</v>
      </c>
      <c r="D272" s="669" t="s">
        <v>497</v>
      </c>
      <c r="E272" s="1103"/>
      <c r="F272" s="1103"/>
      <c r="G272" s="1103"/>
      <c r="H272" s="1103"/>
      <c r="I272" s="1103"/>
      <c r="J272" s="1103"/>
      <c r="K272" s="406"/>
      <c r="M272" s="162"/>
    </row>
    <row r="273" spans="1:13" s="458" customFormat="1" x14ac:dyDescent="0.2">
      <c r="A273" s="397"/>
      <c r="B273" s="368"/>
      <c r="C273" s="368"/>
      <c r="D273" s="368"/>
      <c r="E273" s="1108"/>
      <c r="F273" s="1108"/>
      <c r="G273" s="1108"/>
      <c r="H273" s="1108"/>
      <c r="I273" s="1108"/>
      <c r="J273" s="1108"/>
      <c r="K273" s="401"/>
      <c r="M273" s="402"/>
    </row>
    <row r="274" spans="1:13" s="21" customFormat="1" ht="24.75" customHeight="1" x14ac:dyDescent="0.2">
      <c r="A274" s="1104" t="str">
        <f>ORÇ!A149</f>
        <v>10.2.8</v>
      </c>
      <c r="B274" s="1711" t="str">
        <f>ORÇ!D149</f>
        <v>MEIO-FIO EM CONCRETO NAS DIMENSÕES 0,30M X 0,12M SEM LÂMINA D'ÁGUA</v>
      </c>
      <c r="C274" s="1711"/>
      <c r="D274" s="1711"/>
      <c r="E274" s="1711"/>
      <c r="F274" s="1711"/>
      <c r="G274" s="1711"/>
      <c r="H274" s="1711"/>
      <c r="I274" s="1711"/>
      <c r="J274" s="1711"/>
      <c r="K274" s="199"/>
    </row>
    <row r="275" spans="1:13" s="21" customFormat="1" ht="12.75" customHeight="1" x14ac:dyDescent="0.2">
      <c r="A275" s="1104"/>
      <c r="B275" s="199"/>
      <c r="C275" s="199"/>
      <c r="D275" s="199"/>
      <c r="E275" s="199"/>
      <c r="F275" s="199"/>
      <c r="G275" s="199"/>
      <c r="H275" s="199"/>
      <c r="I275" s="199"/>
      <c r="J275" s="199"/>
      <c r="K275" s="199"/>
    </row>
    <row r="276" spans="1:13" s="21" customFormat="1" ht="15.75" customHeight="1" x14ac:dyDescent="0.2">
      <c r="A276" s="1104"/>
      <c r="B276" s="1123"/>
      <c r="C276" s="391" t="s">
        <v>216</v>
      </c>
      <c r="D276" s="162"/>
      <c r="I276" s="162"/>
    </row>
    <row r="277" spans="1:13" s="140" customFormat="1" ht="28.5" customHeight="1" x14ac:dyDescent="0.2">
      <c r="A277" s="1104"/>
      <c r="B277" s="3" t="s">
        <v>1824</v>
      </c>
      <c r="C277" s="456">
        <v>20</v>
      </c>
      <c r="D277" s="162"/>
      <c r="I277" s="162"/>
    </row>
    <row r="278" spans="1:13" s="140" customFormat="1" ht="28.5" customHeight="1" x14ac:dyDescent="0.2">
      <c r="A278" s="1104"/>
      <c r="B278" s="3" t="s">
        <v>1823</v>
      </c>
      <c r="C278" s="456">
        <v>20</v>
      </c>
      <c r="D278" s="162"/>
      <c r="I278" s="162"/>
    </row>
    <row r="279" spans="1:13" s="21" customFormat="1" x14ac:dyDescent="0.2">
      <c r="A279" s="1104"/>
      <c r="B279" s="1103"/>
      <c r="C279" s="1103"/>
      <c r="D279" s="1103"/>
      <c r="E279" s="1103"/>
      <c r="F279" s="1103"/>
      <c r="G279" s="1103"/>
      <c r="H279" s="1103"/>
      <c r="I279" s="1103"/>
      <c r="J279" s="1103"/>
      <c r="K279" s="199"/>
      <c r="M279" s="162"/>
    </row>
    <row r="280" spans="1:13" s="140" customFormat="1" ht="18" customHeight="1" x14ac:dyDescent="0.2">
      <c r="A280" s="1104"/>
      <c r="B280" s="667" t="s">
        <v>47</v>
      </c>
      <c r="C280" s="668">
        <f>ROUND(SUM(C277:C278),2)</f>
        <v>40</v>
      </c>
      <c r="D280" s="669" t="s">
        <v>12</v>
      </c>
      <c r="E280" s="1103"/>
      <c r="F280" s="1103"/>
      <c r="G280" s="1103"/>
      <c r="H280" s="1103"/>
      <c r="I280" s="1103"/>
      <c r="J280" s="1103"/>
      <c r="K280" s="406"/>
      <c r="M280" s="162"/>
    </row>
    <row r="281" spans="1:13" s="458" customFormat="1" x14ac:dyDescent="0.2">
      <c r="A281" s="397"/>
      <c r="B281" s="368"/>
      <c r="C281" s="368"/>
      <c r="D281" s="368"/>
      <c r="E281" s="1108"/>
      <c r="F281" s="1108"/>
      <c r="G281" s="1108"/>
      <c r="H281" s="1108"/>
      <c r="I281" s="1108"/>
      <c r="J281" s="1108"/>
      <c r="K281" s="401"/>
      <c r="M281" s="402"/>
    </row>
    <row r="282" spans="1:13" ht="14.25" customHeight="1" x14ac:dyDescent="0.2">
      <c r="A282" s="341" t="str">
        <f>ORÇ!A150</f>
        <v>10.3</v>
      </c>
      <c r="B282" s="199" t="str">
        <f>ORÇ!D150</f>
        <v>Rampas</v>
      </c>
      <c r="C282" s="199"/>
      <c r="D282" s="199"/>
      <c r="E282" s="199"/>
      <c r="F282" s="199"/>
      <c r="G282" s="199"/>
      <c r="H282" s="199"/>
      <c r="I282" s="199"/>
      <c r="J282" s="199"/>
      <c r="K282" s="199"/>
    </row>
    <row r="283" spans="1:13" s="139" customFormat="1" ht="18.75" customHeight="1" x14ac:dyDescent="0.2">
      <c r="A283" s="818" t="str">
        <f>ORÇ!A151</f>
        <v>10.3.1</v>
      </c>
      <c r="B283" s="1711" t="str">
        <f>ORÇ!D151</f>
        <v>ATERRO MANUAL DE VALAS COM SOLO ARGILO-ARENOSO E COMPACTAÇÃO MECANIZADA. AF_05/2016</v>
      </c>
      <c r="C283" s="1711"/>
      <c r="D283" s="1711"/>
      <c r="E283" s="1711"/>
      <c r="F283" s="1711"/>
      <c r="G283" s="1711"/>
      <c r="H283" s="1711"/>
      <c r="I283" s="1711"/>
      <c r="J283" s="1711"/>
      <c r="K283" s="406"/>
    </row>
    <row r="284" spans="1:13" x14ac:dyDescent="0.2">
      <c r="A284" s="388"/>
      <c r="B284" s="385"/>
      <c r="C284" s="385"/>
      <c r="D284" s="385"/>
      <c r="E284" s="385"/>
      <c r="F284" s="385"/>
      <c r="G284" s="385"/>
      <c r="H284" s="385"/>
      <c r="I284" s="385"/>
      <c r="J284" s="385"/>
      <c r="K284" s="199"/>
    </row>
    <row r="285" spans="1:13" s="139" customFormat="1" ht="15.75" customHeight="1" x14ac:dyDescent="0.2">
      <c r="A285" s="466"/>
      <c r="B285" s="512" t="s">
        <v>459</v>
      </c>
      <c r="C285" s="512" t="s">
        <v>216</v>
      </c>
      <c r="D285" s="512"/>
      <c r="E285" s="512" t="s">
        <v>405</v>
      </c>
      <c r="F285" s="512"/>
      <c r="G285" s="512" t="s">
        <v>630</v>
      </c>
      <c r="H285" s="512"/>
      <c r="I285" s="512" t="s">
        <v>312</v>
      </c>
      <c r="J285" s="463"/>
      <c r="K285" s="406"/>
    </row>
    <row r="286" spans="1:13" x14ac:dyDescent="0.2">
      <c r="A286" s="388"/>
      <c r="B286" s="520" t="s">
        <v>646</v>
      </c>
      <c r="C286" s="519">
        <v>7.2</v>
      </c>
      <c r="D286" s="519" t="s">
        <v>45</v>
      </c>
      <c r="E286" s="519">
        <v>2</v>
      </c>
      <c r="F286" s="519" t="s">
        <v>45</v>
      </c>
      <c r="G286" s="519">
        <v>0.08</v>
      </c>
      <c r="H286" s="519" t="s">
        <v>46</v>
      </c>
      <c r="I286" s="519">
        <f>ROUND(((C286*G286)/2)*E286,2)</f>
        <v>0.57999999999999996</v>
      </c>
      <c r="J286" s="385"/>
      <c r="K286" s="199"/>
    </row>
    <row r="287" spans="1:13" ht="25.5" x14ac:dyDescent="0.2">
      <c r="A287" s="388"/>
      <c r="B287" s="770" t="s">
        <v>1850</v>
      </c>
      <c r="C287" s="519">
        <v>7.2</v>
      </c>
      <c r="D287" s="519" t="s">
        <v>45</v>
      </c>
      <c r="E287" s="519">
        <v>1</v>
      </c>
      <c r="F287" s="519" t="s">
        <v>45</v>
      </c>
      <c r="G287" s="519">
        <v>0.08</v>
      </c>
      <c r="H287" s="519" t="s">
        <v>46</v>
      </c>
      <c r="I287" s="519">
        <f t="shared" ref="I287" si="12">ROUND(((C287*G287)/2)*E287,2)</f>
        <v>0.28999999999999998</v>
      </c>
      <c r="J287" s="385"/>
      <c r="K287" s="199"/>
    </row>
    <row r="288" spans="1:13" x14ac:dyDescent="0.2">
      <c r="A288" s="466"/>
      <c r="B288" s="520" t="s">
        <v>647</v>
      </c>
      <c r="C288" s="519">
        <v>1.8</v>
      </c>
      <c r="D288" s="519" t="s">
        <v>45</v>
      </c>
      <c r="E288" s="519">
        <v>2.1</v>
      </c>
      <c r="F288" s="519" t="s">
        <v>45</v>
      </c>
      <c r="G288" s="519">
        <v>0.06</v>
      </c>
      <c r="H288" s="519" t="s">
        <v>46</v>
      </c>
      <c r="I288" s="519">
        <f>ROUND(((C288*G288)/2)*E288,2)</f>
        <v>0.11</v>
      </c>
      <c r="J288" s="460"/>
      <c r="K288" s="199"/>
    </row>
    <row r="289" spans="1:11" x14ac:dyDescent="0.2">
      <c r="A289" s="388"/>
      <c r="B289" s="385"/>
      <c r="C289" s="385"/>
      <c r="D289" s="385"/>
      <c r="E289" s="385"/>
      <c r="F289" s="385"/>
      <c r="G289" s="385"/>
      <c r="H289" s="385"/>
      <c r="I289" s="385"/>
      <c r="J289" s="385"/>
      <c r="K289" s="199"/>
    </row>
    <row r="290" spans="1:11" s="139" customFormat="1" ht="15" customHeight="1" x14ac:dyDescent="0.2">
      <c r="A290" s="818"/>
      <c r="B290" s="667" t="s">
        <v>498</v>
      </c>
      <c r="C290" s="862">
        <f>ROUND(SUM(I286:I289),2)</f>
        <v>0.98</v>
      </c>
      <c r="D290" s="669" t="s">
        <v>497</v>
      </c>
      <c r="E290" s="817"/>
      <c r="F290" s="817"/>
      <c r="G290" s="817"/>
      <c r="H290" s="817"/>
      <c r="I290" s="817"/>
      <c r="J290" s="817"/>
      <c r="K290" s="406"/>
    </row>
    <row r="291" spans="1:11" x14ac:dyDescent="0.2">
      <c r="A291" s="388"/>
      <c r="B291" s="385"/>
      <c r="C291" s="385"/>
      <c r="D291" s="385"/>
      <c r="E291" s="385"/>
      <c r="F291" s="385"/>
      <c r="G291" s="385"/>
      <c r="H291" s="385"/>
      <c r="I291" s="385"/>
      <c r="J291" s="385"/>
      <c r="K291" s="199"/>
    </row>
    <row r="292" spans="1:11" x14ac:dyDescent="0.2">
      <c r="A292" s="388" t="str">
        <f>ORÇ!A152</f>
        <v>10.3.2</v>
      </c>
      <c r="B292" s="1670" t="str">
        <f>ORÇ!D152</f>
        <v>LASTRO DE CONCRETO MAGRO, APLICADO EM BLOCOS DE COROAMENTO OU SAPATAS. AF_08/2017</v>
      </c>
      <c r="C292" s="1670"/>
      <c r="D292" s="1670"/>
      <c r="E292" s="1670"/>
      <c r="F292" s="1670"/>
      <c r="G292" s="1670"/>
      <c r="H292" s="1670"/>
      <c r="I292" s="1670"/>
      <c r="J292" s="1670"/>
      <c r="K292" s="199"/>
    </row>
    <row r="293" spans="1:11" x14ac:dyDescent="0.2">
      <c r="A293" s="388"/>
      <c r="B293" s="407"/>
      <c r="C293" s="407"/>
      <c r="D293" s="407"/>
      <c r="E293" s="407"/>
      <c r="F293" s="407"/>
      <c r="G293" s="407"/>
      <c r="H293" s="385"/>
      <c r="I293" s="385"/>
      <c r="J293" s="385"/>
      <c r="K293" s="199"/>
    </row>
    <row r="294" spans="1:11" s="139" customFormat="1" ht="15.75" customHeight="1" x14ac:dyDescent="0.2">
      <c r="A294" s="466"/>
      <c r="B294" s="512" t="s">
        <v>459</v>
      </c>
      <c r="C294" s="512" t="s">
        <v>216</v>
      </c>
      <c r="D294" s="512"/>
      <c r="E294" s="512" t="s">
        <v>405</v>
      </c>
      <c r="F294" s="512"/>
      <c r="G294" s="512" t="s">
        <v>630</v>
      </c>
      <c r="H294" s="512"/>
      <c r="I294" s="512" t="s">
        <v>312</v>
      </c>
      <c r="J294" s="463"/>
      <c r="K294" s="406"/>
    </row>
    <row r="295" spans="1:11" x14ac:dyDescent="0.2">
      <c r="A295" s="466"/>
      <c r="B295" s="520" t="s">
        <v>646</v>
      </c>
      <c r="C295" s="519">
        <v>7.2</v>
      </c>
      <c r="D295" s="519" t="s">
        <v>45</v>
      </c>
      <c r="E295" s="519">
        <v>2</v>
      </c>
      <c r="F295" s="519" t="s">
        <v>45</v>
      </c>
      <c r="G295" s="519">
        <v>0.03</v>
      </c>
      <c r="H295" s="519" t="s">
        <v>46</v>
      </c>
      <c r="I295" s="519">
        <f>ROUND(((C295*G295)/2)*E295,2)</f>
        <v>0.22</v>
      </c>
      <c r="J295" s="460"/>
      <c r="K295" s="199"/>
    </row>
    <row r="296" spans="1:11" ht="25.5" x14ac:dyDescent="0.2">
      <c r="A296" s="466"/>
      <c r="B296" s="770" t="s">
        <v>1850</v>
      </c>
      <c r="C296" s="519">
        <v>7.2</v>
      </c>
      <c r="D296" s="519" t="s">
        <v>45</v>
      </c>
      <c r="E296" s="519">
        <v>1</v>
      </c>
      <c r="F296" s="519" t="s">
        <v>45</v>
      </c>
      <c r="G296" s="519">
        <v>0.03</v>
      </c>
      <c r="H296" s="519" t="s">
        <v>46</v>
      </c>
      <c r="I296" s="519">
        <f t="shared" ref="I296" si="13">ROUND(((C296*G296)/2)*E296,2)</f>
        <v>0.11</v>
      </c>
      <c r="J296" s="460"/>
      <c r="K296" s="199"/>
    </row>
    <row r="297" spans="1:11" x14ac:dyDescent="0.2">
      <c r="A297" s="466"/>
      <c r="B297" s="520" t="s">
        <v>647</v>
      </c>
      <c r="C297" s="519">
        <v>1.8</v>
      </c>
      <c r="D297" s="519" t="s">
        <v>45</v>
      </c>
      <c r="E297" s="519">
        <v>2.1</v>
      </c>
      <c r="F297" s="519" t="s">
        <v>45</v>
      </c>
      <c r="G297" s="519">
        <v>0.03</v>
      </c>
      <c r="H297" s="519" t="s">
        <v>46</v>
      </c>
      <c r="I297" s="519">
        <f>ROUND(((C297*G297)/2)*E297,2)</f>
        <v>0.06</v>
      </c>
      <c r="J297" s="460"/>
      <c r="K297" s="199"/>
    </row>
    <row r="298" spans="1:11" x14ac:dyDescent="0.2">
      <c r="A298" s="388"/>
      <c r="B298" s="407"/>
      <c r="C298" s="407"/>
      <c r="D298" s="407"/>
      <c r="E298" s="407"/>
      <c r="F298" s="407"/>
      <c r="G298" s="407"/>
      <c r="H298" s="385"/>
      <c r="I298" s="385"/>
      <c r="J298" s="385"/>
      <c r="K298" s="199"/>
    </row>
    <row r="299" spans="1:11" s="139" customFormat="1" ht="17.25" customHeight="1" x14ac:dyDescent="0.2">
      <c r="A299" s="818"/>
      <c r="B299" s="667" t="s">
        <v>499</v>
      </c>
      <c r="C299" s="862">
        <f>ROUND(SUM(I295:I297),2)</f>
        <v>0.39</v>
      </c>
      <c r="D299" s="669" t="s">
        <v>4</v>
      </c>
      <c r="E299" s="817"/>
      <c r="F299" s="817"/>
      <c r="G299" s="817"/>
      <c r="H299" s="817"/>
      <c r="I299" s="817"/>
      <c r="J299" s="817"/>
      <c r="K299" s="406"/>
    </row>
    <row r="300" spans="1:11" s="307" customFormat="1" x14ac:dyDescent="0.2">
      <c r="A300" s="397"/>
      <c r="B300" s="368"/>
      <c r="C300" s="398"/>
      <c r="D300" s="368"/>
      <c r="E300" s="409"/>
      <c r="F300" s="409"/>
      <c r="G300" s="409"/>
      <c r="H300" s="409"/>
      <c r="I300" s="409"/>
      <c r="J300" s="409"/>
      <c r="K300" s="401"/>
    </row>
    <row r="301" spans="1:11" ht="24" customHeight="1" x14ac:dyDescent="0.2">
      <c r="A301" s="388" t="str">
        <f>ORÇ!A153</f>
        <v>10.3.3</v>
      </c>
      <c r="B301" s="1670" t="str">
        <f>ORÇ!D153</f>
        <v>EXECUÇÃO DE PASSEIO (CALÇADA) OU PISO DE CONCRETO COM CONCRETO MOLDADO IN LOCO, FEITO EM OBRA, ACABAMENTO CONVENCIONAL, ESPESSURA 6 CM, ARMADO. AF_07/2016</v>
      </c>
      <c r="C301" s="1670"/>
      <c r="D301" s="1670"/>
      <c r="E301" s="1670"/>
      <c r="F301" s="1670"/>
      <c r="G301" s="1670"/>
      <c r="H301" s="1670"/>
      <c r="I301" s="1670"/>
      <c r="J301" s="1670"/>
      <c r="K301" s="199"/>
    </row>
    <row r="302" spans="1:11" x14ac:dyDescent="0.2">
      <c r="A302" s="341"/>
      <c r="B302" s="199"/>
      <c r="C302" s="199"/>
      <c r="D302" s="199"/>
      <c r="E302" s="199"/>
      <c r="F302" s="199"/>
      <c r="G302" s="199"/>
      <c r="H302" s="199"/>
      <c r="I302" s="199"/>
      <c r="J302" s="199"/>
      <c r="K302" s="199"/>
    </row>
    <row r="303" spans="1:11" s="139" customFormat="1" ht="15.75" customHeight="1" x14ac:dyDescent="0.2">
      <c r="A303" s="879"/>
      <c r="B303" s="512" t="s">
        <v>459</v>
      </c>
      <c r="C303" s="512" t="s">
        <v>216</v>
      </c>
      <c r="D303" s="512"/>
      <c r="E303" s="512" t="s">
        <v>405</v>
      </c>
      <c r="F303" s="512"/>
      <c r="G303" s="512" t="s">
        <v>213</v>
      </c>
      <c r="H303" s="406"/>
      <c r="I303" s="406"/>
      <c r="J303" s="406"/>
      <c r="K303" s="406"/>
    </row>
    <row r="304" spans="1:11" s="139" customFormat="1" ht="15.75" customHeight="1" x14ac:dyDescent="0.2">
      <c r="A304" s="879"/>
      <c r="B304" s="521" t="s">
        <v>646</v>
      </c>
      <c r="C304" s="512">
        <v>7.2</v>
      </c>
      <c r="D304" s="512" t="s">
        <v>45</v>
      </c>
      <c r="E304" s="512">
        <v>2</v>
      </c>
      <c r="F304" s="512" t="s">
        <v>46</v>
      </c>
      <c r="G304" s="512">
        <f>ROUND(C304*E304,2)</f>
        <v>14.4</v>
      </c>
      <c r="H304" s="406"/>
      <c r="I304" s="406"/>
      <c r="J304" s="406"/>
      <c r="K304" s="406"/>
    </row>
    <row r="305" spans="1:11" s="139" customFormat="1" ht="29.25" customHeight="1" x14ac:dyDescent="0.2">
      <c r="A305" s="896"/>
      <c r="B305" s="770" t="s">
        <v>1850</v>
      </c>
      <c r="C305" s="512">
        <v>7.2</v>
      </c>
      <c r="D305" s="512" t="s">
        <v>45</v>
      </c>
      <c r="E305" s="512">
        <v>1</v>
      </c>
      <c r="F305" s="512" t="s">
        <v>46</v>
      </c>
      <c r="G305" s="512">
        <f>ROUND(C305*E305,2)</f>
        <v>7.2</v>
      </c>
      <c r="H305" s="406"/>
      <c r="I305" s="406"/>
      <c r="J305" s="406"/>
      <c r="K305" s="406"/>
    </row>
    <row r="306" spans="1:11" s="139" customFormat="1" ht="15.75" customHeight="1" x14ac:dyDescent="0.2">
      <c r="A306" s="879"/>
      <c r="B306" s="521" t="s">
        <v>647</v>
      </c>
      <c r="C306" s="512">
        <v>1.8</v>
      </c>
      <c r="D306" s="512" t="s">
        <v>45</v>
      </c>
      <c r="E306" s="512">
        <v>2.1</v>
      </c>
      <c r="F306" s="512" t="s">
        <v>46</v>
      </c>
      <c r="G306" s="512">
        <f>ROUND(C306*E306,2)</f>
        <v>3.78</v>
      </c>
      <c r="H306" s="406"/>
      <c r="I306" s="406"/>
      <c r="J306" s="406"/>
      <c r="K306" s="406"/>
    </row>
    <row r="307" spans="1:11" s="471" customFormat="1" x14ac:dyDescent="0.2">
      <c r="A307" s="504"/>
      <c r="B307" s="511"/>
      <c r="C307" s="505"/>
      <c r="D307" s="505"/>
      <c r="E307" s="505"/>
      <c r="F307" s="505"/>
      <c r="G307" s="505"/>
      <c r="H307" s="505"/>
      <c r="I307" s="505"/>
      <c r="J307" s="505"/>
      <c r="K307" s="505"/>
    </row>
    <row r="308" spans="1:11" s="21" customFormat="1" x14ac:dyDescent="0.2">
      <c r="A308" s="466"/>
      <c r="B308" s="249" t="s">
        <v>500</v>
      </c>
      <c r="C308" s="514">
        <f>ROUND(SUM(G304:G306),2)</f>
        <v>25.38</v>
      </c>
      <c r="D308" s="408" t="s">
        <v>4</v>
      </c>
      <c r="E308" s="199"/>
      <c r="F308" s="199"/>
      <c r="G308" s="199"/>
      <c r="H308" s="199"/>
      <c r="I308" s="199"/>
      <c r="J308" s="199"/>
      <c r="K308" s="199"/>
    </row>
    <row r="309" spans="1:11" ht="19.5" customHeight="1" x14ac:dyDescent="0.2">
      <c r="A309" s="341"/>
      <c r="B309" s="199"/>
      <c r="C309" s="199"/>
      <c r="D309" s="199"/>
      <c r="E309" s="199"/>
      <c r="F309" s="199"/>
      <c r="G309" s="199"/>
      <c r="H309" s="199"/>
      <c r="I309" s="199"/>
      <c r="J309" s="199"/>
      <c r="K309" s="199"/>
    </row>
    <row r="310" spans="1:11" s="21" customFormat="1" x14ac:dyDescent="0.2">
      <c r="A310" s="466" t="str">
        <f>ORÇ!A154</f>
        <v>10.4</v>
      </c>
      <c r="B310" s="199" t="str">
        <f>ORÇ!D154</f>
        <v>Estacionamento</v>
      </c>
      <c r="C310" s="199"/>
      <c r="D310" s="199"/>
      <c r="E310" s="199"/>
      <c r="F310" s="199"/>
      <c r="G310" s="199"/>
      <c r="H310" s="199"/>
      <c r="I310" s="199"/>
      <c r="J310" s="199"/>
      <c r="K310" s="199"/>
    </row>
    <row r="311" spans="1:11" s="140" customFormat="1" ht="20.25" customHeight="1" x14ac:dyDescent="0.2">
      <c r="A311" s="535" t="str">
        <f>ORÇ!A155</f>
        <v>10.4.1</v>
      </c>
      <c r="B311" s="1711" t="str">
        <f>ORÇ!D155</f>
        <v>EXECUÇÃO DE PAVIMENTO EM PISO INTERTRAVADO, COM BLOCO SEXTAVADO DE 25 X 25 CM, ESPESSURA 8 CM. AF_12/2015</v>
      </c>
      <c r="C311" s="1711"/>
      <c r="D311" s="1711"/>
      <c r="E311" s="1711"/>
      <c r="F311" s="1711"/>
      <c r="G311" s="1711"/>
      <c r="H311" s="1711"/>
      <c r="I311" s="1711"/>
      <c r="J311" s="1711"/>
      <c r="K311" s="406"/>
    </row>
    <row r="312" spans="1:11" s="21" customFormat="1" x14ac:dyDescent="0.2">
      <c r="A312" s="466"/>
      <c r="B312" s="407"/>
      <c r="C312" s="407"/>
      <c r="D312" s="407"/>
      <c r="E312" s="407"/>
      <c r="F312" s="407"/>
      <c r="G312" s="407"/>
      <c r="H312" s="460"/>
      <c r="I312" s="460"/>
      <c r="J312" s="460"/>
      <c r="K312" s="199"/>
    </row>
    <row r="313" spans="1:11" s="140" customFormat="1" ht="15.75" customHeight="1" x14ac:dyDescent="0.2">
      <c r="A313" s="535"/>
      <c r="B313" s="512" t="s">
        <v>459</v>
      </c>
      <c r="C313" s="512" t="s">
        <v>216</v>
      </c>
      <c r="D313" s="512"/>
      <c r="E313" s="512" t="s">
        <v>405</v>
      </c>
      <c r="F313" s="512"/>
      <c r="G313" s="512" t="s">
        <v>213</v>
      </c>
      <c r="J313" s="534"/>
      <c r="K313" s="406"/>
    </row>
    <row r="314" spans="1:11" s="21" customFormat="1" x14ac:dyDescent="0.2">
      <c r="A314" s="535"/>
      <c r="B314" s="520" t="s">
        <v>502</v>
      </c>
      <c r="C314" s="519">
        <v>11.16</v>
      </c>
      <c r="D314" s="519" t="s">
        <v>45</v>
      </c>
      <c r="E314" s="519">
        <v>6.06</v>
      </c>
      <c r="F314" s="519" t="s">
        <v>46</v>
      </c>
      <c r="G314" s="519">
        <f>ROUND(C314*E314,2)</f>
        <v>67.63</v>
      </c>
      <c r="J314" s="531"/>
      <c r="K314" s="199"/>
    </row>
    <row r="315" spans="1:11" s="21" customFormat="1" ht="16.5" customHeight="1" x14ac:dyDescent="0.2">
      <c r="A315" s="466"/>
      <c r="B315" s="1823"/>
      <c r="C315" s="1823"/>
      <c r="D315" s="1823"/>
      <c r="E315" s="407"/>
      <c r="F315" s="407"/>
      <c r="G315" s="407"/>
      <c r="H315" s="460"/>
      <c r="I315" s="460"/>
      <c r="J315" s="460"/>
      <c r="K315" s="199"/>
    </row>
    <row r="316" spans="1:11" s="140" customFormat="1" ht="17.25" customHeight="1" x14ac:dyDescent="0.2">
      <c r="A316" s="535"/>
      <c r="B316" s="667" t="s">
        <v>499</v>
      </c>
      <c r="C316" s="668">
        <f>G314</f>
        <v>67.63</v>
      </c>
      <c r="D316" s="669" t="s">
        <v>4</v>
      </c>
      <c r="E316" s="534"/>
      <c r="F316" s="534"/>
      <c r="G316" s="534"/>
      <c r="H316" s="534"/>
      <c r="I316" s="534"/>
      <c r="J316" s="534"/>
      <c r="K316" s="406"/>
    </row>
    <row r="317" spans="1:11" s="458" customFormat="1" x14ac:dyDescent="0.2">
      <c r="A317" s="397"/>
      <c r="B317" s="368"/>
      <c r="C317" s="368"/>
      <c r="D317" s="368"/>
      <c r="E317" s="409"/>
      <c r="F317" s="409"/>
      <c r="G317" s="409"/>
      <c r="H317" s="409"/>
      <c r="I317" s="409"/>
      <c r="J317" s="409"/>
      <c r="K317" s="401"/>
    </row>
    <row r="318" spans="1:11" s="21" customFormat="1" ht="18.75" customHeight="1" x14ac:dyDescent="0.2">
      <c r="A318" s="466" t="str">
        <f>ORÇ!A156</f>
        <v>10.4.2</v>
      </c>
      <c r="B318" s="1711" t="str">
        <f>ORÇ!D156</f>
        <v>PINTURA DE DEMARCAÇÃO DE VAGA COM TINTA EPÓXI, E = 10 CM, APLICAÇÃO MANUAL. AF_05/2021</v>
      </c>
      <c r="C318" s="1711"/>
      <c r="D318" s="1711"/>
      <c r="E318" s="1711"/>
      <c r="F318" s="1711"/>
      <c r="G318" s="1711"/>
      <c r="H318" s="1711"/>
      <c r="I318" s="1711"/>
      <c r="J318" s="1711"/>
      <c r="K318" s="199"/>
    </row>
    <row r="319" spans="1:11" s="21" customFormat="1" x14ac:dyDescent="0.2">
      <c r="A319" s="466"/>
      <c r="B319" s="199"/>
      <c r="C319" s="199"/>
      <c r="D319" s="199"/>
      <c r="E319" s="199"/>
      <c r="F319" s="199"/>
      <c r="G319" s="199"/>
      <c r="H319" s="199"/>
      <c r="I319" s="199"/>
      <c r="J319" s="199"/>
      <c r="K319" s="199"/>
    </row>
    <row r="320" spans="1:11" s="21" customFormat="1" x14ac:dyDescent="0.2">
      <c r="A320" s="466"/>
      <c r="B320" s="522"/>
      <c r="C320" s="512" t="s">
        <v>216</v>
      </c>
      <c r="D320" s="199"/>
      <c r="E320" s="199"/>
      <c r="F320" s="199"/>
      <c r="G320" s="199"/>
      <c r="H320" s="199"/>
      <c r="I320" s="199"/>
      <c r="J320" s="199"/>
      <c r="K320" s="199"/>
    </row>
    <row r="321" spans="1:11" s="21" customFormat="1" x14ac:dyDescent="0.2">
      <c r="A321" s="466"/>
      <c r="B321" s="520" t="s">
        <v>670</v>
      </c>
      <c r="C321" s="519">
        <v>5</v>
      </c>
      <c r="D321" s="199"/>
      <c r="E321" s="199"/>
      <c r="F321" s="199"/>
      <c r="G321" s="199"/>
      <c r="H321" s="199"/>
      <c r="I321" s="199"/>
      <c r="J321" s="199"/>
      <c r="K321" s="199"/>
    </row>
    <row r="322" spans="1:11" s="21" customFormat="1" x14ac:dyDescent="0.2">
      <c r="A322" s="466"/>
      <c r="B322" s="520" t="s">
        <v>671</v>
      </c>
      <c r="C322" s="519">
        <v>5</v>
      </c>
      <c r="D322" s="199"/>
      <c r="E322" s="199"/>
      <c r="F322" s="199"/>
      <c r="G322" s="199"/>
      <c r="H322" s="199"/>
      <c r="I322" s="199"/>
      <c r="J322" s="199"/>
      <c r="K322" s="199"/>
    </row>
    <row r="323" spans="1:11" s="21" customFormat="1" x14ac:dyDescent="0.2">
      <c r="A323" s="466"/>
      <c r="B323" s="403"/>
      <c r="C323" s="199"/>
      <c r="D323" s="199"/>
      <c r="E323" s="199"/>
      <c r="F323" s="199"/>
      <c r="G323" s="199"/>
      <c r="H323" s="199"/>
      <c r="I323" s="199"/>
      <c r="J323" s="199"/>
      <c r="K323" s="199"/>
    </row>
    <row r="324" spans="1:11" s="21" customFormat="1" x14ac:dyDescent="0.2">
      <c r="A324" s="466"/>
      <c r="B324" s="249" t="s">
        <v>500</v>
      </c>
      <c r="C324" s="514">
        <f>ROUND(SUM(C321:C322),2)</f>
        <v>10</v>
      </c>
      <c r="D324" s="408" t="s">
        <v>12</v>
      </c>
      <c r="E324" s="199"/>
      <c r="F324" s="199"/>
      <c r="G324" s="199"/>
      <c r="H324" s="199"/>
      <c r="I324" s="199"/>
      <c r="J324" s="199"/>
      <c r="K324" s="199"/>
    </row>
    <row r="325" spans="1:11" s="21" customFormat="1" x14ac:dyDescent="0.2">
      <c r="A325" s="466"/>
      <c r="B325" s="199"/>
      <c r="C325" s="199"/>
      <c r="D325" s="199"/>
      <c r="E325" s="199"/>
      <c r="F325" s="199"/>
      <c r="G325" s="199"/>
      <c r="H325" s="199"/>
      <c r="I325" s="199"/>
      <c r="J325" s="199"/>
      <c r="K325" s="199"/>
    </row>
    <row r="326" spans="1:11" s="140" customFormat="1" ht="18" customHeight="1" x14ac:dyDescent="0.2">
      <c r="A326" s="879" t="str">
        <f>ORÇ!A157</f>
        <v>10.4.3</v>
      </c>
      <c r="B326" s="1711" t="str">
        <f>ORÇ!D157</f>
        <v>PINTURA DE SÍMBOLOS E TEXTOS COM TINTA ACRÍLICA, DEMARCAÇÃO COM FITA ADESIVA E APLICAÇÃO COM ROLO. AF_05/2021</v>
      </c>
      <c r="C326" s="1711"/>
      <c r="D326" s="1711"/>
      <c r="E326" s="1711"/>
      <c r="F326" s="1711"/>
      <c r="G326" s="1711"/>
      <c r="H326" s="1711"/>
      <c r="I326" s="1711"/>
      <c r="J326" s="1711"/>
      <c r="K326" s="406"/>
    </row>
    <row r="327" spans="1:11" s="21" customFormat="1" x14ac:dyDescent="0.2">
      <c r="A327" s="466"/>
      <c r="B327" s="407"/>
      <c r="C327" s="407"/>
      <c r="D327" s="407"/>
      <c r="E327" s="407"/>
      <c r="F327" s="407"/>
      <c r="G327" s="407"/>
      <c r="H327" s="460"/>
      <c r="I327" s="460"/>
      <c r="J327" s="460"/>
      <c r="K327" s="199"/>
    </row>
    <row r="328" spans="1:11" s="140" customFormat="1" ht="15.75" customHeight="1" x14ac:dyDescent="0.2">
      <c r="A328" s="466"/>
      <c r="B328" s="512" t="s">
        <v>616</v>
      </c>
      <c r="C328" s="512" t="s">
        <v>216</v>
      </c>
      <c r="D328" s="512"/>
      <c r="E328" s="512" t="s">
        <v>405</v>
      </c>
      <c r="F328" s="512"/>
      <c r="G328" s="512" t="s">
        <v>312</v>
      </c>
      <c r="J328" s="463"/>
      <c r="K328" s="406"/>
    </row>
    <row r="329" spans="1:11" s="21" customFormat="1" ht="25.5" x14ac:dyDescent="0.2">
      <c r="A329" s="466"/>
      <c r="B329" s="521" t="s">
        <v>667</v>
      </c>
      <c r="C329" s="512">
        <v>1.7</v>
      </c>
      <c r="D329" s="512" t="s">
        <v>45</v>
      </c>
      <c r="E329" s="512">
        <v>1.7</v>
      </c>
      <c r="F329" s="512" t="s">
        <v>46</v>
      </c>
      <c r="G329" s="512">
        <f>ROUND(C329*E329,2)</f>
        <v>2.89</v>
      </c>
      <c r="J329" s="460"/>
      <c r="K329" s="199"/>
    </row>
    <row r="330" spans="1:11" s="21" customFormat="1" ht="38.25" x14ac:dyDescent="0.2">
      <c r="A330" s="466"/>
      <c r="B330" s="521" t="s">
        <v>669</v>
      </c>
      <c r="C330" s="512">
        <v>5</v>
      </c>
      <c r="D330" s="512" t="s">
        <v>45</v>
      </c>
      <c r="E330" s="512">
        <v>1.3</v>
      </c>
      <c r="F330" s="512" t="s">
        <v>46</v>
      </c>
      <c r="G330" s="512">
        <f t="shared" ref="G330:G331" si="14">ROUND(C330*E330,2)</f>
        <v>6.5</v>
      </c>
      <c r="J330" s="460"/>
      <c r="K330" s="199"/>
    </row>
    <row r="331" spans="1:11" s="21" customFormat="1" x14ac:dyDescent="0.2">
      <c r="A331" s="466"/>
      <c r="B331" s="521" t="s">
        <v>666</v>
      </c>
      <c r="C331" s="512">
        <v>1.8</v>
      </c>
      <c r="D331" s="512" t="s">
        <v>45</v>
      </c>
      <c r="E331" s="512">
        <v>0.64</v>
      </c>
      <c r="F331" s="512" t="s">
        <v>46</v>
      </c>
      <c r="G331" s="512">
        <f t="shared" si="14"/>
        <v>1.1499999999999999</v>
      </c>
      <c r="J331" s="460"/>
      <c r="K331" s="199"/>
    </row>
    <row r="332" spans="1:11" s="21" customFormat="1" x14ac:dyDescent="0.2">
      <c r="A332" s="466"/>
      <c r="B332" s="407"/>
      <c r="C332" s="407"/>
      <c r="D332" s="407"/>
      <c r="E332" s="407"/>
      <c r="F332" s="407"/>
      <c r="G332" s="407"/>
      <c r="H332" s="460"/>
      <c r="I332" s="460"/>
      <c r="J332" s="460"/>
      <c r="K332" s="199"/>
    </row>
    <row r="333" spans="1:11" s="21" customFormat="1" ht="15.75" customHeight="1" x14ac:dyDescent="0.2">
      <c r="A333" s="466"/>
      <c r="B333" s="249" t="s">
        <v>499</v>
      </c>
      <c r="C333" s="514">
        <f>ROUND(SUM(G329:G331),2)</f>
        <v>10.54</v>
      </c>
      <c r="D333" s="408" t="s">
        <v>4</v>
      </c>
      <c r="E333" s="460"/>
      <c r="F333" s="460"/>
      <c r="G333" s="460"/>
      <c r="H333" s="460"/>
      <c r="I333" s="460"/>
      <c r="J333" s="460"/>
      <c r="K333" s="199"/>
    </row>
    <row r="334" spans="1:11" s="458" customFormat="1" x14ac:dyDescent="0.2">
      <c r="A334" s="397"/>
      <c r="B334" s="368"/>
      <c r="C334" s="368"/>
      <c r="D334" s="368"/>
      <c r="E334" s="409"/>
      <c r="F334" s="409"/>
      <c r="G334" s="409"/>
      <c r="H334" s="409"/>
      <c r="I334" s="409"/>
      <c r="J334" s="409"/>
      <c r="K334" s="401"/>
    </row>
    <row r="335" spans="1:11" s="21" customFormat="1" ht="18.75" customHeight="1" x14ac:dyDescent="0.2">
      <c r="A335" s="466" t="str">
        <f>ORÇ!A158</f>
        <v>10.4.4</v>
      </c>
      <c r="B335" s="1711" t="str">
        <f>ORÇ!D158</f>
        <v>PLACA DE SINALIZAÇÃO METÁLICA</v>
      </c>
      <c r="C335" s="1711"/>
      <c r="D335" s="1711"/>
      <c r="E335" s="1711"/>
      <c r="F335" s="1711"/>
      <c r="G335" s="1711"/>
      <c r="H335" s="1711"/>
      <c r="I335" s="1711"/>
      <c r="J335" s="1711"/>
      <c r="K335" s="199"/>
    </row>
    <row r="336" spans="1:11" s="21" customFormat="1" x14ac:dyDescent="0.2">
      <c r="A336" s="466"/>
      <c r="B336" s="199"/>
      <c r="C336" s="199"/>
      <c r="D336" s="199"/>
      <c r="E336" s="199"/>
      <c r="F336" s="199"/>
      <c r="G336" s="199"/>
      <c r="H336" s="199"/>
      <c r="I336" s="199"/>
      <c r="J336" s="199"/>
      <c r="K336" s="199"/>
    </row>
    <row r="337" spans="1:11" s="21" customFormat="1" x14ac:dyDescent="0.2">
      <c r="A337" s="466"/>
      <c r="B337" s="512" t="s">
        <v>616</v>
      </c>
      <c r="C337" s="512" t="s">
        <v>469</v>
      </c>
      <c r="D337" s="199"/>
      <c r="E337" s="199"/>
      <c r="F337" s="199"/>
      <c r="G337" s="199"/>
      <c r="H337" s="199"/>
      <c r="I337" s="199"/>
      <c r="J337" s="199"/>
      <c r="K337" s="199"/>
    </row>
    <row r="338" spans="1:11" s="140" customFormat="1" ht="25.5" x14ac:dyDescent="0.2">
      <c r="A338" s="466"/>
      <c r="B338" s="521" t="s">
        <v>667</v>
      </c>
      <c r="C338" s="512">
        <v>1</v>
      </c>
      <c r="D338" s="406"/>
      <c r="E338" s="406"/>
      <c r="F338" s="406"/>
      <c r="G338" s="406"/>
      <c r="H338" s="406"/>
      <c r="I338" s="406"/>
      <c r="J338" s="406"/>
      <c r="K338" s="406"/>
    </row>
    <row r="339" spans="1:11" s="140" customFormat="1" ht="15" customHeight="1" x14ac:dyDescent="0.2">
      <c r="A339" s="466"/>
      <c r="B339" s="521" t="s">
        <v>666</v>
      </c>
      <c r="C339" s="512">
        <v>1</v>
      </c>
      <c r="D339" s="406"/>
      <c r="E339" s="406"/>
      <c r="F339" s="406"/>
      <c r="G339" s="406"/>
      <c r="H339" s="406"/>
      <c r="I339" s="406"/>
      <c r="J339" s="406"/>
      <c r="K339" s="406"/>
    </row>
    <row r="340" spans="1:11" s="21" customFormat="1" x14ac:dyDescent="0.2">
      <c r="A340" s="466"/>
      <c r="B340" s="403"/>
      <c r="C340" s="199"/>
      <c r="D340" s="199"/>
      <c r="E340" s="199"/>
      <c r="F340" s="199"/>
      <c r="G340" s="199"/>
      <c r="H340" s="199"/>
      <c r="I340" s="199"/>
      <c r="J340" s="199"/>
      <c r="K340" s="199"/>
    </row>
    <row r="341" spans="1:11" s="21" customFormat="1" x14ac:dyDescent="0.2">
      <c r="A341" s="466"/>
      <c r="B341" s="249" t="s">
        <v>47</v>
      </c>
      <c r="C341" s="514">
        <f>ROUND(SUM(C338:C339),2)</f>
        <v>2</v>
      </c>
      <c r="D341" s="408" t="s">
        <v>668</v>
      </c>
      <c r="E341" s="199"/>
      <c r="F341" s="199"/>
      <c r="G341" s="199"/>
      <c r="H341" s="199"/>
      <c r="I341" s="199"/>
      <c r="J341" s="199"/>
      <c r="K341" s="199"/>
    </row>
    <row r="342" spans="1:11" s="21" customFormat="1" x14ac:dyDescent="0.2">
      <c r="A342" s="466"/>
      <c r="B342" s="199"/>
      <c r="C342" s="199"/>
      <c r="D342" s="199"/>
      <c r="E342" s="199"/>
      <c r="F342" s="199"/>
      <c r="G342" s="199"/>
      <c r="H342" s="199"/>
      <c r="I342" s="199"/>
      <c r="J342" s="199"/>
      <c r="K342" s="199"/>
    </row>
    <row r="343" spans="1:11" s="21" customFormat="1" x14ac:dyDescent="0.2">
      <c r="A343" s="466" t="str">
        <f>ORÇ!A159</f>
        <v>10.5</v>
      </c>
      <c r="B343" s="199" t="str">
        <f>ORÇ!D159</f>
        <v>Acessibilidade</v>
      </c>
      <c r="C343" s="199"/>
      <c r="D343" s="199"/>
      <c r="E343" s="199"/>
      <c r="F343" s="199"/>
      <c r="G343" s="199"/>
      <c r="H343" s="199"/>
      <c r="I343" s="199"/>
      <c r="J343" s="199"/>
      <c r="K343" s="199"/>
    </row>
    <row r="344" spans="1:11" s="140" customFormat="1" ht="21.75" customHeight="1" x14ac:dyDescent="0.2">
      <c r="A344" s="873" t="str">
        <f>ORÇ!A160</f>
        <v>10.5.1</v>
      </c>
      <c r="B344" s="1711" t="str">
        <f>ORÇ!D160</f>
        <v>PISO DE BORRACHA TÁTIL (16 UN)</v>
      </c>
      <c r="C344" s="1711"/>
      <c r="D344" s="1711"/>
      <c r="E344" s="1711"/>
      <c r="F344" s="1711"/>
      <c r="G344" s="1711"/>
      <c r="H344" s="1711"/>
      <c r="I344" s="1711"/>
      <c r="J344" s="1711"/>
      <c r="K344" s="406"/>
    </row>
    <row r="345" spans="1:11" s="21" customFormat="1" x14ac:dyDescent="0.2">
      <c r="A345" s="466"/>
      <c r="B345" s="460"/>
      <c r="C345" s="460"/>
      <c r="D345" s="460"/>
      <c r="E345" s="460"/>
      <c r="F345" s="460"/>
      <c r="G345" s="460"/>
      <c r="H345" s="460"/>
      <c r="I345" s="460"/>
      <c r="J345" s="460"/>
      <c r="K345" s="199"/>
    </row>
    <row r="346" spans="1:11" s="21" customFormat="1" ht="17.25" customHeight="1" x14ac:dyDescent="0.2">
      <c r="A346" s="873"/>
      <c r="B346" s="518" t="s">
        <v>675</v>
      </c>
      <c r="C346" s="870"/>
      <c r="D346" s="870"/>
      <c r="E346" s="870"/>
      <c r="F346" s="870"/>
      <c r="G346" s="870"/>
      <c r="H346" s="870"/>
      <c r="I346" s="870"/>
      <c r="J346" s="870"/>
      <c r="K346" s="199"/>
    </row>
    <row r="347" spans="1:11" s="140" customFormat="1" ht="15.75" customHeight="1" x14ac:dyDescent="0.2">
      <c r="A347" s="873"/>
      <c r="B347" s="523" t="s">
        <v>537</v>
      </c>
      <c r="C347" s="523" t="s">
        <v>216</v>
      </c>
      <c r="D347" s="523"/>
      <c r="E347" s="523" t="s">
        <v>405</v>
      </c>
      <c r="F347" s="523"/>
      <c r="G347" s="523" t="s">
        <v>213</v>
      </c>
      <c r="J347" s="872"/>
      <c r="K347" s="406"/>
    </row>
    <row r="348" spans="1:11" s="140" customFormat="1" ht="15" customHeight="1" x14ac:dyDescent="0.2">
      <c r="A348" s="873"/>
      <c r="B348" s="521" t="s">
        <v>672</v>
      </c>
      <c r="C348" s="512">
        <v>47.75</v>
      </c>
      <c r="D348" s="512" t="s">
        <v>45</v>
      </c>
      <c r="E348" s="512">
        <v>0.25</v>
      </c>
      <c r="F348" s="512" t="s">
        <v>46</v>
      </c>
      <c r="G348" s="512">
        <f>ROUND(C348*E348,2)</f>
        <v>11.94</v>
      </c>
      <c r="J348" s="872"/>
      <c r="K348" s="406"/>
    </row>
    <row r="349" spans="1:11" s="140" customFormat="1" ht="15" customHeight="1" x14ac:dyDescent="0.2">
      <c r="A349" s="873"/>
      <c r="B349" s="521" t="s">
        <v>673</v>
      </c>
      <c r="C349" s="512">
        <v>41.25</v>
      </c>
      <c r="D349" s="512" t="s">
        <v>45</v>
      </c>
      <c r="E349" s="512">
        <v>0.25</v>
      </c>
      <c r="F349" s="512" t="s">
        <v>46</v>
      </c>
      <c r="G349" s="512">
        <f>ROUND(C349*E349,2)</f>
        <v>10.31</v>
      </c>
      <c r="J349" s="872"/>
      <c r="K349" s="406"/>
    </row>
    <row r="350" spans="1:11" s="21" customFormat="1" x14ac:dyDescent="0.2">
      <c r="A350" s="873"/>
      <c r="B350" s="870"/>
      <c r="C350" s="870"/>
      <c r="D350" s="870"/>
      <c r="E350" s="870"/>
      <c r="F350" s="870"/>
      <c r="G350" s="870"/>
      <c r="H350" s="870"/>
      <c r="I350" s="870"/>
      <c r="J350" s="870"/>
      <c r="K350" s="199"/>
    </row>
    <row r="351" spans="1:11" s="21" customFormat="1" x14ac:dyDescent="0.2">
      <c r="A351" s="466"/>
      <c r="B351" s="249" t="s">
        <v>47</v>
      </c>
      <c r="C351" s="514">
        <f>ROUND(SUM(G348:G350),2)</f>
        <v>22.25</v>
      </c>
      <c r="D351" s="408" t="s">
        <v>4</v>
      </c>
      <c r="E351" s="460"/>
      <c r="F351" s="460"/>
      <c r="G351" s="460"/>
      <c r="H351" s="460"/>
      <c r="I351" s="460"/>
      <c r="J351" s="460"/>
      <c r="K351" s="199"/>
    </row>
    <row r="352" spans="1:11" s="21" customFormat="1" x14ac:dyDescent="0.2">
      <c r="A352" s="466"/>
      <c r="B352" s="460"/>
      <c r="C352" s="460"/>
      <c r="D352" s="460"/>
      <c r="E352" s="460"/>
      <c r="F352" s="460"/>
      <c r="G352" s="460"/>
      <c r="H352" s="460"/>
      <c r="I352" s="460"/>
      <c r="J352" s="460"/>
      <c r="K352" s="199"/>
    </row>
    <row r="353" spans="1:11" s="140" customFormat="1" ht="18.75" customHeight="1" x14ac:dyDescent="0.2">
      <c r="A353" s="873" t="str">
        <f>ORÇ!A161</f>
        <v>10.5.2</v>
      </c>
      <c r="B353" s="1711" t="str">
        <f>ORÇ!D161</f>
        <v>PISO TÁTIL DIRECIONAL NA COR AMARELO 25X25 PRÉ-MOLDADO (16 UNIDADES)</v>
      </c>
      <c r="C353" s="1711"/>
      <c r="D353" s="1711"/>
      <c r="E353" s="1711"/>
      <c r="F353" s="1711"/>
      <c r="G353" s="1711"/>
      <c r="H353" s="1711"/>
      <c r="I353" s="1711"/>
      <c r="J353" s="1711"/>
      <c r="K353" s="406"/>
    </row>
    <row r="354" spans="1:11" s="21" customFormat="1" x14ac:dyDescent="0.2">
      <c r="A354" s="466"/>
      <c r="B354" s="460"/>
      <c r="C354" s="460"/>
      <c r="D354" s="460"/>
      <c r="E354" s="460"/>
      <c r="F354" s="460"/>
      <c r="G354" s="460"/>
      <c r="H354" s="460"/>
      <c r="I354" s="460"/>
      <c r="J354" s="460"/>
      <c r="K354" s="199"/>
    </row>
    <row r="355" spans="1:11" s="21" customFormat="1" ht="17.25" customHeight="1" x14ac:dyDescent="0.2">
      <c r="A355" s="466"/>
      <c r="B355" s="518" t="s">
        <v>674</v>
      </c>
      <c r="C355" s="460"/>
      <c r="D355" s="460"/>
      <c r="E355" s="460"/>
      <c r="F355" s="460"/>
      <c r="G355" s="460"/>
      <c r="H355" s="460"/>
      <c r="I355" s="460"/>
      <c r="J355" s="460"/>
      <c r="K355" s="199"/>
    </row>
    <row r="356" spans="1:11" s="140" customFormat="1" ht="15.75" customHeight="1" x14ac:dyDescent="0.2">
      <c r="A356" s="466"/>
      <c r="B356" s="523" t="s">
        <v>537</v>
      </c>
      <c r="C356" s="523" t="s">
        <v>216</v>
      </c>
      <c r="D356" s="523"/>
      <c r="E356" s="523" t="s">
        <v>405</v>
      </c>
      <c r="F356" s="523"/>
      <c r="G356" s="523" t="s">
        <v>213</v>
      </c>
      <c r="J356" s="463"/>
      <c r="K356" s="406"/>
    </row>
    <row r="357" spans="1:11" s="140" customFormat="1" ht="15" customHeight="1" x14ac:dyDescent="0.2">
      <c r="A357" s="466"/>
      <c r="B357" s="521" t="s">
        <v>673</v>
      </c>
      <c r="C357" s="512">
        <v>21.75</v>
      </c>
      <c r="D357" s="512" t="s">
        <v>45</v>
      </c>
      <c r="E357" s="512">
        <v>0.25</v>
      </c>
      <c r="F357" s="512" t="s">
        <v>46</v>
      </c>
      <c r="G357" s="512">
        <f>ROUND(C357*E357,2)</f>
        <v>5.44</v>
      </c>
      <c r="J357" s="463"/>
      <c r="K357" s="406"/>
    </row>
    <row r="358" spans="1:11" s="140" customFormat="1" ht="29.25" customHeight="1" x14ac:dyDescent="0.2">
      <c r="A358" s="466"/>
      <c r="B358" s="521" t="s">
        <v>1643</v>
      </c>
      <c r="C358" s="512">
        <v>1.5</v>
      </c>
      <c r="D358" s="512" t="s">
        <v>45</v>
      </c>
      <c r="E358" s="512">
        <v>0.25</v>
      </c>
      <c r="F358" s="512" t="s">
        <v>46</v>
      </c>
      <c r="G358" s="512">
        <f>ROUND(C358*E358,2)</f>
        <v>0.38</v>
      </c>
      <c r="J358" s="463"/>
      <c r="K358" s="406"/>
    </row>
    <row r="359" spans="1:11" s="140" customFormat="1" ht="15" customHeight="1" x14ac:dyDescent="0.2">
      <c r="A359" s="466"/>
      <c r="B359" s="521" t="s">
        <v>672</v>
      </c>
      <c r="C359" s="512">
        <v>20.5</v>
      </c>
      <c r="D359" s="512" t="s">
        <v>45</v>
      </c>
      <c r="E359" s="512">
        <v>0.25</v>
      </c>
      <c r="F359" s="512" t="s">
        <v>46</v>
      </c>
      <c r="G359" s="512">
        <f>ROUND(C359*E359,2)</f>
        <v>5.13</v>
      </c>
      <c r="J359" s="463"/>
      <c r="K359" s="406"/>
    </row>
    <row r="360" spans="1:11" s="140" customFormat="1" ht="28.5" customHeight="1" x14ac:dyDescent="0.2">
      <c r="A360" s="466"/>
      <c r="B360" s="521" t="s">
        <v>1644</v>
      </c>
      <c r="C360" s="512">
        <v>39.75</v>
      </c>
      <c r="D360" s="512" t="s">
        <v>45</v>
      </c>
      <c r="E360" s="512">
        <v>0.25</v>
      </c>
      <c r="F360" s="512" t="s">
        <v>46</v>
      </c>
      <c r="G360" s="512">
        <f>ROUND(C360*E360,2)</f>
        <v>9.94</v>
      </c>
      <c r="J360" s="463"/>
      <c r="K360" s="406"/>
    </row>
    <row r="361" spans="1:11" s="21" customFormat="1" x14ac:dyDescent="0.2">
      <c r="A361" s="466"/>
      <c r="B361" s="460"/>
      <c r="C361" s="460"/>
      <c r="D361" s="460"/>
      <c r="E361" s="460"/>
      <c r="F361" s="460"/>
      <c r="G361" s="460"/>
      <c r="H361" s="460"/>
      <c r="I361" s="460"/>
      <c r="J361" s="460"/>
      <c r="K361" s="199"/>
    </row>
    <row r="362" spans="1:11" s="21" customFormat="1" x14ac:dyDescent="0.2">
      <c r="A362" s="466"/>
      <c r="B362" s="249" t="s">
        <v>47</v>
      </c>
      <c r="C362" s="514">
        <f>ROUND(SUM(G357:G361),2)</f>
        <v>20.89</v>
      </c>
      <c r="D362" s="408" t="s">
        <v>4</v>
      </c>
      <c r="E362" s="460"/>
      <c r="F362" s="460"/>
      <c r="G362" s="460"/>
      <c r="H362" s="460"/>
      <c r="I362" s="460"/>
      <c r="J362" s="460"/>
      <c r="K362" s="199"/>
    </row>
    <row r="363" spans="1:11" s="21" customFormat="1" x14ac:dyDescent="0.2">
      <c r="A363" s="466"/>
      <c r="B363" s="460"/>
      <c r="C363" s="460"/>
      <c r="D363" s="460"/>
      <c r="E363" s="460"/>
      <c r="F363" s="460"/>
      <c r="G363" s="460"/>
      <c r="H363" s="460"/>
      <c r="I363" s="460"/>
      <c r="J363" s="460"/>
      <c r="K363" s="199"/>
    </row>
    <row r="364" spans="1:11" s="21" customFormat="1" ht="13.5" customHeight="1" x14ac:dyDescent="0.2">
      <c r="A364" s="466"/>
      <c r="B364" s="199"/>
      <c r="C364" s="199"/>
      <c r="D364" s="199"/>
      <c r="E364" s="199"/>
      <c r="F364" s="199"/>
      <c r="G364" s="199"/>
      <c r="H364" s="199"/>
      <c r="I364" s="199"/>
      <c r="J364" s="199"/>
      <c r="K364" s="199"/>
    </row>
    <row r="365" spans="1:11" x14ac:dyDescent="0.2">
      <c r="A365" s="341"/>
      <c r="B365" s="199"/>
      <c r="C365" s="199"/>
      <c r="D365" s="199"/>
      <c r="E365" s="199"/>
      <c r="F365" s="199"/>
      <c r="G365" s="199"/>
      <c r="H365" s="199"/>
      <c r="I365" s="199"/>
      <c r="J365" s="199"/>
      <c r="K365" s="199"/>
    </row>
    <row r="366" spans="1:11" x14ac:dyDescent="0.2">
      <c r="A366" s="337"/>
      <c r="B366" s="167"/>
      <c r="C366" s="137"/>
      <c r="D366" s="167"/>
      <c r="E366" s="165"/>
      <c r="F366" s="166"/>
      <c r="G366" s="26"/>
      <c r="H366" s="4"/>
      <c r="I366" s="4"/>
      <c r="J366" s="18"/>
      <c r="K366" s="4"/>
    </row>
    <row r="367" spans="1:11" x14ac:dyDescent="0.2">
      <c r="A367" s="337"/>
      <c r="B367" s="167"/>
      <c r="C367" s="137"/>
      <c r="D367" s="167"/>
      <c r="E367" s="165"/>
      <c r="F367" s="166"/>
      <c r="G367" s="26"/>
      <c r="H367" s="4"/>
      <c r="I367" s="4"/>
      <c r="J367" s="18"/>
      <c r="K367" s="4"/>
    </row>
    <row r="368" spans="1:11" x14ac:dyDescent="0.2">
      <c r="A368" s="337"/>
      <c r="B368" s="167"/>
      <c r="C368" s="137"/>
      <c r="D368" s="167"/>
      <c r="E368" s="165"/>
      <c r="F368" s="166"/>
      <c r="G368" s="26"/>
      <c r="H368" s="4"/>
      <c r="I368" s="4"/>
      <c r="J368" s="18"/>
      <c r="K368" s="4"/>
    </row>
    <row r="369" spans="1:11" x14ac:dyDescent="0.2">
      <c r="A369" s="337"/>
      <c r="B369" s="167"/>
      <c r="C369" s="137"/>
      <c r="D369" s="167"/>
      <c r="E369" s="165"/>
      <c r="F369" s="166"/>
      <c r="G369" s="26"/>
      <c r="H369" s="4"/>
      <c r="I369" s="4"/>
      <c r="J369" s="18"/>
      <c r="K369" s="4"/>
    </row>
    <row r="370" spans="1:11" x14ac:dyDescent="0.2">
      <c r="A370" s="337"/>
      <c r="B370" s="167"/>
      <c r="C370" s="137"/>
      <c r="D370" s="167"/>
      <c r="E370" s="165"/>
      <c r="F370" s="166"/>
      <c r="G370" s="26"/>
      <c r="H370" s="4"/>
      <c r="I370" s="4"/>
      <c r="J370" s="18"/>
      <c r="K370" s="4"/>
    </row>
    <row r="371" spans="1:11" x14ac:dyDescent="0.2">
      <c r="A371" s="337"/>
      <c r="B371" s="167"/>
      <c r="C371" s="137"/>
      <c r="D371" s="167"/>
      <c r="E371" s="165"/>
      <c r="F371" s="166"/>
      <c r="G371" s="26"/>
      <c r="H371" s="4"/>
      <c r="I371" s="4"/>
      <c r="J371" s="18"/>
      <c r="K371" s="4"/>
    </row>
    <row r="372" spans="1:11" x14ac:dyDescent="0.2">
      <c r="A372" s="337"/>
      <c r="B372" s="167"/>
      <c r="C372" s="137"/>
      <c r="D372" s="167"/>
      <c r="E372" s="165"/>
      <c r="F372" s="166"/>
      <c r="G372" s="26"/>
      <c r="H372" s="4"/>
      <c r="I372" s="4"/>
      <c r="J372" s="18"/>
      <c r="K372" s="4"/>
    </row>
  </sheetData>
  <mergeCells count="69">
    <mergeCell ref="B257:J257"/>
    <mergeCell ref="B210:B215"/>
    <mergeCell ref="B216:B219"/>
    <mergeCell ref="B220:B222"/>
    <mergeCell ref="C252:D252"/>
    <mergeCell ref="B249:B250"/>
    <mergeCell ref="B241:J241"/>
    <mergeCell ref="B264:J264"/>
    <mergeCell ref="B274:J274"/>
    <mergeCell ref="B233:J233"/>
    <mergeCell ref="A7:B7"/>
    <mergeCell ref="B353:J353"/>
    <mergeCell ref="B207:J207"/>
    <mergeCell ref="B226:J226"/>
    <mergeCell ref="B344:J344"/>
    <mergeCell ref="B283:J283"/>
    <mergeCell ref="B292:J292"/>
    <mergeCell ref="B244:B248"/>
    <mergeCell ref="B311:J311"/>
    <mergeCell ref="B318:J318"/>
    <mergeCell ref="B326:J326"/>
    <mergeCell ref="B335:J335"/>
    <mergeCell ref="B315:D315"/>
    <mergeCell ref="B301:J301"/>
    <mergeCell ref="A9:J9"/>
    <mergeCell ref="A10:J10"/>
    <mergeCell ref="B75:J75"/>
    <mergeCell ref="B77:D77"/>
    <mergeCell ref="B80:J81"/>
    <mergeCell ref="B44:J44"/>
    <mergeCell ref="B196:B200"/>
    <mergeCell ref="B100:C100"/>
    <mergeCell ref="B85:C85"/>
    <mergeCell ref="B192:C192"/>
    <mergeCell ref="B136:B139"/>
    <mergeCell ref="B140:B143"/>
    <mergeCell ref="B144:B147"/>
    <mergeCell ref="B148:B151"/>
    <mergeCell ref="B118:B121"/>
    <mergeCell ref="B1:J2"/>
    <mergeCell ref="A6:B6"/>
    <mergeCell ref="C6:D6"/>
    <mergeCell ref="E6:F6"/>
    <mergeCell ref="G6:J6"/>
    <mergeCell ref="H3:J3"/>
    <mergeCell ref="A4:B4"/>
    <mergeCell ref="C4:J4"/>
    <mergeCell ref="A3:B3"/>
    <mergeCell ref="C3:E3"/>
    <mergeCell ref="F3:G3"/>
    <mergeCell ref="B193:J193"/>
    <mergeCell ref="B152:B155"/>
    <mergeCell ref="B156:B159"/>
    <mergeCell ref="B160:B161"/>
    <mergeCell ref="B162:B165"/>
    <mergeCell ref="B169:B173"/>
    <mergeCell ref="B177:G177"/>
    <mergeCell ref="B166:B168"/>
    <mergeCell ref="B122:B125"/>
    <mergeCell ref="B126:B131"/>
    <mergeCell ref="B132:B135"/>
    <mergeCell ref="C7:D7"/>
    <mergeCell ref="A5:B5"/>
    <mergeCell ref="C5:J5"/>
    <mergeCell ref="E7:F7"/>
    <mergeCell ref="G7:J7"/>
    <mergeCell ref="A80:A81"/>
    <mergeCell ref="B115:J115"/>
    <mergeCell ref="B13:J13"/>
  </mergeCells>
  <phoneticPr fontId="6" type="noConversion"/>
  <printOptions horizontalCentered="1"/>
  <pageMargins left="0.51181102362204722" right="0.51181102362204722" top="0.78740157480314965" bottom="0.78740157480314965" header="0.31496062992125984" footer="0.31496062992125984"/>
  <pageSetup paperSize="9" scale="53" orientation="portrait" r:id="rId1"/>
  <rowBreaks count="4" manualBreakCount="4">
    <brk id="79" max="9" man="1"/>
    <brk id="155" max="9" man="1"/>
    <brk id="231" max="9" man="1"/>
    <brk id="299" max="9"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view="pageBreakPreview" topLeftCell="A16" zoomScaleSheetLayoutView="100" workbookViewId="0">
      <selection activeCell="A11" sqref="A11:J11"/>
    </sheetView>
  </sheetViews>
  <sheetFormatPr defaultRowHeight="12.75" x14ac:dyDescent="0.2"/>
  <cols>
    <col min="1" max="1" width="13.28515625" customWidth="1"/>
    <col min="2" max="2" width="15" customWidth="1"/>
    <col min="3" max="3" width="13.5703125" customWidth="1"/>
    <col min="4" max="4" width="11.140625" customWidth="1"/>
    <col min="5" max="5" width="13.140625" customWidth="1"/>
    <col min="6" max="6" width="15.140625" customWidth="1"/>
    <col min="7" max="7" width="12" customWidth="1"/>
    <col min="8" max="8" width="18" customWidth="1"/>
    <col min="9" max="9" width="11.42578125" customWidth="1"/>
    <col min="10" max="10" width="15.5703125" customWidth="1"/>
    <col min="11" max="11" width="6.42578125" customWidth="1"/>
  </cols>
  <sheetData>
    <row r="1" spans="1:11" x14ac:dyDescent="0.2">
      <c r="B1" s="218"/>
      <c r="C1" s="218"/>
      <c r="D1" s="218"/>
      <c r="E1" s="218"/>
      <c r="F1" s="218"/>
      <c r="G1" s="218"/>
      <c r="H1" s="218"/>
      <c r="I1" s="218"/>
      <c r="J1" s="218"/>
      <c r="K1" s="218"/>
    </row>
    <row r="2" spans="1:11" ht="69.95" customHeight="1" x14ac:dyDescent="0.2">
      <c r="A2" s="215"/>
      <c r="B2" s="218"/>
      <c r="C2" s="218"/>
      <c r="D2" s="218"/>
      <c r="E2" s="218"/>
      <c r="F2" s="218"/>
      <c r="G2" s="218"/>
      <c r="H2" s="218"/>
      <c r="I2" s="218"/>
      <c r="J2" s="218"/>
      <c r="K2" s="218"/>
    </row>
    <row r="3" spans="1:11" ht="15" customHeight="1" x14ac:dyDescent="0.2">
      <c r="A3" s="1316" t="s">
        <v>79</v>
      </c>
      <c r="B3" s="1317"/>
      <c r="C3" s="1321" t="str">
        <f>ORÇ!B2</f>
        <v>PREFEITURA MUNICIPAL DE OURÉM</v>
      </c>
      <c r="D3" s="1738"/>
      <c r="E3" s="1322"/>
      <c r="F3" s="1326" t="s">
        <v>85</v>
      </c>
      <c r="G3" s="1327"/>
      <c r="H3" s="1819" t="str">
        <f>ORÇ!I2</f>
        <v>OURÉM/PA</v>
      </c>
      <c r="I3" s="1820"/>
      <c r="J3" s="1821"/>
    </row>
    <row r="4" spans="1:11" ht="15" customHeight="1" x14ac:dyDescent="0.2">
      <c r="A4" s="1316" t="s">
        <v>80</v>
      </c>
      <c r="B4" s="1317"/>
      <c r="C4" s="1321" t="str">
        <f>ORÇ!B3</f>
        <v>CONSTRUÇÃO DO CENTRO DE FISIOTERAPIA, NO MUNICÍPIO DE OURÉM/PA</v>
      </c>
      <c r="D4" s="1738"/>
      <c r="E4" s="1738"/>
      <c r="F4" s="1738"/>
      <c r="G4" s="1738"/>
      <c r="H4" s="1738"/>
      <c r="I4" s="1738"/>
      <c r="J4" s="1322"/>
    </row>
    <row r="5" spans="1:11" ht="15" customHeight="1" x14ac:dyDescent="0.2">
      <c r="A5" s="1316" t="s">
        <v>161</v>
      </c>
      <c r="B5" s="1317"/>
      <c r="C5" s="1808" t="str">
        <f>ORÇ!B4</f>
        <v>AV. PADRE ANGELO MORETTE, S/Nº - OURÉM/PA</v>
      </c>
      <c r="D5" s="1809"/>
      <c r="E5" s="1809"/>
      <c r="F5" s="1809"/>
      <c r="G5" s="1809"/>
      <c r="H5" s="1809"/>
      <c r="I5" s="1809"/>
      <c r="J5" s="1810"/>
    </row>
    <row r="6" spans="1:11" ht="30" customHeight="1" x14ac:dyDescent="0.2">
      <c r="A6" s="1310" t="s">
        <v>81</v>
      </c>
      <c r="B6" s="1311"/>
      <c r="C6" s="1312">
        <f>ORÇ!B5</f>
        <v>0.2881986483454233</v>
      </c>
      <c r="D6" s="1680"/>
      <c r="E6" s="1342" t="s">
        <v>169</v>
      </c>
      <c r="F6" s="1343"/>
      <c r="G6" s="1816" t="str">
        <f>ORÇ!G5</f>
        <v>SINAPI FEVEREIRO 2022 - DESONERADA                                 SEDOP FEVEREIRO 2022 - DESONERADA</v>
      </c>
      <c r="H6" s="1817"/>
      <c r="I6" s="1817"/>
      <c r="J6" s="1818"/>
    </row>
    <row r="7" spans="1:11" x14ac:dyDescent="0.2">
      <c r="A7" s="1316" t="s">
        <v>82</v>
      </c>
      <c r="B7" s="1317"/>
      <c r="C7" s="1672" t="str">
        <f>ORÇ!B6</f>
        <v>MARUZA BAPTISTA</v>
      </c>
      <c r="D7" s="1673"/>
      <c r="E7" s="1342" t="s">
        <v>170</v>
      </c>
      <c r="F7" s="1343"/>
      <c r="G7" s="1764" t="str">
        <f>ORÇ!G7</f>
        <v>CAU: 28510-2 A</v>
      </c>
      <c r="H7" s="1765"/>
      <c r="I7" s="1765"/>
      <c r="J7" s="1766"/>
    </row>
    <row r="8" spans="1:11" ht="15.75" customHeight="1" thickBot="1" x14ac:dyDescent="0.25">
      <c r="A8" s="284"/>
      <c r="B8" s="284"/>
      <c r="C8" s="285"/>
      <c r="D8" s="285"/>
      <c r="E8" s="282"/>
      <c r="F8" s="282"/>
      <c r="G8" s="282"/>
      <c r="H8" s="282"/>
      <c r="I8" s="282"/>
      <c r="J8" s="282"/>
    </row>
    <row r="9" spans="1:11" ht="19.5" customHeight="1" thickBot="1" x14ac:dyDescent="0.25">
      <c r="A9" s="1836" t="str">
        <f>CONCATENATE("MEMÓRIA DE CÁLCULO ",ORÇ!A163)</f>
        <v>MEMÓRIA DE CÁLCULO 11</v>
      </c>
      <c r="B9" s="1837"/>
      <c r="C9" s="1837"/>
      <c r="D9" s="1837"/>
      <c r="E9" s="1837"/>
      <c r="F9" s="1837"/>
      <c r="G9" s="1837"/>
      <c r="H9" s="1837"/>
      <c r="I9" s="1837"/>
      <c r="J9" s="1838"/>
      <c r="K9" s="27"/>
    </row>
    <row r="10" spans="1:11" x14ac:dyDescent="0.2">
      <c r="A10" s="1835" t="str">
        <f>ORÇ!D163</f>
        <v>Pintura</v>
      </c>
      <c r="B10" s="1835"/>
      <c r="C10" s="1835"/>
      <c r="D10" s="1835"/>
      <c r="E10" s="1835"/>
      <c r="F10" s="1835"/>
      <c r="G10" s="1835"/>
      <c r="H10" s="1835"/>
      <c r="I10" s="1835"/>
      <c r="J10" s="1835"/>
      <c r="K10" s="27"/>
    </row>
    <row r="11" spans="1:11" x14ac:dyDescent="0.2">
      <c r="A11" s="201"/>
      <c r="B11" s="201"/>
      <c r="C11" s="201"/>
      <c r="D11" s="201"/>
      <c r="E11" s="201"/>
      <c r="F11" s="201"/>
      <c r="G11" s="201"/>
      <c r="H11" s="201"/>
      <c r="I11" s="201"/>
      <c r="J11" s="201"/>
      <c r="K11" s="27"/>
    </row>
    <row r="12" spans="1:11" x14ac:dyDescent="0.2">
      <c r="A12" s="228">
        <f>ORÇ!A163</f>
        <v>11</v>
      </c>
      <c r="B12" s="23" t="str">
        <f>ORÇ!D163</f>
        <v>Pintura</v>
      </c>
      <c r="C12" s="197"/>
      <c r="D12" s="20"/>
      <c r="E12" s="20"/>
      <c r="F12" s="20"/>
      <c r="G12" s="20"/>
      <c r="H12" s="20"/>
      <c r="I12" s="20"/>
      <c r="J12" s="20"/>
      <c r="K12" s="20"/>
    </row>
    <row r="13" spans="1:11" x14ac:dyDescent="0.2">
      <c r="A13" s="225" t="str">
        <f>ORÇ!A164</f>
        <v>11.1</v>
      </c>
      <c r="B13" s="1840" t="str">
        <f>ORÇ!D164</f>
        <v>Paredes Internas e Externas</v>
      </c>
      <c r="C13" s="1840"/>
      <c r="D13" s="200"/>
      <c r="E13" s="200"/>
      <c r="F13" s="200"/>
      <c r="G13" s="200"/>
      <c r="H13" s="200"/>
      <c r="I13" s="200"/>
      <c r="J13" s="200"/>
      <c r="K13" s="200"/>
    </row>
    <row r="14" spans="1:11" x14ac:dyDescent="0.2">
      <c r="A14" s="225" t="str">
        <f>ORÇ!A165</f>
        <v>11.1.1</v>
      </c>
      <c r="B14" s="1839" t="str">
        <f>ORÇ!D165</f>
        <v>APLICAÇÃO E LIXAMENTO DE MASSA LÁTEX EM PAREDES, DUAS DEMÃOS. AF_06/2014</v>
      </c>
      <c r="C14" s="1839"/>
      <c r="D14" s="1839"/>
      <c r="E14" s="1839"/>
      <c r="F14" s="1839"/>
      <c r="G14" s="1839"/>
      <c r="H14" s="1839"/>
      <c r="I14" s="1839"/>
      <c r="J14" s="197"/>
      <c r="K14" s="20"/>
    </row>
    <row r="15" spans="1:11" x14ac:dyDescent="0.2">
      <c r="A15" s="225" t="str">
        <f>ORÇ!A166</f>
        <v>11.1.2</v>
      </c>
      <c r="B15" s="1839" t="str">
        <f>ORÇ!D166</f>
        <v>APLICAÇÃO MANUAL DE PINTURA COM TINTA LÁTEX ACRÍLICA EM PAREDES, DUAS DEMÃOS. AF_06/2014</v>
      </c>
      <c r="C15" s="1839"/>
      <c r="D15" s="1839"/>
      <c r="E15" s="1839"/>
      <c r="F15" s="1839"/>
      <c r="G15" s="1839"/>
      <c r="H15" s="1839"/>
      <c r="I15" s="1839"/>
      <c r="J15" s="197"/>
      <c r="K15" s="193"/>
    </row>
    <row r="16" spans="1:11" ht="15" x14ac:dyDescent="0.2">
      <c r="A16" s="238" t="str">
        <f>ORÇ!A167</f>
        <v>11.1.3</v>
      </c>
      <c r="B16" s="1841" t="str">
        <f>ORÇ!D167</f>
        <v xml:space="preserve">APLICAÇÃO DE FUNDO SELADOR ACRÍLICO EM PAREDES, UMA DEMÃO. AF_06/2014 </v>
      </c>
      <c r="C16" s="1841"/>
      <c r="D16" s="1841"/>
      <c r="E16" s="1841"/>
      <c r="F16" s="1841"/>
      <c r="G16" s="1841"/>
      <c r="H16" s="1841"/>
      <c r="I16" s="256"/>
      <c r="J16" s="255"/>
      <c r="K16" s="193"/>
    </row>
    <row r="17" spans="1:13" x14ac:dyDescent="0.2">
      <c r="A17" s="193"/>
      <c r="B17" s="193"/>
      <c r="C17" s="193"/>
      <c r="D17" s="193"/>
      <c r="E17" s="193"/>
      <c r="F17" s="193"/>
      <c r="G17" s="193"/>
      <c r="H17" s="193"/>
      <c r="I17" s="193"/>
      <c r="J17" s="193"/>
      <c r="K17" s="193"/>
    </row>
    <row r="18" spans="1:13" ht="16.5" customHeight="1" x14ac:dyDescent="0.2">
      <c r="B18" s="383" t="s">
        <v>477</v>
      </c>
      <c r="C18" s="384">
        <f>'8.REV.'!G21</f>
        <v>1051.6099999999999</v>
      </c>
      <c r="D18" s="235" t="s">
        <v>4</v>
      </c>
    </row>
    <row r="20" spans="1:13" x14ac:dyDescent="0.2">
      <c r="A20" s="225" t="str">
        <f>ORÇ!A168</f>
        <v>11.2</v>
      </c>
      <c r="B20" s="1840" t="str">
        <f>ORÇ!D168</f>
        <v>Piso</v>
      </c>
      <c r="C20" s="1840"/>
      <c r="D20" s="200"/>
      <c r="E20" s="200"/>
      <c r="F20" s="200"/>
      <c r="G20" s="200"/>
      <c r="H20" s="200"/>
      <c r="I20" s="200"/>
      <c r="J20" s="200"/>
      <c r="K20" s="200"/>
    </row>
    <row r="21" spans="1:13" ht="15.75" customHeight="1" x14ac:dyDescent="0.2">
      <c r="A21" s="225" t="str">
        <f>ORÇ!A169</f>
        <v>11.2.1</v>
      </c>
      <c r="B21" s="1839" t="str">
        <f>ORÇ!D169</f>
        <v>PINTURA DE SÍMBOLOS E TEXTOS COM TINTA ACRÍLICA, DEMARCAÇÃO COM FITA ADESIVA E APLICAÇÃO COM ROLO. AF_05/2021</v>
      </c>
      <c r="C21" s="1839"/>
      <c r="D21" s="1839"/>
      <c r="E21" s="1839"/>
      <c r="F21" s="1839"/>
      <c r="G21" s="1839"/>
      <c r="H21" s="1839"/>
      <c r="I21" s="1839"/>
      <c r="J21" s="1839"/>
      <c r="K21" s="20"/>
    </row>
    <row r="23" spans="1:13" x14ac:dyDescent="0.2">
      <c r="B23" s="21" t="s">
        <v>680</v>
      </c>
    </row>
    <row r="24" spans="1:13" s="21" customFormat="1" ht="17.25" customHeight="1" x14ac:dyDescent="0.2">
      <c r="A24" s="466"/>
      <c r="B24" s="391" t="s">
        <v>681</v>
      </c>
      <c r="C24" s="391" t="s">
        <v>496</v>
      </c>
      <c r="D24" s="512"/>
      <c r="E24" s="512" t="s">
        <v>469</v>
      </c>
      <c r="F24" s="512"/>
      <c r="G24" s="503" t="s">
        <v>213</v>
      </c>
      <c r="I24" s="162"/>
    </row>
    <row r="25" spans="1:13" s="21" customFormat="1" ht="15" customHeight="1" x14ac:dyDescent="0.2">
      <c r="A25" s="466"/>
      <c r="B25" s="528" t="s">
        <v>682</v>
      </c>
      <c r="C25" s="513">
        <f>0.5*0.98</f>
        <v>0.49</v>
      </c>
      <c r="D25" s="512" t="s">
        <v>45</v>
      </c>
      <c r="E25" s="512">
        <v>1</v>
      </c>
      <c r="F25" s="512" t="s">
        <v>46</v>
      </c>
      <c r="G25" s="503">
        <f>ROUND(C25*E25,2)</f>
        <v>0.49</v>
      </c>
      <c r="I25" s="162"/>
    </row>
    <row r="26" spans="1:13" s="21" customFormat="1" ht="15" customHeight="1" x14ac:dyDescent="0.2">
      <c r="A26" s="466"/>
      <c r="B26" s="528" t="s">
        <v>683</v>
      </c>
      <c r="C26" s="513">
        <f>0.5*0.5</f>
        <v>0.25</v>
      </c>
      <c r="D26" s="512" t="s">
        <v>45</v>
      </c>
      <c r="E26" s="512">
        <v>7</v>
      </c>
      <c r="F26" s="512" t="s">
        <v>46</v>
      </c>
      <c r="G26" s="503">
        <f t="shared" ref="G26" si="0">ROUND(C26*E26,2)</f>
        <v>1.75</v>
      </c>
      <c r="I26" s="162"/>
    </row>
    <row r="27" spans="1:13" s="21" customFormat="1" x14ac:dyDescent="0.2">
      <c r="A27" s="466"/>
      <c r="B27" s="463"/>
      <c r="C27" s="463"/>
      <c r="D27" s="463"/>
      <c r="E27" s="463"/>
      <c r="F27" s="463"/>
      <c r="G27" s="463"/>
      <c r="H27" s="463"/>
      <c r="I27" s="463"/>
      <c r="J27" s="463"/>
      <c r="K27" s="199"/>
      <c r="M27" s="162"/>
    </row>
    <row r="28" spans="1:13" s="21" customFormat="1" x14ac:dyDescent="0.2">
      <c r="A28" s="466"/>
      <c r="B28" s="249" t="s">
        <v>47</v>
      </c>
      <c r="C28" s="514">
        <f>ROUND(SUM(G25:G26),2)</f>
        <v>2.2400000000000002</v>
      </c>
      <c r="D28" s="408" t="s">
        <v>4</v>
      </c>
      <c r="E28" s="463"/>
      <c r="F28" s="463"/>
      <c r="G28" s="463"/>
      <c r="H28" s="463"/>
      <c r="I28" s="463"/>
      <c r="J28" s="463"/>
      <c r="K28" s="199"/>
      <c r="M28" s="162"/>
    </row>
    <row r="30" spans="1:13" s="21" customFormat="1" ht="15.75" customHeight="1" x14ac:dyDescent="0.2">
      <c r="A30" s="225" t="str">
        <f>ORÇ!A170</f>
        <v>11.2.2</v>
      </c>
      <c r="B30" s="1839" t="str">
        <f>ORÇ!D170</f>
        <v>PINTURA DE PISO COM TINTA ACRÍLICA, APLICAÇÃO MANUAL, 2 DEMÃOS, INCLUSO FUNDO PREPARADOR. AF_05/2021</v>
      </c>
      <c r="C30" s="1839"/>
      <c r="D30" s="1839"/>
      <c r="E30" s="1839"/>
      <c r="F30" s="1839"/>
      <c r="G30" s="1839"/>
      <c r="H30" s="1839"/>
      <c r="I30" s="1839"/>
      <c r="J30" s="1839"/>
      <c r="K30" s="529"/>
    </row>
    <row r="31" spans="1:13" s="21" customFormat="1" x14ac:dyDescent="0.2"/>
    <row r="32" spans="1:13" s="21" customFormat="1" ht="17.25" customHeight="1" x14ac:dyDescent="0.2">
      <c r="A32" s="466"/>
      <c r="B32" s="391" t="s">
        <v>537</v>
      </c>
      <c r="C32" s="391" t="s">
        <v>216</v>
      </c>
      <c r="D32" s="512"/>
      <c r="E32" s="512" t="s">
        <v>405</v>
      </c>
      <c r="F32" s="512"/>
      <c r="G32" s="503" t="s">
        <v>213</v>
      </c>
      <c r="I32" s="162"/>
    </row>
    <row r="33" spans="1:13" s="21" customFormat="1" ht="28.5" customHeight="1" x14ac:dyDescent="0.2">
      <c r="A33" s="466"/>
      <c r="B33" s="528" t="s">
        <v>686</v>
      </c>
      <c r="C33" s="513">
        <v>7.6</v>
      </c>
      <c r="D33" s="512" t="s">
        <v>45</v>
      </c>
      <c r="E33" s="512">
        <v>4.7</v>
      </c>
      <c r="F33" s="512" t="s">
        <v>46</v>
      </c>
      <c r="G33" s="530">
        <f>ROUND(C33*E33,2)</f>
        <v>35.72</v>
      </c>
      <c r="I33" s="162"/>
    </row>
    <row r="34" spans="1:13" s="21" customFormat="1" ht="16.5" customHeight="1" x14ac:dyDescent="0.2">
      <c r="A34" s="466"/>
      <c r="B34" s="528" t="s">
        <v>1826</v>
      </c>
      <c r="C34" s="513">
        <v>2</v>
      </c>
      <c r="D34" s="512" t="s">
        <v>45</v>
      </c>
      <c r="E34" s="512">
        <v>2</v>
      </c>
      <c r="F34" s="512" t="s">
        <v>46</v>
      </c>
      <c r="G34" s="530">
        <f t="shared" ref="G34:G35" si="1">ROUND(C34*E34,2)</f>
        <v>4</v>
      </c>
      <c r="I34" s="162"/>
    </row>
    <row r="35" spans="1:13" s="21" customFormat="1" ht="16.5" customHeight="1" x14ac:dyDescent="0.2">
      <c r="A35" s="466"/>
      <c r="B35" s="528" t="s">
        <v>1827</v>
      </c>
      <c r="C35" s="513">
        <v>17.649999999999999</v>
      </c>
      <c r="D35" s="512" t="s">
        <v>45</v>
      </c>
      <c r="E35" s="512">
        <v>2</v>
      </c>
      <c r="F35" s="512" t="s">
        <v>46</v>
      </c>
      <c r="G35" s="530">
        <f t="shared" si="1"/>
        <v>35.299999999999997</v>
      </c>
      <c r="I35" s="162"/>
    </row>
    <row r="36" spans="1:13" s="21" customFormat="1" x14ac:dyDescent="0.2">
      <c r="A36" s="466"/>
      <c r="B36" s="463"/>
      <c r="C36" s="463"/>
      <c r="D36" s="463"/>
      <c r="E36" s="463"/>
      <c r="F36" s="463"/>
      <c r="G36" s="463"/>
      <c r="H36" s="463"/>
      <c r="I36" s="463"/>
      <c r="J36" s="463"/>
      <c r="K36" s="199"/>
      <c r="M36" s="162"/>
    </row>
    <row r="37" spans="1:13" s="21" customFormat="1" x14ac:dyDescent="0.2">
      <c r="A37" s="466"/>
      <c r="B37" s="249" t="s">
        <v>47</v>
      </c>
      <c r="C37" s="514">
        <f>ROUND(SUM(G33:G35),2)</f>
        <v>75.02</v>
      </c>
      <c r="D37" s="408" t="s">
        <v>4</v>
      </c>
      <c r="E37" s="463"/>
      <c r="F37" s="463"/>
      <c r="G37" s="463"/>
      <c r="H37" s="463"/>
      <c r="I37" s="463"/>
      <c r="J37" s="463"/>
      <c r="K37" s="199"/>
      <c r="M37" s="162"/>
    </row>
    <row r="38" spans="1:13" s="21" customFormat="1" x14ac:dyDescent="0.2"/>
  </sheetData>
  <mergeCells count="25">
    <mergeCell ref="B30:J30"/>
    <mergeCell ref="B20:C20"/>
    <mergeCell ref="B21:J21"/>
    <mergeCell ref="B14:I14"/>
    <mergeCell ref="B13:C13"/>
    <mergeCell ref="B15:I15"/>
    <mergeCell ref="B16:H16"/>
    <mergeCell ref="A5:B5"/>
    <mergeCell ref="C5:J5"/>
    <mergeCell ref="A9:J9"/>
    <mergeCell ref="E7:F7"/>
    <mergeCell ref="G7:J7"/>
    <mergeCell ref="A10:J10"/>
    <mergeCell ref="A6:B6"/>
    <mergeCell ref="C6:D6"/>
    <mergeCell ref="E6:F6"/>
    <mergeCell ref="G6:J6"/>
    <mergeCell ref="A7:B7"/>
    <mergeCell ref="C7:D7"/>
    <mergeCell ref="A3:B3"/>
    <mergeCell ref="C3:E3"/>
    <mergeCell ref="F3:G3"/>
    <mergeCell ref="H3:J3"/>
    <mergeCell ref="A4:B4"/>
    <mergeCell ref="C4:J4"/>
  </mergeCells>
  <pageMargins left="0.51181102362204722" right="0.51181102362204722" top="0.78740157480314965" bottom="0.78740157480314965" header="0.31496062992125984" footer="0.31496062992125984"/>
  <pageSetup paperSize="9" scale="6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6"/>
  <sheetViews>
    <sheetView showGridLines="0" view="pageBreakPreview" topLeftCell="A255" zoomScaleSheetLayoutView="100" workbookViewId="0">
      <selection activeCell="A11" sqref="A11:J11"/>
    </sheetView>
  </sheetViews>
  <sheetFormatPr defaultColWidth="9.140625" defaultRowHeight="12.75" x14ac:dyDescent="0.2"/>
  <cols>
    <col min="1" max="1" width="5.28515625" style="146" customWidth="1"/>
    <col min="2" max="2" width="16.7109375" style="146" customWidth="1"/>
    <col min="3" max="3" width="16.5703125" style="146" customWidth="1"/>
    <col min="4" max="4" width="16.42578125" style="146" customWidth="1"/>
    <col min="5" max="5" width="15.7109375" style="146" customWidth="1"/>
    <col min="6" max="6" width="14.140625" style="146" customWidth="1"/>
    <col min="7" max="7" width="14.5703125" style="146" customWidth="1"/>
    <col min="8" max="8" width="16.85546875" style="146" customWidth="1"/>
    <col min="9" max="9" width="17.42578125" style="146" customWidth="1"/>
    <col min="10" max="16384" width="9.140625" style="146"/>
  </cols>
  <sheetData>
    <row r="1" spans="1:10" customFormat="1" x14ac:dyDescent="0.2">
      <c r="B1" s="1307"/>
      <c r="C1" s="1307"/>
      <c r="D1" s="1307"/>
      <c r="E1" s="1307"/>
      <c r="F1" s="1307"/>
      <c r="G1" s="1307"/>
      <c r="H1" s="1307"/>
      <c r="I1" s="1307"/>
    </row>
    <row r="2" spans="1:10" customFormat="1" ht="69.95" customHeight="1" x14ac:dyDescent="0.2">
      <c r="A2" s="215"/>
      <c r="B2" s="1365"/>
      <c r="C2" s="1365"/>
      <c r="D2" s="1365"/>
      <c r="E2" s="1365"/>
      <c r="F2" s="1365"/>
      <c r="G2" s="1365"/>
      <c r="H2" s="1365"/>
      <c r="I2" s="1365"/>
      <c r="J2" s="218"/>
    </row>
    <row r="3" spans="1:10" customFormat="1" ht="15.75" customHeight="1" x14ac:dyDescent="0.2">
      <c r="A3" s="1749" t="s">
        <v>79</v>
      </c>
      <c r="B3" s="1317"/>
      <c r="C3" s="1321" t="str">
        <f>ORÇ!B2</f>
        <v>PREFEITURA MUNICIPAL DE OURÉM</v>
      </c>
      <c r="D3" s="1738"/>
      <c r="E3" s="1322"/>
      <c r="F3" s="1326" t="s">
        <v>85</v>
      </c>
      <c r="G3" s="1327"/>
      <c r="H3" s="1819" t="str">
        <f>ORÇ!I2</f>
        <v>OURÉM/PA</v>
      </c>
      <c r="I3" s="1821"/>
    </row>
    <row r="4" spans="1:10" customFormat="1" ht="15.75" customHeight="1" x14ac:dyDescent="0.2">
      <c r="A4" s="1749" t="s">
        <v>80</v>
      </c>
      <c r="B4" s="1317"/>
      <c r="C4" s="1321" t="str">
        <f>ORÇ!B3</f>
        <v>CONSTRUÇÃO DO CENTRO DE FISIOTERAPIA, NO MUNICÍPIO DE OURÉM/PA</v>
      </c>
      <c r="D4" s="1738"/>
      <c r="E4" s="1738"/>
      <c r="F4" s="1738"/>
      <c r="G4" s="1738"/>
      <c r="H4" s="1738"/>
      <c r="I4" s="1322"/>
    </row>
    <row r="5" spans="1:10" customFormat="1" ht="15.75" customHeight="1" x14ac:dyDescent="0.2">
      <c r="A5" s="1749" t="s">
        <v>161</v>
      </c>
      <c r="B5" s="1317"/>
      <c r="C5" s="1808" t="str">
        <f>ORÇ!B4</f>
        <v>AV. PADRE ANGELO MORETTE, S/Nº - OURÉM/PA</v>
      </c>
      <c r="D5" s="1809"/>
      <c r="E5" s="1809"/>
      <c r="F5" s="1809"/>
      <c r="G5" s="1809"/>
      <c r="H5" s="1809"/>
      <c r="I5" s="1810"/>
    </row>
    <row r="6" spans="1:10" customFormat="1" ht="26.25" customHeight="1" x14ac:dyDescent="0.2">
      <c r="A6" s="1310" t="s">
        <v>81</v>
      </c>
      <c r="B6" s="1311"/>
      <c r="C6" s="1312">
        <f>ORÇ!B5</f>
        <v>0.2881986483454233</v>
      </c>
      <c r="D6" s="1680"/>
      <c r="E6" s="1342" t="s">
        <v>169</v>
      </c>
      <c r="F6" s="1343"/>
      <c r="G6" s="1816" t="str">
        <f>ORÇ!G5</f>
        <v>SINAPI FEVEREIRO 2022 - DESONERADA                                 SEDOP FEVEREIRO 2022 - DESONERADA</v>
      </c>
      <c r="H6" s="1817"/>
      <c r="I6" s="1818"/>
    </row>
    <row r="7" spans="1:10" customFormat="1" ht="19.5" customHeight="1" x14ac:dyDescent="0.2">
      <c r="A7" s="1749" t="s">
        <v>82</v>
      </c>
      <c r="B7" s="1317"/>
      <c r="C7" s="1672" t="str">
        <f>ORÇ!B6</f>
        <v>MARUZA BAPTISTA</v>
      </c>
      <c r="D7" s="1673"/>
      <c r="E7" s="1342" t="s">
        <v>170</v>
      </c>
      <c r="F7" s="1343"/>
      <c r="G7" s="1344" t="str">
        <f>ORÇ!G7</f>
        <v>CAU: 28510-2 A</v>
      </c>
      <c r="H7" s="1344"/>
      <c r="I7" s="1344"/>
      <c r="J7" s="63"/>
    </row>
    <row r="8" spans="1:10" customFormat="1" ht="15.75" customHeight="1" thickBot="1" x14ac:dyDescent="0.25">
      <c r="A8" s="284"/>
      <c r="B8" s="284"/>
      <c r="C8" s="285"/>
      <c r="D8" s="285"/>
      <c r="E8" s="282"/>
      <c r="F8" s="282"/>
      <c r="G8" s="283"/>
      <c r="H8" s="283"/>
      <c r="I8" s="283"/>
      <c r="J8" s="63"/>
    </row>
    <row r="9" spans="1:10" ht="18.75" customHeight="1" thickBot="1" x14ac:dyDescent="0.25">
      <c r="A9" s="1845" t="str">
        <f>CONCATENATE("MEMÓRIA DE CÁLCULO ",ORÇ!A172)</f>
        <v>MEMÓRIA DE CÁLCULO 12</v>
      </c>
      <c r="B9" s="1846"/>
      <c r="C9" s="1846"/>
      <c r="D9" s="1846"/>
      <c r="E9" s="1846"/>
      <c r="F9" s="1846"/>
      <c r="G9" s="1846"/>
      <c r="H9" s="1846"/>
      <c r="I9" s="1847"/>
    </row>
    <row r="10" spans="1:10" s="149" customFormat="1" ht="15" x14ac:dyDescent="0.2">
      <c r="A10" s="1753" t="str">
        <f>ORÇ!D172</f>
        <v>Instalações Elétricas</v>
      </c>
      <c r="B10" s="1753"/>
      <c r="C10" s="1753"/>
      <c r="D10" s="1753"/>
      <c r="E10" s="1753"/>
      <c r="F10" s="1753"/>
      <c r="G10" s="1753"/>
      <c r="H10" s="1753"/>
      <c r="I10" s="1753"/>
    </row>
    <row r="11" spans="1:10" s="863" customFormat="1" ht="7.5" customHeight="1" x14ac:dyDescent="0.2"/>
    <row r="12" spans="1:10" s="266" customFormat="1" ht="16.5" customHeight="1" x14ac:dyDescent="0.2">
      <c r="B12" s="148">
        <f>ORÇ!A172</f>
        <v>12</v>
      </c>
      <c r="C12" s="147" t="str">
        <f>ORÇ!D172</f>
        <v>Instalações Elétricas</v>
      </c>
    </row>
    <row r="13" spans="1:10" s="266" customFormat="1" ht="16.5" customHeight="1" x14ac:dyDescent="0.2">
      <c r="B13" s="148" t="str">
        <f>ORÇ!A173</f>
        <v>12.1</v>
      </c>
      <c r="C13" s="1751" t="str">
        <f>ORÇ!D173</f>
        <v>Iluminação</v>
      </c>
      <c r="D13" s="1751"/>
      <c r="E13" s="1751"/>
    </row>
    <row r="14" spans="1:10" s="266" customFormat="1" ht="19.5" customHeight="1" x14ac:dyDescent="0.2">
      <c r="B14" s="148" t="str">
        <f>ORÇ!A174</f>
        <v>12.1.1</v>
      </c>
      <c r="C14" s="1759" t="str">
        <f>ORÇ!D174</f>
        <v>LUMINÁRIA ABALUX - EMBUTIR(2X20W) - COMPLETA</v>
      </c>
      <c r="D14" s="1759"/>
      <c r="E14" s="1759"/>
      <c r="F14" s="1759"/>
      <c r="G14" s="1759"/>
      <c r="H14" s="1759"/>
      <c r="I14" s="1759"/>
    </row>
    <row r="15" spans="1:10" s="266" customFormat="1" x14ac:dyDescent="0.2">
      <c r="C15" s="147" t="s">
        <v>2368</v>
      </c>
    </row>
    <row r="16" spans="1:10" s="266" customFormat="1" x14ac:dyDescent="0.2"/>
    <row r="17" spans="2:9" s="266" customFormat="1" x14ac:dyDescent="0.2">
      <c r="C17" s="1139" t="s">
        <v>191</v>
      </c>
      <c r="D17" s="1140">
        <v>71</v>
      </c>
      <c r="E17" s="1141" t="s">
        <v>162</v>
      </c>
    </row>
    <row r="18" spans="2:9" s="266" customFormat="1" x14ac:dyDescent="0.2"/>
    <row r="19" spans="2:9" s="629" customFormat="1" ht="32.25" customHeight="1" x14ac:dyDescent="0.2">
      <c r="B19" s="148" t="str">
        <f>ORÇ!A175</f>
        <v>12.1.2</v>
      </c>
      <c r="C19" s="1759" t="str">
        <f>ORÇ!D175</f>
        <v>LUMINÁRIA TIPO PLAFON, DE SOBREPOR, COM 1 LÂMPADA LED DE 12/13 W, SEM REATOR - FORNECIMENTO E INSTALAÇÃO. AF_02/2020</v>
      </c>
      <c r="D19" s="1759"/>
      <c r="E19" s="1759"/>
      <c r="F19" s="1759"/>
      <c r="G19" s="1759"/>
      <c r="H19" s="1759"/>
      <c r="I19" s="1759"/>
    </row>
    <row r="20" spans="2:9" s="266" customFormat="1" x14ac:dyDescent="0.2">
      <c r="B20" s="269"/>
    </row>
    <row r="21" spans="2:9" s="266" customFormat="1" x14ac:dyDescent="0.2">
      <c r="C21" s="1139" t="s">
        <v>191</v>
      </c>
      <c r="D21" s="1140">
        <v>6</v>
      </c>
      <c r="E21" s="1141" t="s">
        <v>162</v>
      </c>
    </row>
    <row r="22" spans="2:9" s="266" customFormat="1" x14ac:dyDescent="0.2"/>
    <row r="23" spans="2:9" s="266" customFormat="1" ht="20.25" customHeight="1" x14ac:dyDescent="0.2">
      <c r="B23" s="148" t="str">
        <f>ORÇ!A176</f>
        <v>12.1.3</v>
      </c>
      <c r="C23" s="1759" t="str">
        <f>ORÇ!D176</f>
        <v>LUMINÁRIA PENDENTE, PARA UMA LÂMPADA LED 50W. FORNECIMENTO E INSTALAÇÃO</v>
      </c>
      <c r="D23" s="1759"/>
      <c r="E23" s="1759"/>
      <c r="F23" s="1759"/>
      <c r="G23" s="1759"/>
      <c r="H23" s="1759"/>
      <c r="I23" s="1759"/>
    </row>
    <row r="24" spans="2:9" s="266" customFormat="1" x14ac:dyDescent="0.2"/>
    <row r="25" spans="2:9" s="266" customFormat="1" x14ac:dyDescent="0.2">
      <c r="C25" s="1139" t="s">
        <v>191</v>
      </c>
      <c r="D25" s="1140">
        <v>12</v>
      </c>
      <c r="E25" s="1141" t="s">
        <v>162</v>
      </c>
    </row>
    <row r="26" spans="2:9" s="266" customFormat="1" x14ac:dyDescent="0.2"/>
    <row r="27" spans="2:9" s="266" customFormat="1" x14ac:dyDescent="0.2"/>
    <row r="28" spans="2:9" s="266" customFormat="1" x14ac:dyDescent="0.2">
      <c r="B28" s="241" t="str">
        <f>ORÇ!A177</f>
        <v>12.2</v>
      </c>
      <c r="C28" s="1751" t="str">
        <f>ORÇ!D177</f>
        <v>Tomadas e Interruptores</v>
      </c>
      <c r="D28" s="1751"/>
      <c r="E28" s="1751"/>
    </row>
    <row r="29" spans="2:9" s="629" customFormat="1" ht="30" customHeight="1" x14ac:dyDescent="0.2">
      <c r="B29" s="148" t="str">
        <f>ORÇ!A178</f>
        <v>12.2.1</v>
      </c>
      <c r="C29" s="1759" t="str">
        <f>ORÇ!D178</f>
        <v>INTERRUPTOR SIMPLES (1 MÓDULO), 10A/250V, INCLUINDO SUPORTE E PLACA - FORNECIMENTO E INSTALAÇÃO. AF_12/2015</v>
      </c>
      <c r="D29" s="1759"/>
      <c r="E29" s="1759"/>
      <c r="F29" s="1759"/>
      <c r="G29" s="1759"/>
      <c r="H29" s="1759"/>
      <c r="I29" s="1759"/>
    </row>
    <row r="30" spans="2:9" s="266" customFormat="1" x14ac:dyDescent="0.2"/>
    <row r="31" spans="2:9" s="629" customFormat="1" ht="16.5" customHeight="1" x14ac:dyDescent="0.2">
      <c r="C31" s="1134" t="s">
        <v>191</v>
      </c>
      <c r="D31" s="1135">
        <v>16</v>
      </c>
      <c r="E31" s="1136" t="s">
        <v>162</v>
      </c>
    </row>
    <row r="32" spans="2:9" s="266" customFormat="1" x14ac:dyDescent="0.2"/>
    <row r="33" spans="2:9" s="629" customFormat="1" ht="31.5" customHeight="1" x14ac:dyDescent="0.2">
      <c r="B33" s="148" t="str">
        <f>ORÇ!A179</f>
        <v>12.2.2</v>
      </c>
      <c r="C33" s="1759" t="str">
        <f>ORÇ!D179</f>
        <v>INTERRUPTOR SIMPLES (2 MÓDULOS), 10A/250V, INCLUINDO SUPORTE E PLACA - FORNECIMENTO E INSTALAÇÃO. AF_12/2015</v>
      </c>
      <c r="D33" s="1759"/>
      <c r="E33" s="1759"/>
      <c r="F33" s="1759"/>
      <c r="G33" s="1759"/>
      <c r="H33" s="1759"/>
      <c r="I33" s="1759"/>
    </row>
    <row r="34" spans="2:9" s="266" customFormat="1" x14ac:dyDescent="0.2"/>
    <row r="35" spans="2:9" s="629" customFormat="1" ht="16.5" customHeight="1" x14ac:dyDescent="0.2">
      <c r="C35" s="1134" t="s">
        <v>191</v>
      </c>
      <c r="D35" s="1135">
        <v>11</v>
      </c>
      <c r="E35" s="1136" t="s">
        <v>162</v>
      </c>
    </row>
    <row r="36" spans="2:9" s="266" customFormat="1" x14ac:dyDescent="0.2"/>
    <row r="37" spans="2:9" s="629" customFormat="1" ht="31.5" customHeight="1" x14ac:dyDescent="0.2">
      <c r="B37" s="148" t="str">
        <f>ORÇ!A180</f>
        <v>12.2.3</v>
      </c>
      <c r="C37" s="1759" t="str">
        <f>ORÇ!D180</f>
        <v>INTERRUPTOR SIMPLES (3 MÓDULOS), 10A/250V, INCLUINDO SUPORTE E PLACA - FORNECIMENTO E INSTALAÇÃO. AF_12/2015</v>
      </c>
      <c r="D37" s="1759"/>
      <c r="E37" s="1759"/>
      <c r="F37" s="1759"/>
      <c r="G37" s="1759"/>
      <c r="H37" s="1759"/>
      <c r="I37" s="1759"/>
    </row>
    <row r="38" spans="2:9" s="266" customFormat="1" x14ac:dyDescent="0.2"/>
    <row r="39" spans="2:9" s="629" customFormat="1" ht="16.5" customHeight="1" x14ac:dyDescent="0.2">
      <c r="C39" s="1134" t="s">
        <v>191</v>
      </c>
      <c r="D39" s="1135">
        <v>3</v>
      </c>
      <c r="E39" s="1136" t="s">
        <v>162</v>
      </c>
    </row>
    <row r="40" spans="2:9" s="266" customFormat="1" x14ac:dyDescent="0.2"/>
    <row r="41" spans="2:9" s="629" customFormat="1" ht="31.5" customHeight="1" x14ac:dyDescent="0.2">
      <c r="B41" s="148" t="str">
        <f>ORÇ!A181</f>
        <v>12.2.4</v>
      </c>
      <c r="C41" s="1759" t="str">
        <f>ORÇ!D181</f>
        <v>INTERRUPTOR SIMPLES (1 MÓDULO) COM 1 TOMADA DE EMBUTIR 2P+T 10 A,  INCLUINDO SUPORTE E PLACA - FORNECIMENTO E INSTALAÇÃO. AF_12/2015</v>
      </c>
      <c r="D41" s="1759"/>
      <c r="E41" s="1759"/>
      <c r="F41" s="1759"/>
      <c r="G41" s="1759"/>
      <c r="H41" s="1759"/>
      <c r="I41" s="1759"/>
    </row>
    <row r="42" spans="2:9" s="266" customFormat="1" x14ac:dyDescent="0.2"/>
    <row r="43" spans="2:9" s="629" customFormat="1" ht="16.5" customHeight="1" x14ac:dyDescent="0.2">
      <c r="C43" s="1134" t="s">
        <v>191</v>
      </c>
      <c r="D43" s="1135">
        <v>4</v>
      </c>
      <c r="E43" s="1136" t="s">
        <v>162</v>
      </c>
    </row>
    <row r="44" spans="2:9" s="266" customFormat="1" x14ac:dyDescent="0.2"/>
    <row r="45" spans="2:9" s="915" customFormat="1" ht="29.25" customHeight="1" x14ac:dyDescent="0.2">
      <c r="B45" s="1143" t="str">
        <f>ORÇ!A182</f>
        <v>12.2.5</v>
      </c>
      <c r="C45" s="1848" t="str">
        <f>ORÇ!D182</f>
        <v>TOMADA BAIXA DE EMBUTIR (1 MÓDULO), 2P+T 10 A, INCLUINDO SUPORTE E PLACA - FORNECIMENTO E INSTALAÇÃO. AF_12/2015</v>
      </c>
      <c r="D45" s="1848"/>
      <c r="E45" s="1848"/>
      <c r="F45" s="1848"/>
      <c r="G45" s="1848"/>
      <c r="H45" s="1848"/>
      <c r="I45" s="1848"/>
    </row>
    <row r="46" spans="2:9" s="266" customFormat="1" x14ac:dyDescent="0.2"/>
    <row r="47" spans="2:9" s="629" customFormat="1" ht="16.5" customHeight="1" x14ac:dyDescent="0.2">
      <c r="C47" s="1134" t="s">
        <v>191</v>
      </c>
      <c r="D47" s="1135">
        <v>13</v>
      </c>
      <c r="E47" s="1136" t="s">
        <v>162</v>
      </c>
    </row>
    <row r="48" spans="2:9" s="266" customFormat="1" x14ac:dyDescent="0.2"/>
    <row r="49" spans="2:9" s="629" customFormat="1" ht="30.75" customHeight="1" x14ac:dyDescent="0.2">
      <c r="B49" s="148" t="str">
        <f>ORÇ!A183</f>
        <v>12.2.6</v>
      </c>
      <c r="C49" s="1759" t="str">
        <f>ORÇ!D183</f>
        <v>TOMADA BAIXA DE EMBUTIR (2 MÓDULOS), 2P+T 10 A, INCLUINDO SUPORTE E PLACA - FORNECIMENTO E INSTALAÇÃO. AF_12/2015</v>
      </c>
      <c r="D49" s="1759"/>
      <c r="E49" s="1759"/>
      <c r="F49" s="1759"/>
      <c r="G49" s="1759"/>
      <c r="H49" s="1759"/>
      <c r="I49" s="1759"/>
    </row>
    <row r="50" spans="2:9" s="266" customFormat="1" x14ac:dyDescent="0.2"/>
    <row r="51" spans="2:9" s="629" customFormat="1" ht="16.5" customHeight="1" x14ac:dyDescent="0.2">
      <c r="C51" s="1134" t="s">
        <v>191</v>
      </c>
      <c r="D51" s="1135">
        <v>6</v>
      </c>
      <c r="E51" s="1136" t="s">
        <v>162</v>
      </c>
    </row>
    <row r="52" spans="2:9" s="266" customFormat="1" x14ac:dyDescent="0.2"/>
    <row r="53" spans="2:9" s="915" customFormat="1" ht="32.25" customHeight="1" x14ac:dyDescent="0.2">
      <c r="B53" s="1143" t="str">
        <f>ORÇ!A184</f>
        <v>12.2.7</v>
      </c>
      <c r="C53" s="1848" t="str">
        <f>ORÇ!D184</f>
        <v>TOMADA MÉDIA DE EMBUTIR (1 MÓDULO), 2P+T 10 A, INCLUINDO SUPORTE E PLACA - FORNECIMENTO E INSTALAÇÃO. AF_12/2015</v>
      </c>
      <c r="D53" s="1848"/>
      <c r="E53" s="1848"/>
      <c r="F53" s="1848"/>
      <c r="G53" s="1848"/>
      <c r="H53" s="1848"/>
      <c r="I53" s="1848"/>
    </row>
    <row r="54" spans="2:9" s="266" customFormat="1" x14ac:dyDescent="0.2"/>
    <row r="55" spans="2:9" s="629" customFormat="1" ht="16.5" customHeight="1" x14ac:dyDescent="0.2">
      <c r="C55" s="1134" t="s">
        <v>191</v>
      </c>
      <c r="D55" s="1135">
        <v>15</v>
      </c>
      <c r="E55" s="1136" t="s">
        <v>162</v>
      </c>
    </row>
    <row r="56" spans="2:9" s="266" customFormat="1" x14ac:dyDescent="0.2"/>
    <row r="57" spans="2:9" s="629" customFormat="1" ht="22.5" customHeight="1" x14ac:dyDescent="0.2">
      <c r="B57" s="148" t="str">
        <f>ORÇ!A185</f>
        <v>12.2.8</v>
      </c>
      <c r="C57" s="1759" t="str">
        <f>ORÇ!D185</f>
        <v>TOMADA 2P+T 10A (S/ FIAÇÃO)</v>
      </c>
      <c r="D57" s="1759"/>
      <c r="E57" s="1759"/>
      <c r="F57" s="1759"/>
      <c r="G57" s="1759"/>
      <c r="H57" s="1759"/>
      <c r="I57" s="1759"/>
    </row>
    <row r="58" spans="2:9" s="266" customFormat="1" x14ac:dyDescent="0.2"/>
    <row r="59" spans="2:9" s="629" customFormat="1" ht="16.5" customHeight="1" x14ac:dyDescent="0.2">
      <c r="C59" s="1134" t="s">
        <v>191</v>
      </c>
      <c r="D59" s="1135">
        <v>4</v>
      </c>
      <c r="E59" s="1136" t="s">
        <v>162</v>
      </c>
    </row>
    <row r="60" spans="2:9" s="266" customFormat="1" x14ac:dyDescent="0.2"/>
    <row r="61" spans="2:9" s="915" customFormat="1" ht="34.5" customHeight="1" x14ac:dyDescent="0.2">
      <c r="B61" s="1143" t="str">
        <f>ORÇ!A186</f>
        <v>12.2.9</v>
      </c>
      <c r="C61" s="1848" t="str">
        <f>ORÇ!D186</f>
        <v>TOMADA ALTA DE EMBUTIR (1 MÓDULO), 2P+T 10 A, INCLUINDO SUPORTE E PLACA - FORNECIMENTO E INSTALAÇÃO. AF_12/2015</v>
      </c>
      <c r="D61" s="1848"/>
      <c r="E61" s="1848"/>
      <c r="F61" s="1848"/>
      <c r="G61" s="1848"/>
      <c r="H61" s="1848"/>
      <c r="I61" s="1848"/>
    </row>
    <row r="62" spans="2:9" s="266" customFormat="1" x14ac:dyDescent="0.2"/>
    <row r="63" spans="2:9" s="629" customFormat="1" ht="16.5" customHeight="1" x14ac:dyDescent="0.2">
      <c r="C63" s="1134" t="s">
        <v>191</v>
      </c>
      <c r="D63" s="1135">
        <v>6</v>
      </c>
      <c r="E63" s="1136" t="s">
        <v>162</v>
      </c>
    </row>
    <row r="64" spans="2:9" s="266" customFormat="1" x14ac:dyDescent="0.2"/>
    <row r="65" spans="2:9" s="629" customFormat="1" ht="27" customHeight="1" x14ac:dyDescent="0.2">
      <c r="B65" s="148" t="str">
        <f>ORÇ!A187</f>
        <v>12.2.10</v>
      </c>
      <c r="C65" s="1759" t="str">
        <f>ORÇ!D187</f>
        <v>TOMADA ALTA DE EMBUTIR (1 MÓDULO), 2P+T 20 A, INCLUINDO SUPORTE E PLACA - FORNECIMENTO E INSTALAÇÃO. AF_12/2015</v>
      </c>
      <c r="D65" s="1759"/>
      <c r="E65" s="1759"/>
      <c r="F65" s="1759"/>
      <c r="G65" s="1759"/>
      <c r="H65" s="1759"/>
      <c r="I65" s="1759"/>
    </row>
    <row r="66" spans="2:9" s="266" customFormat="1" x14ac:dyDescent="0.2">
      <c r="B66" s="269"/>
    </row>
    <row r="67" spans="2:9" s="629" customFormat="1" ht="16.5" customHeight="1" x14ac:dyDescent="0.2">
      <c r="B67" s="635"/>
      <c r="C67" s="1134" t="s">
        <v>191</v>
      </c>
      <c r="D67" s="1135">
        <v>11</v>
      </c>
      <c r="E67" s="1136" t="s">
        <v>162</v>
      </c>
    </row>
    <row r="68" spans="2:9" s="1130" customFormat="1" x14ac:dyDescent="0.2">
      <c r="B68" s="1142"/>
    </row>
    <row r="69" spans="2:9" s="1130" customFormat="1" x14ac:dyDescent="0.2">
      <c r="B69" s="1142"/>
    </row>
    <row r="70" spans="2:9" s="629" customFormat="1" ht="16.5" customHeight="1" x14ac:dyDescent="0.2">
      <c r="B70" s="148" t="str">
        <f>ORÇ!A188</f>
        <v>12.3</v>
      </c>
      <c r="C70" s="1238" t="str">
        <f>ORÇ!D188</f>
        <v>Cabos, Eletrocalha e Elementos de Direcionamento de Cabos</v>
      </c>
      <c r="D70" s="1238"/>
      <c r="E70" s="1238"/>
      <c r="F70" s="1280"/>
      <c r="G70" s="1280"/>
      <c r="H70" s="1280"/>
      <c r="I70" s="1280"/>
    </row>
    <row r="71" spans="2:9" s="629" customFormat="1" ht="16.5" customHeight="1" x14ac:dyDescent="0.2">
      <c r="B71" s="148" t="str">
        <f>ORÇ!A189</f>
        <v>12.3.1</v>
      </c>
      <c r="C71" s="1849" t="str">
        <f>ORÇ!D189</f>
        <v>CURVA DE INVERSÃO PARA ELETROCALHA TIPO "C" COM TAMPA, 100X50MM. FORNECIMENTO E INSTALAÇÃO.</v>
      </c>
      <c r="D71" s="1849"/>
      <c r="E71" s="1849"/>
      <c r="F71" s="1849"/>
      <c r="G71" s="1849"/>
      <c r="H71" s="1849"/>
      <c r="I71" s="1849"/>
    </row>
    <row r="72" spans="2:9" s="266" customFormat="1" x14ac:dyDescent="0.2">
      <c r="B72" s="269"/>
    </row>
    <row r="73" spans="2:9" s="266" customFormat="1" x14ac:dyDescent="0.2">
      <c r="B73" s="269"/>
      <c r="C73" s="1139" t="s">
        <v>191</v>
      </c>
      <c r="D73" s="1140">
        <v>2</v>
      </c>
      <c r="E73" s="1141" t="s">
        <v>50</v>
      </c>
    </row>
    <row r="74" spans="2:9" s="266" customFormat="1" x14ac:dyDescent="0.2">
      <c r="B74" s="269"/>
    </row>
    <row r="75" spans="2:9" s="629" customFormat="1" ht="16.5" customHeight="1" x14ac:dyDescent="0.2">
      <c r="B75" s="148" t="str">
        <f>ORÇ!A190</f>
        <v>12.3.2</v>
      </c>
      <c r="C75" s="1849" t="str">
        <f>ORÇ!D190</f>
        <v>CURVA HORIZONTAL 90° PARA ELETROCALHA TIPO "C" COM TAMPA, 100X50MM.</v>
      </c>
      <c r="D75" s="1849"/>
      <c r="E75" s="1849"/>
      <c r="F75" s="1849"/>
      <c r="G75" s="1849"/>
      <c r="H75" s="1849"/>
      <c r="I75" s="1849"/>
    </row>
    <row r="76" spans="2:9" s="266" customFormat="1" x14ac:dyDescent="0.2">
      <c r="B76" s="269"/>
    </row>
    <row r="77" spans="2:9" s="266" customFormat="1" x14ac:dyDescent="0.2">
      <c r="B77" s="269"/>
      <c r="C77" s="1139" t="s">
        <v>191</v>
      </c>
      <c r="D77" s="1140">
        <v>1</v>
      </c>
      <c r="E77" s="1141" t="s">
        <v>50</v>
      </c>
    </row>
    <row r="78" spans="2:9" s="266" customFormat="1" x14ac:dyDescent="0.2">
      <c r="B78" s="269"/>
    </row>
    <row r="79" spans="2:9" s="629" customFormat="1" ht="16.5" customHeight="1" x14ac:dyDescent="0.2">
      <c r="B79" s="148" t="str">
        <f>ORÇ!A191</f>
        <v>12.3.3</v>
      </c>
      <c r="C79" s="1849" t="str">
        <f>ORÇ!D191</f>
        <v>CURVA VERTICAL INTERNA 90° PARA ELETROCALHA TIPO "C" COM TAMPA, 100X50MM. FORNECIMENTO E INSTALAÇÃO.</v>
      </c>
      <c r="D79" s="1849"/>
      <c r="E79" s="1849"/>
      <c r="F79" s="1849"/>
      <c r="G79" s="1849"/>
      <c r="H79" s="1849"/>
      <c r="I79" s="1849"/>
    </row>
    <row r="80" spans="2:9" s="266" customFormat="1" x14ac:dyDescent="0.2">
      <c r="B80" s="269"/>
    </row>
    <row r="81" spans="2:9" s="266" customFormat="1" x14ac:dyDescent="0.2">
      <c r="B81" s="269"/>
      <c r="C81" s="1139" t="s">
        <v>191</v>
      </c>
      <c r="D81" s="1140">
        <v>2</v>
      </c>
      <c r="E81" s="1141" t="s">
        <v>50</v>
      </c>
    </row>
    <row r="82" spans="2:9" s="266" customFormat="1" x14ac:dyDescent="0.2">
      <c r="B82" s="269"/>
    </row>
    <row r="83" spans="2:9" s="629" customFormat="1" ht="19.5" customHeight="1" x14ac:dyDescent="0.2">
      <c r="B83" s="148" t="str">
        <f>ORÇ!A192</f>
        <v>12.3.4</v>
      </c>
      <c r="C83" s="1849" t="str">
        <f>ORÇ!D192</f>
        <v>CURVA VERTICAL EXTERNA 90° PARA ELETROCALHA TIPO "C" COM TAMPA, 100X50MM. FORNECIMENTO E INSTALAÇÃO.</v>
      </c>
      <c r="D83" s="1849"/>
      <c r="E83" s="1849"/>
      <c r="F83" s="1849"/>
      <c r="G83" s="1849"/>
      <c r="H83" s="1849"/>
      <c r="I83" s="1849"/>
    </row>
    <row r="84" spans="2:9" s="266" customFormat="1" x14ac:dyDescent="0.2">
      <c r="B84" s="269"/>
    </row>
    <row r="85" spans="2:9" s="266" customFormat="1" x14ac:dyDescent="0.2">
      <c r="B85" s="269"/>
      <c r="C85" s="1139" t="s">
        <v>191</v>
      </c>
      <c r="D85" s="1140">
        <v>2</v>
      </c>
      <c r="E85" s="1141" t="s">
        <v>50</v>
      </c>
    </row>
    <row r="86" spans="2:9" s="266" customFormat="1" x14ac:dyDescent="0.2">
      <c r="B86" s="269"/>
    </row>
    <row r="87" spans="2:9" s="629" customFormat="1" ht="16.5" customHeight="1" x14ac:dyDescent="0.2">
      <c r="B87" s="148" t="str">
        <f>ORÇ!A193</f>
        <v>12.3.5</v>
      </c>
      <c r="C87" s="1849" t="str">
        <f>ORÇ!D193</f>
        <v>TÊ HORIZONTAL 90° PARA ELETROCALHA TIPO "C" COM TAMPA, 100X50MM. FORNECIMENTO E INSTALAÇÃO.</v>
      </c>
      <c r="D87" s="1849"/>
      <c r="E87" s="1849"/>
      <c r="F87" s="1849"/>
      <c r="G87" s="1849"/>
      <c r="H87" s="1849"/>
      <c r="I87" s="1849"/>
    </row>
    <row r="88" spans="2:9" s="266" customFormat="1" x14ac:dyDescent="0.2">
      <c r="B88" s="269"/>
    </row>
    <row r="89" spans="2:9" s="266" customFormat="1" x14ac:dyDescent="0.2">
      <c r="B89" s="269"/>
      <c r="C89" s="1139" t="s">
        <v>191</v>
      </c>
      <c r="D89" s="1140">
        <v>3</v>
      </c>
      <c r="E89" s="1141" t="s">
        <v>50</v>
      </c>
    </row>
    <row r="90" spans="2:9" s="266" customFormat="1" x14ac:dyDescent="0.2">
      <c r="B90" s="269"/>
    </row>
    <row r="91" spans="2:9" s="629" customFormat="1" ht="16.5" customHeight="1" x14ac:dyDescent="0.2">
      <c r="B91" s="148" t="str">
        <f>ORÇ!A194</f>
        <v>12.3.6</v>
      </c>
      <c r="C91" s="1849" t="str">
        <f>ORÇ!D194</f>
        <v>EMENDA INTERNA PARA ELETROCALHA TIPO "C", 100X50MM. FORNECIMENTO E INSTALAÇÃO.</v>
      </c>
      <c r="D91" s="1849"/>
      <c r="E91" s="1849"/>
      <c r="F91" s="1849"/>
      <c r="G91" s="1849"/>
      <c r="H91" s="1849"/>
      <c r="I91" s="1849"/>
    </row>
    <row r="92" spans="2:9" s="266" customFormat="1" x14ac:dyDescent="0.2">
      <c r="B92" s="269"/>
    </row>
    <row r="93" spans="2:9" s="266" customFormat="1" x14ac:dyDescent="0.2">
      <c r="B93" s="269"/>
      <c r="C93" s="1139" t="s">
        <v>191</v>
      </c>
      <c r="D93" s="1140">
        <v>40</v>
      </c>
      <c r="E93" s="1141" t="s">
        <v>50</v>
      </c>
    </row>
    <row r="94" spans="2:9" s="266" customFormat="1" x14ac:dyDescent="0.2">
      <c r="B94" s="269"/>
    </row>
    <row r="95" spans="2:9" s="629" customFormat="1" ht="16.5" customHeight="1" x14ac:dyDescent="0.2">
      <c r="B95" s="148" t="str">
        <f>ORÇ!A195</f>
        <v>12.3.7</v>
      </c>
      <c r="C95" s="1849" t="str">
        <f>ORÇ!D195</f>
        <v>SAÍDA HORIZONTAL P/ ELETRODUTO Ø1", EM ELETROCALHA. FORNECIMENTO E INSTALAÇÃO</v>
      </c>
      <c r="D95" s="1849"/>
      <c r="E95" s="1849"/>
      <c r="F95" s="1849"/>
      <c r="G95" s="1849"/>
      <c r="H95" s="1849"/>
      <c r="I95" s="1849"/>
    </row>
    <row r="96" spans="2:9" s="266" customFormat="1" x14ac:dyDescent="0.2">
      <c r="B96" s="269"/>
    </row>
    <row r="97" spans="2:9" s="266" customFormat="1" x14ac:dyDescent="0.2">
      <c r="B97" s="269"/>
      <c r="C97" s="1139" t="s">
        <v>191</v>
      </c>
      <c r="D97" s="1140">
        <v>10</v>
      </c>
      <c r="E97" s="1141" t="s">
        <v>50</v>
      </c>
    </row>
    <row r="98" spans="2:9" s="266" customFormat="1" x14ac:dyDescent="0.2">
      <c r="B98" s="269"/>
    </row>
    <row r="99" spans="2:9" s="629" customFormat="1" ht="16.5" customHeight="1" x14ac:dyDescent="0.2">
      <c r="B99" s="148" t="str">
        <f>ORÇ!A196</f>
        <v>12.3.8</v>
      </c>
      <c r="C99" s="1849" t="str">
        <f>ORÇ!D196</f>
        <v>SAÍDA HORIZONTAL P/ ELETRODUTO Ø3/4", EM ELETROCALHA. FORNECIMENTO E INSTALAÇÃO</v>
      </c>
      <c r="D99" s="1849"/>
      <c r="E99" s="1849"/>
      <c r="F99" s="1849"/>
      <c r="G99" s="1849"/>
      <c r="H99" s="1849"/>
      <c r="I99" s="1849"/>
    </row>
    <row r="100" spans="2:9" s="266" customFormat="1" x14ac:dyDescent="0.2">
      <c r="B100" s="269"/>
    </row>
    <row r="101" spans="2:9" s="266" customFormat="1" x14ac:dyDescent="0.2">
      <c r="B101" s="269"/>
      <c r="C101" s="1139" t="s">
        <v>191</v>
      </c>
      <c r="D101" s="1140">
        <v>30</v>
      </c>
      <c r="E101" s="1141" t="s">
        <v>50</v>
      </c>
    </row>
    <row r="102" spans="2:9" s="266" customFormat="1" x14ac:dyDescent="0.2">
      <c r="B102" s="269"/>
    </row>
    <row r="103" spans="2:9" s="629" customFormat="1" ht="16.5" customHeight="1" x14ac:dyDescent="0.2">
      <c r="B103" s="148" t="str">
        <f>ORÇ!A197</f>
        <v>12.3.9</v>
      </c>
      <c r="C103" s="1849" t="str">
        <f>ORÇ!D197</f>
        <v>SUPORTE PARA ELETROCALHAS</v>
      </c>
      <c r="D103" s="1849"/>
      <c r="E103" s="1849"/>
      <c r="F103" s="1849"/>
      <c r="G103" s="1849"/>
      <c r="H103" s="1849"/>
      <c r="I103" s="1849"/>
    </row>
    <row r="104" spans="2:9" s="266" customFormat="1" x14ac:dyDescent="0.2">
      <c r="B104" s="269"/>
    </row>
    <row r="105" spans="2:9" s="266" customFormat="1" x14ac:dyDescent="0.2">
      <c r="B105" s="269"/>
      <c r="C105" s="1139" t="s">
        <v>191</v>
      </c>
      <c r="D105" s="1140">
        <v>81</v>
      </c>
      <c r="E105" s="1141" t="s">
        <v>50</v>
      </c>
    </row>
    <row r="106" spans="2:9" s="266" customFormat="1" x14ac:dyDescent="0.2">
      <c r="B106" s="269"/>
    </row>
    <row r="107" spans="2:9" s="629" customFormat="1" ht="16.5" customHeight="1" x14ac:dyDescent="0.2">
      <c r="B107" s="148" t="str">
        <f>ORÇ!A198</f>
        <v>12.3.10</v>
      </c>
      <c r="C107" s="1849" t="str">
        <f>ORÇ!D198</f>
        <v>ELETROCALHA DE METAL CURVE "U"PERF. 50X100 - 3M</v>
      </c>
      <c r="D107" s="1849"/>
      <c r="E107" s="1849"/>
      <c r="F107" s="1849"/>
      <c r="G107" s="1849"/>
      <c r="H107" s="1849"/>
      <c r="I107" s="1849"/>
    </row>
    <row r="108" spans="2:9" s="266" customFormat="1" x14ac:dyDescent="0.2">
      <c r="B108" s="269"/>
    </row>
    <row r="109" spans="2:9" s="266" customFormat="1" x14ac:dyDescent="0.2">
      <c r="B109" s="269"/>
      <c r="C109" s="1139" t="s">
        <v>191</v>
      </c>
      <c r="D109" s="1140">
        <v>14</v>
      </c>
      <c r="E109" s="1141" t="s">
        <v>50</v>
      </c>
    </row>
    <row r="110" spans="2:9" s="266" customFormat="1" x14ac:dyDescent="0.2">
      <c r="B110" s="269"/>
    </row>
    <row r="111" spans="2:9" s="629" customFormat="1" ht="16.5" customHeight="1" x14ac:dyDescent="0.2">
      <c r="B111" s="148" t="str">
        <f>ORÇ!A199</f>
        <v>12.3.11</v>
      </c>
      <c r="C111" s="1849" t="str">
        <f>ORÇ!D199</f>
        <v>ELETRODUTO DE F°G° DE 3"</v>
      </c>
      <c r="D111" s="1849"/>
      <c r="E111" s="1849"/>
      <c r="F111" s="1849"/>
      <c r="G111" s="1849"/>
      <c r="H111" s="1849"/>
      <c r="I111" s="1849"/>
    </row>
    <row r="112" spans="2:9" s="266" customFormat="1" x14ac:dyDescent="0.2">
      <c r="B112" s="269"/>
    </row>
    <row r="113" spans="2:9" s="266" customFormat="1" x14ac:dyDescent="0.2">
      <c r="B113" s="269"/>
      <c r="C113" s="1139" t="s">
        <v>191</v>
      </c>
      <c r="D113" s="1140">
        <v>3</v>
      </c>
      <c r="E113" s="1141" t="s">
        <v>218</v>
      </c>
    </row>
    <row r="114" spans="2:9" s="266" customFormat="1" x14ac:dyDescent="0.2">
      <c r="B114" s="269"/>
    </row>
    <row r="115" spans="2:9" s="629" customFormat="1" ht="16.5" customHeight="1" x14ac:dyDescent="0.2">
      <c r="B115" s="148" t="str">
        <f>ORÇ!A200</f>
        <v>12.3.12</v>
      </c>
      <c r="C115" s="1849" t="str">
        <f>ORÇ!D200</f>
        <v>ELETRODUTO PVC RÍGIDO DE 3"</v>
      </c>
      <c r="D115" s="1849"/>
      <c r="E115" s="1849"/>
      <c r="F115" s="1849"/>
      <c r="G115" s="1849"/>
      <c r="H115" s="1849"/>
      <c r="I115" s="1849"/>
    </row>
    <row r="116" spans="2:9" s="266" customFormat="1" x14ac:dyDescent="0.2">
      <c r="B116" s="269"/>
    </row>
    <row r="117" spans="2:9" s="266" customFormat="1" x14ac:dyDescent="0.2">
      <c r="B117" s="269"/>
      <c r="C117" s="1139" t="s">
        <v>191</v>
      </c>
      <c r="D117" s="1140">
        <v>15</v>
      </c>
      <c r="E117" s="1141" t="s">
        <v>218</v>
      </c>
    </row>
    <row r="118" spans="2:9" s="266" customFormat="1" x14ac:dyDescent="0.2">
      <c r="B118" s="269"/>
    </row>
    <row r="119" spans="2:9" s="629" customFormat="1" ht="16.5" customHeight="1" x14ac:dyDescent="0.2">
      <c r="B119" s="148" t="str">
        <f>ORÇ!A201</f>
        <v>12.3.13</v>
      </c>
      <c r="C119" s="1849" t="str">
        <f>ORÇ!D201</f>
        <v>ELETRODUTO PVC RÍGIDO DE 1 1/4"</v>
      </c>
      <c r="D119" s="1849"/>
      <c r="E119" s="1849"/>
      <c r="F119" s="1849"/>
      <c r="G119" s="1849"/>
      <c r="H119" s="1849"/>
      <c r="I119" s="1849"/>
    </row>
    <row r="120" spans="2:9" s="266" customFormat="1" x14ac:dyDescent="0.2">
      <c r="B120" s="269"/>
    </row>
    <row r="121" spans="2:9" s="266" customFormat="1" x14ac:dyDescent="0.2">
      <c r="B121" s="269"/>
      <c r="C121" s="1139" t="s">
        <v>191</v>
      </c>
      <c r="D121" s="1140">
        <v>3</v>
      </c>
      <c r="E121" s="1141" t="s">
        <v>218</v>
      </c>
    </row>
    <row r="122" spans="2:9" s="266" customFormat="1" x14ac:dyDescent="0.2">
      <c r="B122" s="269"/>
    </row>
    <row r="123" spans="2:9" s="629" customFormat="1" ht="16.5" customHeight="1" x14ac:dyDescent="0.2">
      <c r="B123" s="148" t="str">
        <f>ORÇ!A202</f>
        <v>12.3.14</v>
      </c>
      <c r="C123" s="1849" t="str">
        <f>ORÇ!D202</f>
        <v>ELETRODUTO PVC RÍGIDO DE 1"</v>
      </c>
      <c r="D123" s="1849"/>
      <c r="E123" s="1849"/>
      <c r="F123" s="1849"/>
      <c r="G123" s="1849"/>
      <c r="H123" s="1849"/>
      <c r="I123" s="1849"/>
    </row>
    <row r="124" spans="2:9" s="266" customFormat="1" x14ac:dyDescent="0.2">
      <c r="B124" s="269"/>
    </row>
    <row r="125" spans="2:9" s="266" customFormat="1" x14ac:dyDescent="0.2">
      <c r="B125" s="269"/>
      <c r="C125" s="1139" t="s">
        <v>191</v>
      </c>
      <c r="D125" s="1140">
        <v>45</v>
      </c>
      <c r="E125" s="1141" t="s">
        <v>218</v>
      </c>
    </row>
    <row r="126" spans="2:9" s="266" customFormat="1" x14ac:dyDescent="0.2">
      <c r="B126" s="269"/>
    </row>
    <row r="127" spans="2:9" s="629" customFormat="1" ht="16.5" customHeight="1" x14ac:dyDescent="0.2">
      <c r="B127" s="148" t="str">
        <f>ORÇ!A203</f>
        <v>12.3.15</v>
      </c>
      <c r="C127" s="1849" t="str">
        <f>ORÇ!D203</f>
        <v>ELETRODUTO PVC RÍGIDO DE 3/4"</v>
      </c>
      <c r="D127" s="1849"/>
      <c r="E127" s="1849"/>
      <c r="F127" s="1849"/>
      <c r="G127" s="1849"/>
      <c r="H127" s="1849"/>
      <c r="I127" s="1849"/>
    </row>
    <row r="128" spans="2:9" s="266" customFormat="1" x14ac:dyDescent="0.2">
      <c r="B128" s="269"/>
    </row>
    <row r="129" spans="2:9" s="266" customFormat="1" x14ac:dyDescent="0.2">
      <c r="B129" s="269"/>
      <c r="C129" s="1139" t="s">
        <v>191</v>
      </c>
      <c r="D129" s="1140">
        <v>420</v>
      </c>
      <c r="E129" s="1141" t="s">
        <v>218</v>
      </c>
    </row>
    <row r="130" spans="2:9" s="266" customFormat="1" x14ac:dyDescent="0.2">
      <c r="B130" s="269"/>
    </row>
    <row r="131" spans="2:9" s="629" customFormat="1" ht="29.25" customHeight="1" x14ac:dyDescent="0.2">
      <c r="B131" s="148" t="str">
        <f>ORÇ!A204</f>
        <v>12.3.16</v>
      </c>
      <c r="C131" s="1844" t="str">
        <f>ORÇ!D204</f>
        <v>CABECOTE PARA ENTRADA DE LINHA DE ALIMENTACAO PARA ELETRODUTO, EM LIGA DE ALUMINIO COM ACABAMENTO ANTI CORROSIVO, COM FIXACAO POR ENCAIXE LISO DE 360 GRAUS, DE 3". FORNECIMENTO E INSTALAÇÃO.</v>
      </c>
      <c r="D131" s="1844"/>
      <c r="E131" s="1844"/>
      <c r="F131" s="1844"/>
      <c r="G131" s="1844"/>
      <c r="H131" s="1844"/>
      <c r="I131" s="1844"/>
    </row>
    <row r="132" spans="2:9" s="266" customFormat="1" x14ac:dyDescent="0.2">
      <c r="B132" s="269"/>
    </row>
    <row r="133" spans="2:9" s="266" customFormat="1" x14ac:dyDescent="0.2">
      <c r="B133" s="269"/>
      <c r="C133" s="1139" t="s">
        <v>191</v>
      </c>
      <c r="D133" s="1140">
        <v>1</v>
      </c>
      <c r="E133" s="1141" t="s">
        <v>50</v>
      </c>
    </row>
    <row r="134" spans="2:9" s="266" customFormat="1" x14ac:dyDescent="0.2">
      <c r="B134" s="269"/>
    </row>
    <row r="135" spans="2:9" s="629" customFormat="1" ht="18" customHeight="1" x14ac:dyDescent="0.2">
      <c r="B135" s="148" t="str">
        <f>ORÇ!A205</f>
        <v>12.3.17</v>
      </c>
      <c r="C135" s="1844" t="str">
        <f>ORÇ!D205</f>
        <v>CURVA  90° P/ ELET. F°G° 3" (IE)</v>
      </c>
      <c r="D135" s="1844"/>
      <c r="E135" s="1844"/>
      <c r="F135" s="1844"/>
      <c r="G135" s="1844"/>
      <c r="H135" s="1844"/>
      <c r="I135" s="1844"/>
    </row>
    <row r="136" spans="2:9" s="266" customFormat="1" x14ac:dyDescent="0.2">
      <c r="B136" s="269"/>
    </row>
    <row r="137" spans="2:9" s="266" customFormat="1" x14ac:dyDescent="0.2">
      <c r="B137" s="269"/>
      <c r="C137" s="1139" t="s">
        <v>191</v>
      </c>
      <c r="D137" s="1140">
        <v>2</v>
      </c>
      <c r="E137" s="1141" t="s">
        <v>50</v>
      </c>
    </row>
    <row r="138" spans="2:9" s="266" customFormat="1" x14ac:dyDescent="0.2">
      <c r="B138" s="269"/>
    </row>
    <row r="139" spans="2:9" s="629" customFormat="1" ht="26.25" customHeight="1" x14ac:dyDescent="0.2">
      <c r="B139" s="148" t="str">
        <f>ORÇ!A206</f>
        <v>12.3.18</v>
      </c>
      <c r="C139" s="1844" t="str">
        <f>ORÇ!D206</f>
        <v>CURVA 90 GRAUS PARA ELETRODUTO, PVC, ROSCÁVEL, DN 85 MM (3"), PARA REDE ENTERRADA DE DISTRIBUIÇÃO DE ENERGIA ELÉTRICA - FORNECIMENTO E INSTALAÇÃO. AF_12/2021</v>
      </c>
      <c r="D139" s="1844"/>
      <c r="E139" s="1844"/>
      <c r="F139" s="1844"/>
      <c r="G139" s="1844"/>
      <c r="H139" s="1844"/>
      <c r="I139" s="1844"/>
    </row>
    <row r="140" spans="2:9" s="266" customFormat="1" x14ac:dyDescent="0.2">
      <c r="B140" s="269"/>
    </row>
    <row r="141" spans="2:9" s="266" customFormat="1" x14ac:dyDescent="0.2">
      <c r="B141" s="269"/>
      <c r="C141" s="1139" t="s">
        <v>191</v>
      </c>
      <c r="D141" s="1140">
        <v>4</v>
      </c>
      <c r="E141" s="1141" t="s">
        <v>50</v>
      </c>
    </row>
    <row r="142" spans="2:9" s="266" customFormat="1" x14ac:dyDescent="0.2">
      <c r="B142" s="269"/>
    </row>
    <row r="143" spans="2:9" s="629" customFormat="1" ht="26.25" customHeight="1" x14ac:dyDescent="0.2">
      <c r="B143" s="148" t="str">
        <f>ORÇ!A207</f>
        <v>12.3.19</v>
      </c>
      <c r="C143" s="1844" t="str">
        <f>ORÇ!D207</f>
        <v>CURVA 90 GRAUS PARA ELETRODUTO, PVC, ROSCÁVEL, DN 40 MM (1 1/4"), PARA CIRCUITOS TERMINAIS, INSTALADA EM FORRO - FORNECIMENTO E INSTALAÇÃO. AF_12/2015</v>
      </c>
      <c r="D143" s="1844"/>
      <c r="E143" s="1844"/>
      <c r="F143" s="1844"/>
      <c r="G143" s="1844"/>
      <c r="H143" s="1844"/>
      <c r="I143" s="1844"/>
    </row>
    <row r="144" spans="2:9" s="266" customFormat="1" x14ac:dyDescent="0.2">
      <c r="B144" s="269"/>
    </row>
    <row r="145" spans="2:9" s="266" customFormat="1" x14ac:dyDescent="0.2">
      <c r="B145" s="269"/>
      <c r="C145" s="1139" t="s">
        <v>191</v>
      </c>
      <c r="D145" s="1140">
        <v>2</v>
      </c>
      <c r="E145" s="1141" t="s">
        <v>50</v>
      </c>
    </row>
    <row r="146" spans="2:9" s="266" customFormat="1" x14ac:dyDescent="0.2">
      <c r="B146" s="269"/>
    </row>
    <row r="147" spans="2:9" s="629" customFormat="1" ht="26.25" customHeight="1" x14ac:dyDescent="0.2">
      <c r="B147" s="148" t="str">
        <f>ORÇ!A208</f>
        <v>12.3.20</v>
      </c>
      <c r="C147" s="1844" t="str">
        <f>ORÇ!D208</f>
        <v>CURVA 90 GRAUS PARA ELETRODUTO, PVC, ROSCÁVEL, DN 32 MM (1"), PARA CIRCUITOS TERMINAIS, INSTALADA EM FORRO - FORNECIMENTO E INSTALAÇÃO. AF_12/2015</v>
      </c>
      <c r="D147" s="1844"/>
      <c r="E147" s="1844"/>
      <c r="F147" s="1844"/>
      <c r="G147" s="1844"/>
      <c r="H147" s="1844"/>
      <c r="I147" s="1844"/>
    </row>
    <row r="148" spans="2:9" s="266" customFormat="1" x14ac:dyDescent="0.2">
      <c r="B148" s="269"/>
    </row>
    <row r="149" spans="2:9" s="266" customFormat="1" x14ac:dyDescent="0.2">
      <c r="B149" s="269"/>
      <c r="C149" s="1139" t="s">
        <v>191</v>
      </c>
      <c r="D149" s="1140">
        <v>2</v>
      </c>
      <c r="E149" s="1141" t="s">
        <v>50</v>
      </c>
    </row>
    <row r="150" spans="2:9" s="266" customFormat="1" x14ac:dyDescent="0.2">
      <c r="B150" s="269"/>
    </row>
    <row r="151" spans="2:9" s="629" customFormat="1" ht="26.25" customHeight="1" x14ac:dyDescent="0.2">
      <c r="B151" s="148" t="str">
        <f>ORÇ!A209</f>
        <v>12.3.21</v>
      </c>
      <c r="C151" s="1844" t="str">
        <f>ORÇ!D209</f>
        <v>CURVA 90 GRAUS PARA ELETRODUTO, PVC, ROSCÁVEL, DN 25 MM (3/4"), PARA CIRCUITOS TERMINAIS, INSTALADA EM FORRO - FORNECIMENTO E INSTALAÇÃO. AF_12/2015</v>
      </c>
      <c r="D151" s="1844"/>
      <c r="E151" s="1844"/>
      <c r="F151" s="1844"/>
      <c r="G151" s="1844"/>
      <c r="H151" s="1844"/>
      <c r="I151" s="1844"/>
    </row>
    <row r="152" spans="2:9" s="266" customFormat="1" x14ac:dyDescent="0.2">
      <c r="B152" s="269"/>
    </row>
    <row r="153" spans="2:9" s="266" customFormat="1" x14ac:dyDescent="0.2">
      <c r="B153" s="269"/>
      <c r="C153" s="1139" t="s">
        <v>191</v>
      </c>
      <c r="D153" s="1140">
        <v>110</v>
      </c>
      <c r="E153" s="1141" t="s">
        <v>50</v>
      </c>
    </row>
    <row r="154" spans="2:9" s="266" customFormat="1" x14ac:dyDescent="0.2">
      <c r="B154" s="269"/>
    </row>
    <row r="155" spans="2:9" s="629" customFormat="1" ht="18" customHeight="1" x14ac:dyDescent="0.2">
      <c r="B155" s="148" t="str">
        <f>ORÇ!A210</f>
        <v>12.3.22</v>
      </c>
      <c r="C155" s="1844" t="str">
        <f>ORÇ!D210</f>
        <v>LUVA P/ ELET. FºGº DE 3" (IE)</v>
      </c>
      <c r="D155" s="1844"/>
      <c r="E155" s="1844"/>
      <c r="F155" s="1844"/>
      <c r="G155" s="1844"/>
      <c r="H155" s="1844"/>
      <c r="I155" s="1844"/>
    </row>
    <row r="156" spans="2:9" s="266" customFormat="1" x14ac:dyDescent="0.2">
      <c r="B156" s="269"/>
    </row>
    <row r="157" spans="2:9" s="266" customFormat="1" x14ac:dyDescent="0.2">
      <c r="B157" s="269"/>
      <c r="C157" s="1139" t="s">
        <v>191</v>
      </c>
      <c r="D157" s="1140">
        <v>4</v>
      </c>
      <c r="E157" s="1141" t="s">
        <v>50</v>
      </c>
    </row>
    <row r="158" spans="2:9" s="266" customFormat="1" x14ac:dyDescent="0.2">
      <c r="B158" s="269"/>
    </row>
    <row r="159" spans="2:9" s="629" customFormat="1" ht="18" customHeight="1" x14ac:dyDescent="0.2">
      <c r="B159" s="148" t="str">
        <f>ORÇ!A211</f>
        <v>12.3.23</v>
      </c>
      <c r="C159" s="1844" t="str">
        <f>ORÇ!D211</f>
        <v>LUVA P/ ELET. PVC DE 3" (IE)</v>
      </c>
      <c r="D159" s="1844"/>
      <c r="E159" s="1844"/>
      <c r="F159" s="1844"/>
      <c r="G159" s="1844"/>
      <c r="H159" s="1844"/>
      <c r="I159" s="1844"/>
    </row>
    <row r="160" spans="2:9" s="266" customFormat="1" x14ac:dyDescent="0.2">
      <c r="B160" s="269"/>
    </row>
    <row r="161" spans="2:9" s="266" customFormat="1" x14ac:dyDescent="0.2">
      <c r="B161" s="269"/>
      <c r="C161" s="1139" t="s">
        <v>191</v>
      </c>
      <c r="D161" s="1140">
        <v>12</v>
      </c>
      <c r="E161" s="1141" t="s">
        <v>50</v>
      </c>
    </row>
    <row r="162" spans="2:9" s="266" customFormat="1" x14ac:dyDescent="0.2">
      <c r="B162" s="269"/>
    </row>
    <row r="163" spans="2:9" s="629" customFormat="1" ht="18" customHeight="1" x14ac:dyDescent="0.2">
      <c r="B163" s="148" t="str">
        <f>ORÇ!A212</f>
        <v>12.3.24</v>
      </c>
      <c r="C163" s="1844" t="str">
        <f>ORÇ!D212</f>
        <v>LUVA P/ ELET. PVC DE 1 1/4" (IE)</v>
      </c>
      <c r="D163" s="1844"/>
      <c r="E163" s="1844"/>
      <c r="F163" s="1844"/>
      <c r="G163" s="1844"/>
      <c r="H163" s="1844"/>
      <c r="I163" s="1844"/>
    </row>
    <row r="164" spans="2:9" s="266" customFormat="1" x14ac:dyDescent="0.2">
      <c r="B164" s="269"/>
    </row>
    <row r="165" spans="2:9" s="266" customFormat="1" x14ac:dyDescent="0.2">
      <c r="B165" s="269"/>
      <c r="C165" s="1139" t="s">
        <v>191</v>
      </c>
      <c r="D165" s="1140">
        <v>4</v>
      </c>
      <c r="E165" s="1141" t="s">
        <v>50</v>
      </c>
    </row>
    <row r="166" spans="2:9" s="266" customFormat="1" x14ac:dyDescent="0.2">
      <c r="B166" s="269"/>
    </row>
    <row r="167" spans="2:9" s="629" customFormat="1" ht="18" customHeight="1" x14ac:dyDescent="0.2">
      <c r="B167" s="148" t="str">
        <f>ORÇ!A213</f>
        <v>12.3.25</v>
      </c>
      <c r="C167" s="1844" t="str">
        <f>ORÇ!D213</f>
        <v>LUVA P/ ELET. PVC DE 1" (IE)</v>
      </c>
      <c r="D167" s="1844"/>
      <c r="E167" s="1844"/>
      <c r="F167" s="1844"/>
      <c r="G167" s="1844"/>
      <c r="H167" s="1844"/>
      <c r="I167" s="1844"/>
    </row>
    <row r="168" spans="2:9" s="266" customFormat="1" x14ac:dyDescent="0.2">
      <c r="B168" s="269"/>
    </row>
    <row r="169" spans="2:9" s="266" customFormat="1" x14ac:dyDescent="0.2">
      <c r="B169" s="269"/>
      <c r="C169" s="1139" t="s">
        <v>191</v>
      </c>
      <c r="D169" s="1140">
        <v>10</v>
      </c>
      <c r="E169" s="1141" t="s">
        <v>2578</v>
      </c>
    </row>
    <row r="170" spans="2:9" s="266" customFormat="1" x14ac:dyDescent="0.2">
      <c r="B170" s="269"/>
    </row>
    <row r="171" spans="2:9" s="629" customFormat="1" ht="18" customHeight="1" x14ac:dyDescent="0.2">
      <c r="B171" s="148" t="str">
        <f>ORÇ!A214</f>
        <v>12.3.26</v>
      </c>
      <c r="C171" s="1844" t="str">
        <f>ORÇ!D214</f>
        <v>LUVA P/ ELET. PVC DE 3/4" (IE)</v>
      </c>
      <c r="D171" s="1844"/>
      <c r="E171" s="1844"/>
      <c r="F171" s="1844"/>
      <c r="G171" s="1844"/>
      <c r="H171" s="1844"/>
      <c r="I171" s="1844"/>
    </row>
    <row r="172" spans="2:9" s="266" customFormat="1" x14ac:dyDescent="0.2">
      <c r="B172" s="269"/>
    </row>
    <row r="173" spans="2:9" s="266" customFormat="1" x14ac:dyDescent="0.2">
      <c r="B173" s="269"/>
      <c r="C173" s="1139" t="s">
        <v>191</v>
      </c>
      <c r="D173" s="1140">
        <v>300</v>
      </c>
      <c r="E173" s="1141" t="s">
        <v>50</v>
      </c>
    </row>
    <row r="174" spans="2:9" s="266" customFormat="1" x14ac:dyDescent="0.2">
      <c r="B174" s="269"/>
    </row>
    <row r="175" spans="2:9" s="629" customFormat="1" ht="27.75" customHeight="1" x14ac:dyDescent="0.2">
      <c r="B175" s="148" t="str">
        <f>ORÇ!A215</f>
        <v>12.3.27</v>
      </c>
      <c r="C175" s="1844" t="str">
        <f>ORÇ!D215</f>
        <v>CABO DE COBRE FLEXÍVEL ISOLADO, 2,5 MM², ANTI-CHAMA 450/750 V, PARA CIRCUITOS TERMINAIS - FORNECIMENTO E INSTALAÇÃO. AF_12/2015</v>
      </c>
      <c r="D175" s="1844"/>
      <c r="E175" s="1844"/>
      <c r="F175" s="1844"/>
      <c r="G175" s="1844"/>
      <c r="H175" s="1844"/>
      <c r="I175" s="1844"/>
    </row>
    <row r="176" spans="2:9" s="266" customFormat="1" x14ac:dyDescent="0.2">
      <c r="B176" s="269"/>
    </row>
    <row r="177" spans="2:9" s="266" customFormat="1" x14ac:dyDescent="0.2">
      <c r="B177" s="269"/>
      <c r="C177" s="1139" t="s">
        <v>191</v>
      </c>
      <c r="D177" s="1140">
        <v>4500</v>
      </c>
      <c r="E177" s="1141" t="s">
        <v>218</v>
      </c>
    </row>
    <row r="178" spans="2:9" s="266" customFormat="1" x14ac:dyDescent="0.2">
      <c r="B178" s="269"/>
    </row>
    <row r="179" spans="2:9" s="629" customFormat="1" ht="27.75" customHeight="1" x14ac:dyDescent="0.2">
      <c r="B179" s="148" t="str">
        <f>ORÇ!A216</f>
        <v>12.3.28</v>
      </c>
      <c r="C179" s="1844" t="str">
        <f>ORÇ!D216</f>
        <v>CABO DE COBRE FLEXÍVEL ISOLADO, 4 MM², ANTI-CHAMA 450/750 V, PARA CIRCUITOS TERMINAIS - FORNECIMENTO E INSTALAÇÃO. AF_12/2015</v>
      </c>
      <c r="D179" s="1844"/>
      <c r="E179" s="1844"/>
      <c r="F179" s="1844"/>
      <c r="G179" s="1844"/>
      <c r="H179" s="1844"/>
      <c r="I179" s="1844"/>
    </row>
    <row r="180" spans="2:9" s="266" customFormat="1" x14ac:dyDescent="0.2">
      <c r="B180" s="269"/>
    </row>
    <row r="181" spans="2:9" s="266" customFormat="1" x14ac:dyDescent="0.2">
      <c r="B181" s="269"/>
      <c r="C181" s="1139" t="s">
        <v>191</v>
      </c>
      <c r="D181" s="1140">
        <v>600</v>
      </c>
      <c r="E181" s="1141" t="s">
        <v>218</v>
      </c>
    </row>
    <row r="182" spans="2:9" s="266" customFormat="1" x14ac:dyDescent="0.2">
      <c r="B182" s="269"/>
    </row>
    <row r="183" spans="2:9" s="629" customFormat="1" ht="27.75" customHeight="1" x14ac:dyDescent="0.2">
      <c r="B183" s="148" t="str">
        <f>ORÇ!A217</f>
        <v>12.3.29</v>
      </c>
      <c r="C183" s="1844" t="str">
        <f>ORÇ!D217</f>
        <v>CABO DE COBRE ISOLADO, 10 MM², ANTI-CHAMA 450/750 V, INSTALADO EM ELETROCALHA OU PERFILADO - FORNECIMENTO E INSTALAÇÃO. AF_10/2020</v>
      </c>
      <c r="D183" s="1844"/>
      <c r="E183" s="1844"/>
      <c r="F183" s="1844"/>
      <c r="G183" s="1844"/>
      <c r="H183" s="1844"/>
      <c r="I183" s="1844"/>
    </row>
    <row r="184" spans="2:9" s="266" customFormat="1" x14ac:dyDescent="0.2">
      <c r="B184" s="269"/>
    </row>
    <row r="185" spans="2:9" s="266" customFormat="1" x14ac:dyDescent="0.2">
      <c r="B185" s="269"/>
      <c r="C185" s="1139" t="s">
        <v>191</v>
      </c>
      <c r="D185" s="1140">
        <v>5</v>
      </c>
      <c r="E185" s="1141" t="s">
        <v>218</v>
      </c>
    </row>
    <row r="186" spans="2:9" s="266" customFormat="1" x14ac:dyDescent="0.2">
      <c r="B186" s="269"/>
    </row>
    <row r="187" spans="2:9" s="629" customFormat="1" ht="27.75" customHeight="1" x14ac:dyDescent="0.2">
      <c r="B187" s="148" t="str">
        <f>ORÇ!A218</f>
        <v>12.3.30</v>
      </c>
      <c r="C187" s="1844" t="str">
        <f>ORÇ!D218</f>
        <v>CABO DE COBRE ISOLADO, 16 MM², ANTI-CHAMA 450/750 V, INSTALADO EM ELETROCALHA OU PERFILADO - FORNECIMENTO E INSTALAÇÃO. AF_10/2020</v>
      </c>
      <c r="D187" s="1844"/>
      <c r="E187" s="1844"/>
      <c r="F187" s="1844"/>
      <c r="G187" s="1844"/>
      <c r="H187" s="1844"/>
      <c r="I187" s="1844"/>
    </row>
    <row r="188" spans="2:9" s="266" customFormat="1" x14ac:dyDescent="0.2">
      <c r="B188" s="269"/>
    </row>
    <row r="189" spans="2:9" s="266" customFormat="1" x14ac:dyDescent="0.2">
      <c r="B189" s="269"/>
      <c r="C189" s="1139" t="s">
        <v>191</v>
      </c>
      <c r="D189" s="1140">
        <v>12</v>
      </c>
      <c r="E189" s="1141" t="s">
        <v>218</v>
      </c>
    </row>
    <row r="190" spans="2:9" s="266" customFormat="1" x14ac:dyDescent="0.2">
      <c r="B190" s="269"/>
    </row>
    <row r="191" spans="2:9" s="629" customFormat="1" ht="27.75" customHeight="1" x14ac:dyDescent="0.2">
      <c r="B191" s="148" t="str">
        <f>ORÇ!A219</f>
        <v>12.3.31</v>
      </c>
      <c r="C191" s="1844" t="str">
        <f>ORÇ!D219</f>
        <v>CABO DE COBRE ISOLADO, 25 MM², ANTI-CHAMA 450/750 V, INSTALADO EM ELETROCALHA OU PERFILADO - FORNECIMENTO E INSTALAÇÃO. AF_10/2020</v>
      </c>
      <c r="D191" s="1844"/>
      <c r="E191" s="1844"/>
      <c r="F191" s="1844"/>
      <c r="G191" s="1844"/>
      <c r="H191" s="1844"/>
      <c r="I191" s="1844"/>
    </row>
    <row r="192" spans="2:9" s="266" customFormat="1" x14ac:dyDescent="0.2">
      <c r="B192" s="269"/>
    </row>
    <row r="193" spans="2:9" s="266" customFormat="1" x14ac:dyDescent="0.2">
      <c r="B193" s="269"/>
      <c r="C193" s="1139" t="s">
        <v>191</v>
      </c>
      <c r="D193" s="1140">
        <v>10</v>
      </c>
      <c r="E193" s="1141" t="s">
        <v>218</v>
      </c>
    </row>
    <row r="194" spans="2:9" s="266" customFormat="1" x14ac:dyDescent="0.2">
      <c r="B194" s="269"/>
    </row>
    <row r="195" spans="2:9" s="629" customFormat="1" ht="27.75" customHeight="1" x14ac:dyDescent="0.2">
      <c r="B195" s="148" t="str">
        <f>ORÇ!A220</f>
        <v>12.3.32</v>
      </c>
      <c r="C195" s="1844" t="str">
        <f>ORÇ!D220</f>
        <v>CABO DE COBRE FLEXÍVEL ISOLADO, 35 MM², 0,6/1,0 KV, PARA REDE AÉREA DE DISTRIBUIÇÃO DE ENERGIA ELÉTRICA DE BAIXA TENSÃO - FORNECIMENTO E INSTALAÇÃO. AF_07/2020</v>
      </c>
      <c r="D195" s="1844"/>
      <c r="E195" s="1844"/>
      <c r="F195" s="1844"/>
      <c r="G195" s="1844"/>
      <c r="H195" s="1844"/>
      <c r="I195" s="1844"/>
    </row>
    <row r="196" spans="2:9" s="266" customFormat="1" x14ac:dyDescent="0.2">
      <c r="B196" s="269"/>
    </row>
    <row r="197" spans="2:9" s="266" customFormat="1" x14ac:dyDescent="0.2">
      <c r="B197" s="269"/>
      <c r="C197" s="1139" t="s">
        <v>191</v>
      </c>
      <c r="D197" s="1140">
        <v>30</v>
      </c>
      <c r="E197" s="1141" t="s">
        <v>218</v>
      </c>
    </row>
    <row r="198" spans="2:9" s="266" customFormat="1" x14ac:dyDescent="0.2">
      <c r="B198" s="269"/>
    </row>
    <row r="199" spans="2:9" s="629" customFormat="1" ht="18" customHeight="1" x14ac:dyDescent="0.2">
      <c r="B199" s="148" t="str">
        <f>ORÇ!A221</f>
        <v>12.3.33</v>
      </c>
      <c r="C199" s="1844" t="str">
        <f>ORÇ!D221</f>
        <v>CABO DE COBRE NÚ 25MM²</v>
      </c>
      <c r="D199" s="1844"/>
      <c r="E199" s="1844"/>
      <c r="F199" s="1844"/>
      <c r="G199" s="1844"/>
      <c r="H199" s="1844"/>
      <c r="I199" s="1844"/>
    </row>
    <row r="200" spans="2:9" s="266" customFormat="1" x14ac:dyDescent="0.2">
      <c r="B200" s="269"/>
    </row>
    <row r="201" spans="2:9" s="266" customFormat="1" x14ac:dyDescent="0.2">
      <c r="B201" s="269"/>
      <c r="C201" s="1139" t="s">
        <v>191</v>
      </c>
      <c r="D201" s="1140">
        <v>10</v>
      </c>
      <c r="E201" s="1141" t="s">
        <v>218</v>
      </c>
    </row>
    <row r="202" spans="2:9" s="266" customFormat="1" x14ac:dyDescent="0.2">
      <c r="B202" s="269"/>
    </row>
    <row r="203" spans="2:9" s="266" customFormat="1" x14ac:dyDescent="0.2">
      <c r="B203" s="269"/>
    </row>
    <row r="204" spans="2:9" s="266" customFormat="1" x14ac:dyDescent="0.2">
      <c r="B204" s="241" t="str">
        <f>ORÇ!A222</f>
        <v>12.4</v>
      </c>
      <c r="C204" s="1751" t="str">
        <f>ORÇ!D222</f>
        <v>Quadros, Caixas e Disjuntores</v>
      </c>
      <c r="D204" s="1751"/>
      <c r="E204" s="1751"/>
    </row>
    <row r="205" spans="2:9" s="629" customFormat="1" ht="35.25" customHeight="1" x14ac:dyDescent="0.2">
      <c r="B205" s="148" t="str">
        <f>ORÇ!A223</f>
        <v>12.4.1</v>
      </c>
      <c r="C205" s="1759" t="str">
        <f>ORÇ!D223</f>
        <v>QUADRO DE DISTRIBUIÇÃO DE ENERGIA EM CHAPA DE AÇO GALVANIZADO, DE EMBUTIR, COM BARRAMENTO TRIFÁSICO, PARA 18 DISJUNTORES DIN 100A - FORNECIMENTO E INSTALAÇÃO. AF_10/2020</v>
      </c>
      <c r="D205" s="1759"/>
      <c r="E205" s="1759"/>
      <c r="F205" s="1759"/>
      <c r="G205" s="1759"/>
      <c r="H205" s="1759"/>
      <c r="I205" s="1759"/>
    </row>
    <row r="206" spans="2:9" s="266" customFormat="1" x14ac:dyDescent="0.2"/>
    <row r="207" spans="2:9" s="266" customFormat="1" x14ac:dyDescent="0.2">
      <c r="C207" s="1139" t="s">
        <v>191</v>
      </c>
      <c r="D207" s="1140">
        <v>1</v>
      </c>
      <c r="E207" s="1141" t="s">
        <v>162</v>
      </c>
    </row>
    <row r="208" spans="2:9" s="266" customFormat="1" x14ac:dyDescent="0.2"/>
    <row r="209" spans="2:10" s="629" customFormat="1" ht="19.5" customHeight="1" x14ac:dyDescent="0.2">
      <c r="B209" s="148" t="str">
        <f>ORÇ!A224</f>
        <v>12.4.2</v>
      </c>
      <c r="C209" s="1750" t="str">
        <f>ORÇ!D224</f>
        <v>CAIXA DE INSPEÇÃO EM PVC D=300MM</v>
      </c>
      <c r="D209" s="1750"/>
      <c r="E209" s="1750"/>
      <c r="F209" s="1750"/>
      <c r="G209" s="1750"/>
      <c r="H209" s="1750"/>
      <c r="I209" s="1750"/>
    </row>
    <row r="210" spans="2:10" s="266" customFormat="1" x14ac:dyDescent="0.2">
      <c r="B210" s="206"/>
      <c r="C210" s="206"/>
      <c r="D210" s="206"/>
      <c r="E210" s="206"/>
      <c r="F210" s="206"/>
      <c r="G210" s="206"/>
      <c r="H210" s="206"/>
      <c r="I210" s="206"/>
    </row>
    <row r="211" spans="2:10" s="266" customFormat="1" x14ac:dyDescent="0.2">
      <c r="B211" s="206"/>
      <c r="C211" s="1139" t="s">
        <v>191</v>
      </c>
      <c r="D211" s="1140">
        <v>3</v>
      </c>
      <c r="E211" s="1141" t="s">
        <v>50</v>
      </c>
      <c r="F211" s="206"/>
      <c r="G211" s="206"/>
      <c r="H211" s="206"/>
      <c r="I211" s="206"/>
    </row>
    <row r="212" spans="2:10" s="266" customFormat="1" x14ac:dyDescent="0.2">
      <c r="B212" s="206"/>
      <c r="C212" s="206"/>
      <c r="D212" s="206"/>
      <c r="E212" s="206"/>
      <c r="F212" s="206"/>
      <c r="G212" s="206"/>
      <c r="H212" s="206"/>
      <c r="I212" s="206"/>
      <c r="J212" s="719"/>
    </row>
    <row r="213" spans="2:10" s="629" customFormat="1" ht="19.5" customHeight="1" x14ac:dyDescent="0.2">
      <c r="B213" s="148" t="str">
        <f>ORÇ!A225</f>
        <v>12.4.3</v>
      </c>
      <c r="C213" s="1750" t="str">
        <f>ORÇ!D225</f>
        <v>HASTE DE AÇO COBREADA 5/8"X2,40M C/ CONECTOR</v>
      </c>
      <c r="D213" s="1750"/>
      <c r="E213" s="1750"/>
      <c r="F213" s="1750"/>
      <c r="G213" s="1750"/>
      <c r="H213" s="1750"/>
      <c r="I213" s="1750"/>
    </row>
    <row r="214" spans="2:10" s="266" customFormat="1" x14ac:dyDescent="0.2">
      <c r="B214" s="206"/>
      <c r="C214" s="206"/>
      <c r="D214" s="206"/>
      <c r="E214" s="206"/>
      <c r="F214" s="206"/>
      <c r="G214" s="206"/>
      <c r="H214" s="206"/>
      <c r="I214" s="206"/>
    </row>
    <row r="215" spans="2:10" s="266" customFormat="1" x14ac:dyDescent="0.2">
      <c r="B215" s="206"/>
      <c r="C215" s="1139" t="s">
        <v>191</v>
      </c>
      <c r="D215" s="1140">
        <v>3</v>
      </c>
      <c r="E215" s="1141" t="s">
        <v>50</v>
      </c>
      <c r="F215" s="206"/>
      <c r="G215" s="206"/>
      <c r="H215" s="206"/>
      <c r="I215" s="206"/>
    </row>
    <row r="216" spans="2:10" s="266" customFormat="1" x14ac:dyDescent="0.2">
      <c r="B216" s="206"/>
      <c r="C216" s="206"/>
      <c r="D216" s="206"/>
      <c r="E216" s="206"/>
      <c r="F216" s="206"/>
      <c r="G216" s="206"/>
      <c r="H216" s="206"/>
      <c r="I216" s="206"/>
      <c r="J216" s="719"/>
    </row>
    <row r="217" spans="2:10" s="629" customFormat="1" ht="19.5" customHeight="1" x14ac:dyDescent="0.2">
      <c r="B217" s="148" t="str">
        <f>ORÇ!A226</f>
        <v>12.4.4</v>
      </c>
      <c r="C217" s="1759" t="str">
        <f>ORÇ!D226</f>
        <v>QUADRO DE MEDIÇÃO GERAL DE ENERGIA PARA 1 MEDIDOR DE SOBREPOR - FORNECIMENTO E INSTALAÇÃO. AF_10/2020</v>
      </c>
      <c r="D217" s="1759"/>
      <c r="E217" s="1759"/>
      <c r="F217" s="1759"/>
      <c r="G217" s="1759"/>
      <c r="H217" s="1759"/>
      <c r="I217" s="1759"/>
    </row>
    <row r="218" spans="2:10" s="266" customFormat="1" x14ac:dyDescent="0.2">
      <c r="B218" s="206"/>
      <c r="C218" s="206"/>
      <c r="D218" s="206"/>
      <c r="E218" s="206"/>
      <c r="F218" s="206"/>
      <c r="G218" s="206"/>
      <c r="H218" s="206"/>
      <c r="I218" s="206"/>
    </row>
    <row r="219" spans="2:10" s="266" customFormat="1" x14ac:dyDescent="0.2">
      <c r="B219" s="206"/>
      <c r="C219" s="1139" t="s">
        <v>191</v>
      </c>
      <c r="D219" s="1140">
        <v>1</v>
      </c>
      <c r="E219" s="1141" t="s">
        <v>50</v>
      </c>
      <c r="F219" s="206"/>
      <c r="G219" s="206"/>
      <c r="H219" s="206"/>
      <c r="I219" s="206"/>
    </row>
    <row r="220" spans="2:10" s="266" customFormat="1" x14ac:dyDescent="0.2">
      <c r="B220" s="206"/>
      <c r="C220" s="206"/>
      <c r="D220" s="206"/>
      <c r="E220" s="206"/>
      <c r="F220" s="206"/>
      <c r="G220" s="206"/>
      <c r="H220" s="206"/>
      <c r="I220" s="206"/>
      <c r="J220" s="719"/>
    </row>
    <row r="221" spans="2:10" s="629" customFormat="1" ht="33.75" customHeight="1" x14ac:dyDescent="0.2">
      <c r="B221" s="148" t="str">
        <f>ORÇ!A227</f>
        <v>12.4.5</v>
      </c>
      <c r="C221" s="1759" t="str">
        <f>ORÇ!D227</f>
        <v>QUADRO DE DISTRIBUIÇÃO DE ENERGIA EM CHAPA DE AÇO GALVANIZADO, DE EMBUTIR, COM BARRAMENTO TRIFÁSICO, PARA 40 DISJUNTORES DIN 100A - FORNECIMENTO E INSTALAÇÃO. AF_10/2020</v>
      </c>
      <c r="D221" s="1759"/>
      <c r="E221" s="1759"/>
      <c r="F221" s="1759"/>
      <c r="G221" s="1759"/>
      <c r="H221" s="1759"/>
      <c r="I221" s="1759"/>
    </row>
    <row r="222" spans="2:10" s="266" customFormat="1" x14ac:dyDescent="0.2">
      <c r="B222" s="206"/>
      <c r="C222" s="206"/>
      <c r="D222" s="206"/>
      <c r="E222" s="206"/>
      <c r="F222" s="206"/>
      <c r="G222" s="206"/>
      <c r="H222" s="206"/>
      <c r="I222" s="206"/>
    </row>
    <row r="223" spans="2:10" s="266" customFormat="1" x14ac:dyDescent="0.2">
      <c r="B223" s="206"/>
      <c r="C223" s="1139" t="s">
        <v>191</v>
      </c>
      <c r="D223" s="1140">
        <v>1</v>
      </c>
      <c r="E223" s="1141" t="s">
        <v>50</v>
      </c>
      <c r="F223" s="206"/>
      <c r="G223" s="206"/>
      <c r="H223" s="206"/>
      <c r="I223" s="206"/>
    </row>
    <row r="224" spans="2:10" s="266" customFormat="1" x14ac:dyDescent="0.2">
      <c r="B224" s="206"/>
      <c r="C224" s="206"/>
      <c r="D224" s="206"/>
      <c r="E224" s="206"/>
      <c r="F224" s="206"/>
      <c r="G224" s="206"/>
      <c r="H224" s="206"/>
      <c r="I224" s="206"/>
      <c r="J224" s="719"/>
    </row>
    <row r="225" spans="2:10" s="629" customFormat="1" ht="41.25" customHeight="1" x14ac:dyDescent="0.2">
      <c r="B225" s="148" t="str">
        <f>ORÇ!A228</f>
        <v>12.4.6</v>
      </c>
      <c r="C225" s="1759" t="str">
        <f>ORÇ!D228</f>
        <v>CENTRO DE DISTRIBUIÇÃO DE EMBUTIR COM BARRAMENTO TRIFÁSICO PARA 225A, BARRA DE NEUTRO E TERRA, COM CAPACIDADE PARA 56 DISJUNTORES MONOPOLARES DIN PADRÃO IEC, FAB. CEMAR OU SIMILAR. (QFAC). FORNECIMENTO E INSTALAÇÃO.</v>
      </c>
      <c r="D225" s="1759"/>
      <c r="E225" s="1759"/>
      <c r="F225" s="1759"/>
      <c r="G225" s="1759"/>
      <c r="H225" s="1759"/>
      <c r="I225" s="1759"/>
    </row>
    <row r="226" spans="2:10" s="266" customFormat="1" x14ac:dyDescent="0.2">
      <c r="B226" s="206"/>
      <c r="C226" s="206"/>
      <c r="D226" s="206"/>
      <c r="E226" s="206"/>
      <c r="F226" s="206"/>
      <c r="G226" s="206"/>
      <c r="H226" s="206"/>
      <c r="I226" s="206"/>
    </row>
    <row r="227" spans="2:10" s="266" customFormat="1" x14ac:dyDescent="0.2">
      <c r="B227" s="206"/>
      <c r="C227" s="1139" t="s">
        <v>191</v>
      </c>
      <c r="D227" s="1140">
        <v>1</v>
      </c>
      <c r="E227" s="1141" t="s">
        <v>50</v>
      </c>
      <c r="F227" s="206"/>
      <c r="G227" s="206"/>
      <c r="H227" s="206"/>
      <c r="I227" s="206"/>
    </row>
    <row r="228" spans="2:10" s="266" customFormat="1" x14ac:dyDescent="0.2">
      <c r="B228" s="206"/>
      <c r="C228" s="206"/>
      <c r="D228" s="206"/>
      <c r="E228" s="206"/>
      <c r="F228" s="206"/>
      <c r="G228" s="206"/>
      <c r="H228" s="206"/>
      <c r="I228" s="206"/>
      <c r="J228" s="719"/>
    </row>
    <row r="229" spans="2:10" s="629" customFormat="1" ht="19.5" customHeight="1" x14ac:dyDescent="0.2">
      <c r="B229" s="148" t="str">
        <f>ORÇ!A229</f>
        <v>12.4.7</v>
      </c>
      <c r="C229" s="1750" t="str">
        <f>ORÇ!D229</f>
        <v>DISJUNTOR MONOPOLAR TIPO DIN, CORRENTE NOMINAL DE 16A - FORNECIMENTO E INSTALAÇÃO. AF_10/2020</v>
      </c>
      <c r="D229" s="1750"/>
      <c r="E229" s="1750"/>
      <c r="F229" s="1750"/>
      <c r="G229" s="1750"/>
      <c r="H229" s="1750"/>
      <c r="I229" s="1750"/>
    </row>
    <row r="230" spans="2:10" s="266" customFormat="1" x14ac:dyDescent="0.2">
      <c r="B230" s="206"/>
      <c r="C230" s="206"/>
      <c r="D230" s="206"/>
      <c r="E230" s="206"/>
      <c r="F230" s="206"/>
      <c r="G230" s="206"/>
      <c r="H230" s="206"/>
      <c r="I230" s="206"/>
    </row>
    <row r="231" spans="2:10" s="266" customFormat="1" x14ac:dyDescent="0.2">
      <c r="B231" s="206"/>
      <c r="C231" s="1139" t="s">
        <v>191</v>
      </c>
      <c r="D231" s="1140">
        <v>10</v>
      </c>
      <c r="E231" s="1141" t="s">
        <v>50</v>
      </c>
      <c r="F231" s="206"/>
      <c r="G231" s="206"/>
      <c r="H231" s="206"/>
      <c r="I231" s="206"/>
    </row>
    <row r="232" spans="2:10" s="266" customFormat="1" x14ac:dyDescent="0.2">
      <c r="B232" s="206"/>
      <c r="C232" s="206"/>
      <c r="D232" s="206"/>
      <c r="E232" s="206"/>
      <c r="F232" s="206"/>
      <c r="G232" s="206"/>
      <c r="H232" s="206"/>
      <c r="I232" s="206"/>
      <c r="J232" s="719"/>
    </row>
    <row r="233" spans="2:10" s="629" customFormat="1" ht="19.5" customHeight="1" x14ac:dyDescent="0.2">
      <c r="B233" s="148" t="str">
        <f>ORÇ!A230</f>
        <v>12.4.8</v>
      </c>
      <c r="C233" s="1750" t="str">
        <f>ORÇ!D230</f>
        <v>DISJUNTOR BIPOLAR TIPO DIN, CORRENTE NOMINAL DE 16A - FORNECIMENTO E INSTALAÇÃO. AF_10/2020</v>
      </c>
      <c r="D233" s="1750"/>
      <c r="E233" s="1750"/>
      <c r="F233" s="1750"/>
      <c r="G233" s="1750"/>
      <c r="H233" s="1750"/>
      <c r="I233" s="1750"/>
    </row>
    <row r="234" spans="2:10" s="266" customFormat="1" x14ac:dyDescent="0.2">
      <c r="B234" s="206"/>
      <c r="C234" s="206"/>
      <c r="D234" s="206"/>
      <c r="E234" s="206"/>
      <c r="F234" s="206"/>
      <c r="G234" s="206"/>
      <c r="H234" s="206"/>
      <c r="I234" s="206"/>
    </row>
    <row r="235" spans="2:10" s="266" customFormat="1" x14ac:dyDescent="0.2">
      <c r="B235" s="206"/>
      <c r="C235" s="1139" t="s">
        <v>191</v>
      </c>
      <c r="D235" s="1140">
        <v>4</v>
      </c>
      <c r="E235" s="1141" t="s">
        <v>50</v>
      </c>
      <c r="F235" s="206"/>
      <c r="G235" s="206"/>
      <c r="H235" s="206"/>
      <c r="I235" s="206"/>
    </row>
    <row r="236" spans="2:10" s="266" customFormat="1" x14ac:dyDescent="0.2">
      <c r="B236" s="206"/>
      <c r="C236" s="206"/>
      <c r="D236" s="206"/>
      <c r="E236" s="206"/>
      <c r="F236" s="206"/>
      <c r="G236" s="206"/>
      <c r="H236" s="206"/>
      <c r="I236" s="206"/>
      <c r="J236" s="719"/>
    </row>
    <row r="237" spans="2:10" s="629" customFormat="1" ht="19.5" customHeight="1" x14ac:dyDescent="0.2">
      <c r="B237" s="148" t="str">
        <f>ORÇ!A231</f>
        <v>12.4.9</v>
      </c>
      <c r="C237" s="1750" t="str">
        <f>ORÇ!D231</f>
        <v>DISJUNTOR BIPOLAR TIPO DIN, CORRENTE NOMINAL DE 20A - FORNECIMENTO E INSTALAÇÃO. AF_10/2020</v>
      </c>
      <c r="D237" s="1750"/>
      <c r="E237" s="1750"/>
      <c r="F237" s="1750"/>
      <c r="G237" s="1750"/>
      <c r="H237" s="1750"/>
      <c r="I237" s="1750"/>
    </row>
    <row r="238" spans="2:10" s="266" customFormat="1" x14ac:dyDescent="0.2">
      <c r="B238" s="206"/>
      <c r="C238" s="206"/>
      <c r="D238" s="206"/>
      <c r="E238" s="206"/>
      <c r="F238" s="206"/>
      <c r="G238" s="206"/>
      <c r="H238" s="206"/>
      <c r="I238" s="206"/>
    </row>
    <row r="239" spans="2:10" s="266" customFormat="1" x14ac:dyDescent="0.2">
      <c r="B239" s="206"/>
      <c r="C239" s="1139" t="s">
        <v>191</v>
      </c>
      <c r="D239" s="1140">
        <v>1</v>
      </c>
      <c r="E239" s="1141" t="s">
        <v>50</v>
      </c>
      <c r="F239" s="206"/>
      <c r="G239" s="206"/>
      <c r="H239" s="206"/>
      <c r="I239" s="206"/>
    </row>
    <row r="240" spans="2:10" s="266" customFormat="1" x14ac:dyDescent="0.2">
      <c r="B240" s="206"/>
      <c r="C240" s="206"/>
      <c r="D240" s="206"/>
      <c r="E240" s="206"/>
      <c r="F240" s="206"/>
      <c r="G240" s="206"/>
      <c r="H240" s="206"/>
      <c r="I240" s="206"/>
      <c r="J240" s="719"/>
    </row>
    <row r="241" spans="2:10" s="629" customFormat="1" ht="19.5" customHeight="1" x14ac:dyDescent="0.2">
      <c r="B241" s="148" t="str">
        <f>ORÇ!A232</f>
        <v>12.4.10</v>
      </c>
      <c r="C241" s="1750" t="str">
        <f>ORÇ!D232</f>
        <v>DISJUNTOR BIPOLAR TIPO DIN, CORRENTE NOMINAL DE 25A - FORNECIMENTO E INSTALAÇÃO. AF_10/2020</v>
      </c>
      <c r="D241" s="1750"/>
      <c r="E241" s="1750"/>
      <c r="F241" s="1750"/>
      <c r="G241" s="1750"/>
      <c r="H241" s="1750"/>
      <c r="I241" s="1750"/>
    </row>
    <row r="242" spans="2:10" s="266" customFormat="1" x14ac:dyDescent="0.2">
      <c r="B242" s="206"/>
      <c r="C242" s="206"/>
      <c r="D242" s="206"/>
      <c r="E242" s="206"/>
      <c r="F242" s="206"/>
      <c r="G242" s="206"/>
      <c r="H242" s="206"/>
      <c r="I242" s="206"/>
    </row>
    <row r="243" spans="2:10" s="266" customFormat="1" x14ac:dyDescent="0.2">
      <c r="B243" s="206"/>
      <c r="C243" s="1139" t="s">
        <v>191</v>
      </c>
      <c r="D243" s="1140">
        <v>6</v>
      </c>
      <c r="E243" s="1141" t="s">
        <v>50</v>
      </c>
      <c r="F243" s="206"/>
      <c r="G243" s="206"/>
      <c r="H243" s="206"/>
      <c r="I243" s="206"/>
    </row>
    <row r="244" spans="2:10" s="266" customFormat="1" x14ac:dyDescent="0.2">
      <c r="B244" s="206"/>
      <c r="C244" s="206"/>
      <c r="D244" s="206"/>
      <c r="E244" s="206"/>
      <c r="F244" s="206"/>
      <c r="G244" s="206"/>
      <c r="H244" s="206"/>
      <c r="I244" s="206"/>
      <c r="J244" s="719"/>
    </row>
    <row r="245" spans="2:10" s="629" customFormat="1" ht="19.5" customHeight="1" x14ac:dyDescent="0.2">
      <c r="B245" s="148" t="str">
        <f>ORÇ!A233</f>
        <v>12.4.11</v>
      </c>
      <c r="C245" s="1750" t="str">
        <f>ORÇ!D233</f>
        <v>DISJUNTOR TRIPOLAR TIPO DIN, CORRENTE NOMINAL DE 16A - FORNECIMENTO E INSTALAÇÃO. AF_10/2020</v>
      </c>
      <c r="D245" s="1750"/>
      <c r="E245" s="1750"/>
      <c r="F245" s="1750"/>
      <c r="G245" s="1750"/>
      <c r="H245" s="1750"/>
      <c r="I245" s="1750"/>
    </row>
    <row r="246" spans="2:10" s="266" customFormat="1" x14ac:dyDescent="0.2">
      <c r="B246" s="206"/>
      <c r="C246" s="206"/>
      <c r="D246" s="206"/>
      <c r="E246" s="206"/>
      <c r="F246" s="206"/>
      <c r="G246" s="206"/>
      <c r="H246" s="206"/>
      <c r="I246" s="206"/>
    </row>
    <row r="247" spans="2:10" s="266" customFormat="1" x14ac:dyDescent="0.2">
      <c r="B247" s="206"/>
      <c r="C247" s="1139" t="s">
        <v>191</v>
      </c>
      <c r="D247" s="1140">
        <v>2</v>
      </c>
      <c r="E247" s="1141" t="s">
        <v>50</v>
      </c>
      <c r="F247" s="206"/>
      <c r="G247" s="206"/>
      <c r="H247" s="206"/>
      <c r="I247" s="206"/>
    </row>
    <row r="248" spans="2:10" s="266" customFormat="1" x14ac:dyDescent="0.2">
      <c r="B248" s="206"/>
      <c r="C248" s="206"/>
      <c r="D248" s="206"/>
      <c r="E248" s="206"/>
      <c r="F248" s="206"/>
      <c r="G248" s="206"/>
      <c r="H248" s="206"/>
      <c r="I248" s="206"/>
      <c r="J248" s="719"/>
    </row>
    <row r="249" spans="2:10" s="629" customFormat="1" ht="19.5" customHeight="1" x14ac:dyDescent="0.2">
      <c r="B249" s="148" t="str">
        <f>ORÇ!A234</f>
        <v>12.4.12</v>
      </c>
      <c r="C249" s="1750" t="str">
        <f>ORÇ!D234</f>
        <v>DISJUNTOR TRIPOLAR TIPO DIN, CORRENTE NOMINAL DE 40A - FORNECIMENTO E INSTALAÇÃO. AF_10/2020</v>
      </c>
      <c r="D249" s="1750"/>
      <c r="E249" s="1750"/>
      <c r="F249" s="1750"/>
      <c r="G249" s="1750"/>
      <c r="H249" s="1750"/>
      <c r="I249" s="1750"/>
    </row>
    <row r="250" spans="2:10" s="266" customFormat="1" x14ac:dyDescent="0.2">
      <c r="B250" s="206"/>
      <c r="C250" s="206"/>
      <c r="D250" s="206"/>
      <c r="E250" s="206"/>
      <c r="F250" s="206"/>
      <c r="G250" s="206"/>
      <c r="H250" s="206"/>
      <c r="I250" s="206"/>
    </row>
    <row r="251" spans="2:10" s="266" customFormat="1" x14ac:dyDescent="0.2">
      <c r="B251" s="206"/>
      <c r="C251" s="1139" t="s">
        <v>191</v>
      </c>
      <c r="D251" s="1140">
        <v>1</v>
      </c>
      <c r="E251" s="1141" t="s">
        <v>50</v>
      </c>
      <c r="F251" s="206"/>
      <c r="G251" s="206"/>
      <c r="H251" s="206"/>
      <c r="I251" s="206"/>
    </row>
    <row r="252" spans="2:10" s="266" customFormat="1" x14ac:dyDescent="0.2">
      <c r="B252" s="206"/>
      <c r="C252" s="206"/>
      <c r="D252" s="206"/>
      <c r="E252" s="206"/>
      <c r="F252" s="206"/>
      <c r="G252" s="206"/>
      <c r="H252" s="206"/>
      <c r="I252" s="206"/>
      <c r="J252" s="719"/>
    </row>
    <row r="253" spans="2:10" s="629" customFormat="1" ht="19.5" customHeight="1" x14ac:dyDescent="0.2">
      <c r="B253" s="148" t="str">
        <f>ORÇ!A235</f>
        <v>12.4.13</v>
      </c>
      <c r="C253" s="1750" t="str">
        <f>ORÇ!D235</f>
        <v>Disjuntor 3P - 63 a 100A - PADRÃO DIN</v>
      </c>
      <c r="D253" s="1750"/>
      <c r="E253" s="1750"/>
      <c r="F253" s="1750"/>
      <c r="G253" s="1750"/>
      <c r="H253" s="1750"/>
      <c r="I253" s="1750"/>
    </row>
    <row r="254" spans="2:10" s="266" customFormat="1" x14ac:dyDescent="0.2">
      <c r="B254" s="206"/>
      <c r="C254" s="206"/>
      <c r="D254" s="206"/>
      <c r="E254" s="206"/>
      <c r="F254" s="206"/>
      <c r="G254" s="206"/>
      <c r="H254" s="206"/>
      <c r="I254" s="206"/>
    </row>
    <row r="255" spans="2:10" s="266" customFormat="1" x14ac:dyDescent="0.2">
      <c r="B255" s="206"/>
      <c r="C255" s="1128" t="s">
        <v>2579</v>
      </c>
      <c r="D255" s="206"/>
      <c r="E255" s="206"/>
      <c r="F255" s="206"/>
      <c r="G255" s="206"/>
      <c r="H255" s="206"/>
      <c r="I255" s="206"/>
    </row>
    <row r="256" spans="2:10" s="266" customFormat="1" x14ac:dyDescent="0.2">
      <c r="B256" s="206"/>
      <c r="C256" s="1139" t="s">
        <v>191</v>
      </c>
      <c r="D256" s="1140">
        <v>1</v>
      </c>
      <c r="E256" s="1141" t="s">
        <v>50</v>
      </c>
      <c r="F256" s="206"/>
      <c r="G256" s="206"/>
      <c r="H256" s="206"/>
      <c r="I256" s="206"/>
    </row>
    <row r="257" spans="2:10" s="266" customFormat="1" x14ac:dyDescent="0.2">
      <c r="B257" s="206"/>
      <c r="C257" s="206"/>
      <c r="D257" s="206"/>
      <c r="E257" s="206"/>
      <c r="F257" s="206"/>
      <c r="G257" s="206"/>
      <c r="H257" s="206"/>
      <c r="I257" s="206"/>
      <c r="J257" s="719"/>
    </row>
    <row r="258" spans="2:10" s="629" customFormat="1" ht="19.5" customHeight="1" x14ac:dyDescent="0.2">
      <c r="B258" s="148" t="str">
        <f>ORÇ!A236</f>
        <v>12.4.14</v>
      </c>
      <c r="C258" s="1750" t="str">
        <f>ORÇ!D236</f>
        <v>INTERRUPTOR DIFERENCIAL RESIDUAL 40A/30MA-4P</v>
      </c>
      <c r="D258" s="1750"/>
      <c r="E258" s="1750"/>
      <c r="F258" s="1750"/>
      <c r="G258" s="1750"/>
      <c r="H258" s="1750"/>
      <c r="I258" s="1750"/>
    </row>
    <row r="259" spans="2:10" s="266" customFormat="1" x14ac:dyDescent="0.2">
      <c r="B259" s="206"/>
      <c r="C259" s="206"/>
      <c r="D259" s="206"/>
      <c r="E259" s="206"/>
      <c r="F259" s="206"/>
      <c r="G259" s="206"/>
      <c r="H259" s="206"/>
      <c r="I259" s="206"/>
    </row>
    <row r="260" spans="2:10" s="266" customFormat="1" x14ac:dyDescent="0.2">
      <c r="B260" s="206"/>
      <c r="C260" s="1139" t="s">
        <v>191</v>
      </c>
      <c r="D260" s="1140">
        <v>1</v>
      </c>
      <c r="E260" s="1141" t="s">
        <v>50</v>
      </c>
      <c r="F260" s="206"/>
      <c r="G260" s="206"/>
      <c r="H260" s="206"/>
      <c r="I260" s="206"/>
    </row>
    <row r="261" spans="2:10" s="266" customFormat="1" x14ac:dyDescent="0.2">
      <c r="B261" s="206"/>
      <c r="C261" s="206"/>
      <c r="D261" s="206"/>
      <c r="E261" s="206"/>
      <c r="F261" s="206"/>
      <c r="G261" s="206"/>
      <c r="H261" s="206"/>
      <c r="I261" s="206"/>
      <c r="J261" s="719"/>
    </row>
    <row r="262" spans="2:10" s="629" customFormat="1" ht="19.5" customHeight="1" x14ac:dyDescent="0.2">
      <c r="B262" s="148" t="str">
        <f>ORÇ!A237</f>
        <v>12.4.15</v>
      </c>
      <c r="C262" s="1750" t="str">
        <f>ORÇ!D237</f>
        <v>SUPRESSOR DE TRANSIENTES TIPO VARISTOR 20KA-175V.</v>
      </c>
      <c r="D262" s="1750"/>
      <c r="E262" s="1750"/>
      <c r="F262" s="1750"/>
      <c r="G262" s="1750"/>
      <c r="H262" s="1750"/>
      <c r="I262" s="1750"/>
    </row>
    <row r="263" spans="2:10" s="266" customFormat="1" x14ac:dyDescent="0.2">
      <c r="B263" s="206"/>
      <c r="C263" s="206"/>
      <c r="D263" s="206"/>
      <c r="E263" s="206"/>
      <c r="F263" s="206"/>
      <c r="G263" s="206"/>
      <c r="H263" s="206"/>
      <c r="I263" s="206"/>
    </row>
    <row r="264" spans="2:10" s="266" customFormat="1" x14ac:dyDescent="0.2">
      <c r="B264" s="206"/>
      <c r="C264" s="1139" t="s">
        <v>191</v>
      </c>
      <c r="D264" s="1140">
        <v>4</v>
      </c>
      <c r="E264" s="1141" t="s">
        <v>50</v>
      </c>
      <c r="F264" s="206"/>
      <c r="G264" s="206"/>
      <c r="H264" s="206"/>
      <c r="I264" s="206"/>
    </row>
    <row r="265" spans="2:10" s="266" customFormat="1" x14ac:dyDescent="0.2">
      <c r="B265" s="206"/>
      <c r="C265" s="206"/>
      <c r="D265" s="206"/>
      <c r="E265" s="206"/>
      <c r="F265" s="206"/>
      <c r="G265" s="206"/>
      <c r="H265" s="206"/>
      <c r="I265" s="206"/>
      <c r="J265" s="719"/>
    </row>
    <row r="266" spans="2:10" s="629" customFormat="1" ht="19.5" customHeight="1" x14ac:dyDescent="0.2">
      <c r="B266" s="148" t="str">
        <f>ORÇ!A238</f>
        <v>12.4.16</v>
      </c>
      <c r="C266" s="1750" t="str">
        <f>ORÇ!D238</f>
        <v>SUPRESSOR CONTRA SURTO CLAMPER 45KA</v>
      </c>
      <c r="D266" s="1750"/>
      <c r="E266" s="1750"/>
      <c r="F266" s="1750"/>
      <c r="G266" s="1750"/>
      <c r="H266" s="1750"/>
      <c r="I266" s="1750"/>
    </row>
    <row r="267" spans="2:10" s="266" customFormat="1" x14ac:dyDescent="0.2">
      <c r="B267" s="206"/>
      <c r="C267" s="206"/>
      <c r="D267" s="206"/>
      <c r="E267" s="206"/>
      <c r="F267" s="206"/>
      <c r="G267" s="206"/>
      <c r="H267" s="206"/>
      <c r="I267" s="206"/>
    </row>
    <row r="268" spans="2:10" s="266" customFormat="1" x14ac:dyDescent="0.2">
      <c r="B268" s="206"/>
      <c r="C268" s="1139" t="s">
        <v>191</v>
      </c>
      <c r="D268" s="1140">
        <v>4</v>
      </c>
      <c r="E268" s="1141" t="s">
        <v>50</v>
      </c>
      <c r="F268" s="206"/>
      <c r="G268" s="206"/>
      <c r="H268" s="206"/>
      <c r="I268" s="206"/>
    </row>
    <row r="269" spans="2:10" s="266" customFormat="1" x14ac:dyDescent="0.2">
      <c r="B269" s="206"/>
      <c r="C269" s="206"/>
      <c r="D269" s="206"/>
      <c r="E269" s="206"/>
      <c r="F269" s="206"/>
      <c r="G269" s="206"/>
      <c r="H269" s="206"/>
      <c r="I269" s="206"/>
      <c r="J269" s="719"/>
    </row>
    <row r="270" spans="2:10" s="266" customFormat="1" x14ac:dyDescent="0.2">
      <c r="B270" s="206"/>
      <c r="C270" s="206"/>
      <c r="D270" s="206"/>
      <c r="E270" s="206"/>
      <c r="F270" s="206"/>
      <c r="G270" s="206"/>
      <c r="H270" s="206"/>
      <c r="I270" s="206"/>
      <c r="J270" s="1133"/>
    </row>
    <row r="271" spans="2:10" s="266" customFormat="1" ht="16.5" customHeight="1" x14ac:dyDescent="0.2">
      <c r="B271" s="207" t="str">
        <f>ORÇ!A239</f>
        <v>12.5</v>
      </c>
      <c r="C271" s="1740" t="str">
        <f>ORÇ!D239</f>
        <v>Instalações para Climatização</v>
      </c>
      <c r="D271" s="1740"/>
      <c r="E271" s="1740"/>
      <c r="F271" s="1740"/>
      <c r="G271" s="206"/>
      <c r="H271" s="206"/>
      <c r="I271" s="206"/>
      <c r="J271" s="1133"/>
    </row>
    <row r="272" spans="2:10" s="266" customFormat="1" ht="17.25" customHeight="1" x14ac:dyDescent="0.2">
      <c r="B272" s="207" t="str">
        <f>ORÇ!A240</f>
        <v>12.5.1</v>
      </c>
      <c r="C272" s="206" t="str">
        <f>ORÇ!D240</f>
        <v>CABO DE COBRE 1,5MM2 - 750 V</v>
      </c>
      <c r="D272" s="206"/>
      <c r="E272" s="206"/>
      <c r="F272" s="206"/>
      <c r="G272" s="206"/>
      <c r="H272" s="206"/>
      <c r="I272" s="206"/>
    </row>
    <row r="273" spans="2:9" s="266" customFormat="1" x14ac:dyDescent="0.2">
      <c r="B273" s="206"/>
      <c r="C273" s="206"/>
      <c r="D273" s="206"/>
      <c r="E273" s="206"/>
      <c r="F273" s="206"/>
      <c r="G273" s="206"/>
      <c r="H273" s="206"/>
      <c r="I273" s="206"/>
    </row>
    <row r="274" spans="2:9" s="629" customFormat="1" ht="15.75" customHeight="1" x14ac:dyDescent="0.2">
      <c r="B274" s="206"/>
      <c r="C274" s="1134" t="s">
        <v>191</v>
      </c>
      <c r="D274" s="1135">
        <v>100</v>
      </c>
      <c r="E274" s="1136" t="s">
        <v>12</v>
      </c>
      <c r="F274" s="206"/>
      <c r="G274" s="206"/>
      <c r="H274" s="206"/>
      <c r="I274" s="206"/>
    </row>
    <row r="275" spans="2:9" s="266" customFormat="1" x14ac:dyDescent="0.2">
      <c r="B275" s="206"/>
      <c r="C275" s="206"/>
      <c r="D275" s="206"/>
      <c r="E275" s="206"/>
      <c r="F275" s="206"/>
      <c r="G275" s="206"/>
      <c r="H275" s="206"/>
      <c r="I275" s="206"/>
    </row>
    <row r="276" spans="2:9" s="629" customFormat="1" ht="30" customHeight="1" x14ac:dyDescent="0.2">
      <c r="B276" s="207" t="str">
        <f>ORÇ!A241</f>
        <v>12.5.2</v>
      </c>
      <c r="C276" s="1741" t="str">
        <f>ORÇ!D241</f>
        <v>TUBO EM COBRE FLEXÍVEL, DN 5/8", COM ISOLAMENTO, INSTALADO EM FORRO, PARA RAMAL DE ALIMENTAÇÃO DE AR CONDICIONADO, INCLUSO FIXADOR. AF_11/2021</v>
      </c>
      <c r="D276" s="1741"/>
      <c r="E276" s="1741"/>
      <c r="F276" s="1741"/>
      <c r="G276" s="1741"/>
      <c r="H276" s="1741"/>
      <c r="I276" s="1741"/>
    </row>
    <row r="277" spans="2:9" s="266" customFormat="1" x14ac:dyDescent="0.2">
      <c r="B277" s="207"/>
      <c r="C277" s="206"/>
      <c r="D277" s="206"/>
      <c r="E277" s="206"/>
      <c r="F277" s="206"/>
      <c r="G277" s="206"/>
      <c r="H277" s="206"/>
      <c r="I277" s="206"/>
    </row>
    <row r="278" spans="2:9" s="629" customFormat="1" ht="15.75" customHeight="1" x14ac:dyDescent="0.2">
      <c r="B278" s="206"/>
      <c r="C278" s="1134" t="s">
        <v>191</v>
      </c>
      <c r="D278" s="1135">
        <v>25</v>
      </c>
      <c r="E278" s="1136" t="s">
        <v>12</v>
      </c>
      <c r="F278" s="206"/>
      <c r="G278" s="206"/>
      <c r="H278" s="206"/>
      <c r="I278" s="206"/>
    </row>
    <row r="279" spans="2:9" s="720" customFormat="1" x14ac:dyDescent="0.2">
      <c r="B279" s="206"/>
      <c r="C279" s="206"/>
      <c r="D279" s="206"/>
      <c r="E279" s="206"/>
      <c r="F279" s="206"/>
      <c r="G279" s="206"/>
      <c r="H279" s="206"/>
      <c r="I279" s="206"/>
    </row>
    <row r="280" spans="2:9" s="1128" customFormat="1" ht="30" customHeight="1" x14ac:dyDescent="0.2">
      <c r="B280" s="207" t="str">
        <f>ORÇ!A242</f>
        <v>12.5.3</v>
      </c>
      <c r="C280" s="1741" t="str">
        <f>ORÇ!D242</f>
        <v>TUBO EM COBRE FLEXÍVEL, DN 1/2", COM ISOLAMENTO, INSTALADO EM FORRO, PARA RAMAL DE ALIMENTAÇÃO DE AR CONDICIONADO, INCLUSO FIXADOR. AF_11/2021</v>
      </c>
      <c r="D280" s="1741"/>
      <c r="E280" s="1741"/>
      <c r="F280" s="1741"/>
      <c r="G280" s="1741"/>
      <c r="H280" s="1741"/>
      <c r="I280" s="1741"/>
    </row>
    <row r="281" spans="2:9" s="720" customFormat="1" x14ac:dyDescent="0.2">
      <c r="B281" s="206"/>
      <c r="C281" s="206"/>
      <c r="D281" s="206"/>
      <c r="E281" s="206"/>
      <c r="F281" s="206"/>
      <c r="G281" s="206"/>
      <c r="H281" s="206"/>
      <c r="I281" s="206"/>
    </row>
    <row r="282" spans="2:9" s="1128" customFormat="1" ht="15.75" customHeight="1" x14ac:dyDescent="0.2">
      <c r="B282" s="206"/>
      <c r="C282" s="1134" t="s">
        <v>191</v>
      </c>
      <c r="D282" s="1135">
        <v>40</v>
      </c>
      <c r="E282" s="1136" t="s">
        <v>12</v>
      </c>
      <c r="F282" s="206"/>
      <c r="G282" s="206"/>
      <c r="H282" s="206"/>
      <c r="I282" s="206"/>
    </row>
    <row r="283" spans="2:9" s="720" customFormat="1" x14ac:dyDescent="0.2">
      <c r="B283" s="206"/>
      <c r="C283" s="206"/>
      <c r="D283" s="206"/>
      <c r="E283" s="206"/>
      <c r="F283" s="206"/>
      <c r="G283" s="206"/>
      <c r="H283" s="206"/>
      <c r="I283" s="206"/>
    </row>
    <row r="284" spans="2:9" s="720" customFormat="1" ht="31.5" customHeight="1" x14ac:dyDescent="0.2">
      <c r="B284" s="207" t="str">
        <f>ORÇ!A243</f>
        <v>12.5.4</v>
      </c>
      <c r="C284" s="1741" t="str">
        <f>ORÇ!D243</f>
        <v>TUBO EM COBRE FLEXÍVEL, DN 3/8", COM ISOLAMENTO, INSTALADO EM FORRO, PARA RAMAL DE ALIMENTAÇÃO DE AR CONDICIONADO, INCLUSO FIXADOR. AF_11/2021</v>
      </c>
      <c r="D284" s="1741"/>
      <c r="E284" s="1741"/>
      <c r="F284" s="1741"/>
      <c r="G284" s="1741"/>
      <c r="H284" s="1741"/>
      <c r="I284" s="1741"/>
    </row>
    <row r="285" spans="2:9" s="720" customFormat="1" x14ac:dyDescent="0.2">
      <c r="B285" s="206"/>
      <c r="C285" s="206"/>
      <c r="D285" s="206"/>
      <c r="E285" s="206"/>
      <c r="F285" s="206"/>
      <c r="G285" s="206"/>
      <c r="H285" s="206"/>
      <c r="I285" s="206"/>
    </row>
    <row r="286" spans="2:9" s="1128" customFormat="1" ht="15.75" customHeight="1" x14ac:dyDescent="0.2">
      <c r="B286" s="206"/>
      <c r="C286" s="1134" t="s">
        <v>191</v>
      </c>
      <c r="D286" s="1135">
        <v>50</v>
      </c>
      <c r="E286" s="1136" t="s">
        <v>12</v>
      </c>
      <c r="F286" s="206"/>
      <c r="G286" s="206"/>
      <c r="H286" s="206"/>
      <c r="I286" s="206"/>
    </row>
    <row r="287" spans="2:9" s="720" customFormat="1" x14ac:dyDescent="0.2">
      <c r="B287" s="206"/>
      <c r="C287" s="206"/>
      <c r="D287" s="206"/>
      <c r="E287" s="206"/>
      <c r="F287" s="206"/>
      <c r="G287" s="206"/>
      <c r="H287" s="206"/>
      <c r="I287" s="206"/>
    </row>
    <row r="288" spans="2:9" s="720" customFormat="1" ht="25.5" customHeight="1" x14ac:dyDescent="0.2">
      <c r="B288" s="207" t="str">
        <f>ORÇ!A244</f>
        <v>12.5.5</v>
      </c>
      <c r="C288" s="1741" t="str">
        <f>ORÇ!D244</f>
        <v>TUBO EM COBRE FLEXÍVEL, DN 1/4", COM ISOLAMENTO, INSTALADO EM FORRO, PARA RAMAL DE ALIMENTAÇÃO DE AR CONDICIONADO, INCLUSO FIXADOR. AF_11/2021</v>
      </c>
      <c r="D288" s="1741"/>
      <c r="E288" s="1741"/>
      <c r="F288" s="1741"/>
      <c r="G288" s="1741"/>
      <c r="H288" s="1741"/>
      <c r="I288" s="1741"/>
    </row>
    <row r="289" spans="2:9" s="720" customFormat="1" x14ac:dyDescent="0.2">
      <c r="B289" s="206"/>
      <c r="C289" s="206"/>
      <c r="D289" s="206"/>
      <c r="E289" s="206"/>
      <c r="F289" s="206"/>
      <c r="G289" s="206"/>
      <c r="H289" s="206"/>
      <c r="I289" s="206"/>
    </row>
    <row r="290" spans="2:9" s="1128" customFormat="1" ht="15.75" customHeight="1" x14ac:dyDescent="0.2">
      <c r="B290" s="206"/>
      <c r="C290" s="1134" t="s">
        <v>191</v>
      </c>
      <c r="D290" s="1135">
        <v>70</v>
      </c>
      <c r="E290" s="1136" t="s">
        <v>12</v>
      </c>
      <c r="F290" s="206"/>
      <c r="G290" s="206"/>
      <c r="H290" s="206"/>
      <c r="I290" s="206"/>
    </row>
    <row r="291" spans="2:9" s="720" customFormat="1" x14ac:dyDescent="0.2">
      <c r="B291" s="206"/>
      <c r="C291" s="206"/>
      <c r="D291" s="206"/>
      <c r="E291" s="206"/>
      <c r="F291" s="206"/>
      <c r="G291" s="206"/>
      <c r="H291" s="206"/>
      <c r="I291" s="206"/>
    </row>
    <row r="292" spans="2:9" s="720" customFormat="1" ht="26.25" customHeight="1" x14ac:dyDescent="0.2">
      <c r="B292" s="207" t="str">
        <f>ORÇ!A245</f>
        <v>12.5.6</v>
      </c>
      <c r="C292" s="1843" t="str">
        <f>ORÇ!D245</f>
        <v>TUBO ISOLANTE ESPONJOSO 5/8". FORNECIMENTO E INSTALAÇÃO.</v>
      </c>
      <c r="D292" s="1741"/>
      <c r="E292" s="1741"/>
      <c r="F292" s="1741"/>
      <c r="G292" s="1741"/>
      <c r="H292" s="1741"/>
      <c r="I292" s="1741"/>
    </row>
    <row r="293" spans="2:9" s="720" customFormat="1" x14ac:dyDescent="0.2">
      <c r="B293" s="206"/>
      <c r="C293" s="206"/>
      <c r="D293" s="206"/>
      <c r="E293" s="206"/>
      <c r="F293" s="206"/>
      <c r="G293" s="206"/>
      <c r="H293" s="206"/>
      <c r="I293" s="206"/>
    </row>
    <row r="294" spans="2:9" s="1128" customFormat="1" ht="15.75" customHeight="1" x14ac:dyDescent="0.2">
      <c r="B294" s="206"/>
      <c r="C294" s="1134" t="s">
        <v>191</v>
      </c>
      <c r="D294" s="1135">
        <v>25</v>
      </c>
      <c r="E294" s="1136" t="s">
        <v>12</v>
      </c>
      <c r="F294" s="206"/>
      <c r="G294" s="206"/>
      <c r="H294" s="206"/>
      <c r="I294" s="206"/>
    </row>
    <row r="295" spans="2:9" s="720" customFormat="1" ht="13.5" customHeight="1" x14ac:dyDescent="0.2">
      <c r="B295" s="206"/>
      <c r="C295" s="206"/>
      <c r="D295" s="206"/>
      <c r="E295" s="206"/>
      <c r="F295" s="206"/>
      <c r="G295" s="206"/>
      <c r="H295" s="206"/>
      <c r="I295" s="206"/>
    </row>
    <row r="296" spans="2:9" s="720" customFormat="1" ht="26.25" customHeight="1" x14ac:dyDescent="0.2">
      <c r="B296" s="207" t="str">
        <f>ORÇ!A246</f>
        <v>12.5.7</v>
      </c>
      <c r="C296" s="1741" t="str">
        <f>ORÇ!D246</f>
        <v>TUBO DE ESPUMA DE POLIETILENO EXPANDIDO FLEXIVEL PARA ISOLAMENTO TERMICO DE TUBULACAO DE AR CONDICIONADO, AGUA QUENTE,  DN 1/2", E= 10 MM. FORNECIMENTO E INSTALAÇÃO.</v>
      </c>
      <c r="D296" s="1741"/>
      <c r="E296" s="1741"/>
      <c r="F296" s="1741"/>
      <c r="G296" s="1741"/>
      <c r="H296" s="1741"/>
      <c r="I296" s="1741"/>
    </row>
    <row r="297" spans="2:9" s="720" customFormat="1" x14ac:dyDescent="0.2">
      <c r="B297" s="206"/>
      <c r="C297" s="206"/>
      <c r="D297" s="206"/>
      <c r="E297" s="206"/>
      <c r="F297" s="206"/>
      <c r="G297" s="206"/>
      <c r="H297" s="206"/>
      <c r="I297" s="206"/>
    </row>
    <row r="298" spans="2:9" s="1128" customFormat="1" ht="15.75" customHeight="1" x14ac:dyDescent="0.2">
      <c r="B298" s="206"/>
      <c r="C298" s="1134" t="s">
        <v>191</v>
      </c>
      <c r="D298" s="1135">
        <v>45</v>
      </c>
      <c r="E298" s="1136" t="s">
        <v>12</v>
      </c>
      <c r="F298" s="206"/>
      <c r="G298" s="206"/>
      <c r="H298" s="206"/>
      <c r="I298" s="206"/>
    </row>
    <row r="299" spans="2:9" s="720" customFormat="1" ht="13.5" customHeight="1" x14ac:dyDescent="0.2">
      <c r="B299" s="206"/>
      <c r="C299" s="206"/>
      <c r="D299" s="206"/>
      <c r="E299" s="206"/>
      <c r="F299" s="206"/>
      <c r="G299" s="206"/>
      <c r="H299" s="206"/>
      <c r="I299" s="206"/>
    </row>
    <row r="300" spans="2:9" s="720" customFormat="1" ht="30.75" customHeight="1" x14ac:dyDescent="0.2">
      <c r="B300" s="207" t="str">
        <f>ORÇ!A247</f>
        <v>12.5.8</v>
      </c>
      <c r="C300" s="1741" t="str">
        <f>ORÇ!D247</f>
        <v>TUBO DE ESPUMA DE POLIETILENO EXPANDIDO FLEXIVEL PARA ISOLAMENTO TERMICO DE TUBULACAO DE AR CONDICIONADO, AGUA QUENTE,  DN 3/8", E= 10 MM. FORNECIMENTO E INSTALAÇÃO.</v>
      </c>
      <c r="D300" s="1741"/>
      <c r="E300" s="1741"/>
      <c r="F300" s="1741"/>
      <c r="G300" s="1741"/>
      <c r="H300" s="1741"/>
      <c r="I300" s="1741"/>
    </row>
    <row r="301" spans="2:9" s="720" customFormat="1" ht="18" customHeight="1" x14ac:dyDescent="0.2">
      <c r="B301" s="206"/>
      <c r="C301" s="206"/>
      <c r="D301" s="206"/>
      <c r="E301" s="206"/>
      <c r="F301" s="206"/>
      <c r="G301" s="206"/>
      <c r="H301" s="206"/>
      <c r="I301" s="206"/>
    </row>
    <row r="302" spans="2:9" s="1128" customFormat="1" ht="15.75" customHeight="1" x14ac:dyDescent="0.2">
      <c r="B302" s="206"/>
      <c r="C302" s="1134" t="s">
        <v>191</v>
      </c>
      <c r="D302" s="1135">
        <v>50</v>
      </c>
      <c r="E302" s="1136" t="s">
        <v>12</v>
      </c>
      <c r="F302" s="206"/>
      <c r="G302" s="206"/>
      <c r="H302" s="206"/>
      <c r="I302" s="206"/>
    </row>
    <row r="303" spans="2:9" s="720" customFormat="1" x14ac:dyDescent="0.2">
      <c r="B303" s="206"/>
      <c r="C303" s="206"/>
      <c r="D303" s="206"/>
      <c r="E303" s="206"/>
      <c r="F303" s="206"/>
      <c r="G303" s="206"/>
      <c r="H303" s="206"/>
      <c r="I303" s="206"/>
    </row>
    <row r="304" spans="2:9" s="720" customFormat="1" ht="26.25" customHeight="1" x14ac:dyDescent="0.2">
      <c r="B304" s="207" t="str">
        <f>ORÇ!A248</f>
        <v>12.5.9</v>
      </c>
      <c r="C304" s="1843" t="str">
        <f>ORÇ!D248</f>
        <v>TUBO DE ESPUMA DE POLIETILENO EXPANDIDO FLEXIVEL PARA ISOLAMENTO TERMICO DE TUBULACAO DE AR CONDICIONADO, AGUA QUENTE,  DN 1/4", E= 10 MM. FORNECIMENTO E INSTALAÇÃO.</v>
      </c>
      <c r="D304" s="1741"/>
      <c r="E304" s="1741"/>
      <c r="F304" s="1741"/>
      <c r="G304" s="1741"/>
      <c r="H304" s="1741"/>
      <c r="I304" s="1741"/>
    </row>
    <row r="305" spans="2:12" s="720" customFormat="1" x14ac:dyDescent="0.2">
      <c r="B305" s="206"/>
      <c r="C305" s="206"/>
      <c r="D305" s="206"/>
      <c r="E305" s="206"/>
      <c r="F305" s="206"/>
      <c r="G305" s="206"/>
      <c r="H305" s="206"/>
      <c r="I305" s="206"/>
    </row>
    <row r="306" spans="2:12" s="1128" customFormat="1" ht="15.75" customHeight="1" x14ac:dyDescent="0.2">
      <c r="B306" s="206"/>
      <c r="C306" s="1134" t="s">
        <v>191</v>
      </c>
      <c r="D306" s="1135">
        <v>70</v>
      </c>
      <c r="E306" s="1136" t="s">
        <v>12</v>
      </c>
      <c r="F306" s="206"/>
      <c r="G306" s="206"/>
      <c r="H306" s="206"/>
      <c r="I306" s="206"/>
    </row>
    <row r="307" spans="2:12" s="720" customFormat="1" ht="13.5" customHeight="1" x14ac:dyDescent="0.2">
      <c r="B307" s="206"/>
      <c r="C307" s="206"/>
      <c r="D307" s="206"/>
      <c r="E307" s="206"/>
      <c r="F307" s="206"/>
      <c r="G307" s="206"/>
      <c r="H307" s="206"/>
      <c r="I307" s="206"/>
    </row>
    <row r="308" spans="2:12" s="720" customFormat="1" ht="26.25" customHeight="1" x14ac:dyDescent="0.2">
      <c r="B308" s="207" t="str">
        <f>ORÇ!A249</f>
        <v>12.5.10</v>
      </c>
      <c r="C308" s="1843" t="str">
        <f>ORÇ!D249</f>
        <v>FITA ADESIVA ANTICORROSIVA DE PVC FLEXIVEL, COR PRETA, PARA PROTECAO TUBULACAO, 50 MM X 30 M (L X C), E= *0,25* MM. FORNECIMENTO E APLICAÇÃO.</v>
      </c>
      <c r="D308" s="1741"/>
      <c r="E308" s="1741"/>
      <c r="F308" s="1741"/>
      <c r="G308" s="1741"/>
      <c r="H308" s="1741"/>
      <c r="I308" s="1741"/>
    </row>
    <row r="309" spans="2:12" s="720" customFormat="1" x14ac:dyDescent="0.2">
      <c r="B309" s="206"/>
      <c r="C309" s="206"/>
      <c r="D309" s="206"/>
      <c r="E309" s="206"/>
      <c r="F309" s="206"/>
      <c r="G309" s="206"/>
      <c r="H309" s="206"/>
      <c r="I309" s="206"/>
    </row>
    <row r="310" spans="2:12" s="1128" customFormat="1" ht="15.75" customHeight="1" x14ac:dyDescent="0.2">
      <c r="B310" s="206"/>
      <c r="C310" s="1134" t="s">
        <v>191</v>
      </c>
      <c r="D310" s="1135">
        <v>317</v>
      </c>
      <c r="E310" s="1136" t="s">
        <v>12</v>
      </c>
      <c r="F310" s="206"/>
      <c r="G310" s="206"/>
      <c r="H310" s="206"/>
      <c r="I310" s="206"/>
    </row>
    <row r="311" spans="2:12" s="720" customFormat="1" ht="13.5" customHeight="1" x14ac:dyDescent="0.2">
      <c r="B311" s="206"/>
      <c r="C311" s="206"/>
      <c r="D311" s="206"/>
      <c r="E311" s="206"/>
      <c r="F311" s="206"/>
      <c r="G311" s="206"/>
      <c r="H311" s="206"/>
      <c r="I311" s="206"/>
    </row>
    <row r="312" spans="2:12" s="720" customFormat="1" ht="30.75" customHeight="1" x14ac:dyDescent="0.2">
      <c r="B312" s="207" t="str">
        <f>ORÇ!A250</f>
        <v>12.5.11</v>
      </c>
      <c r="C312" s="1843" t="str">
        <f>ORÇ!D250</f>
        <v>FITA ADESIVA ASFALTICA ALUMINIZADA MULTIUSO, L = 10 CM, ROLO DE 10 M. FORNECUMENTO E APLICAÇÃO.</v>
      </c>
      <c r="D312" s="1741"/>
      <c r="E312" s="1741"/>
      <c r="F312" s="1741"/>
      <c r="G312" s="1741"/>
      <c r="H312" s="1741"/>
      <c r="I312" s="1741"/>
    </row>
    <row r="313" spans="2:12" s="720" customFormat="1" ht="18" customHeight="1" x14ac:dyDescent="0.2">
      <c r="B313" s="206"/>
      <c r="C313" s="206"/>
      <c r="D313" s="206"/>
      <c r="E313" s="206"/>
      <c r="F313" s="206"/>
      <c r="G313" s="206"/>
      <c r="H313" s="206"/>
      <c r="I313" s="206"/>
    </row>
    <row r="314" spans="2:12" s="1128" customFormat="1" ht="15.75" customHeight="1" x14ac:dyDescent="0.2">
      <c r="B314" s="206"/>
      <c r="C314" s="1134" t="s">
        <v>191</v>
      </c>
      <c r="D314" s="1135">
        <v>5</v>
      </c>
      <c r="E314" s="1136" t="s">
        <v>12</v>
      </c>
      <c r="F314" s="206"/>
      <c r="G314" s="206"/>
      <c r="H314" s="206"/>
      <c r="I314" s="206"/>
    </row>
    <row r="315" spans="2:12" s="1132" customFormat="1" x14ac:dyDescent="0.2">
      <c r="B315" s="1131"/>
      <c r="C315" s="1131"/>
      <c r="D315" s="1131"/>
      <c r="E315" s="1131"/>
      <c r="F315" s="1131"/>
      <c r="G315" s="1131"/>
      <c r="H315" s="1131"/>
      <c r="I315" s="1131"/>
    </row>
    <row r="316" spans="2:12" s="1132" customFormat="1" x14ac:dyDescent="0.2">
      <c r="B316" s="1131"/>
      <c r="C316" s="1131"/>
      <c r="D316" s="1131"/>
      <c r="E316" s="1131"/>
      <c r="F316" s="1131"/>
      <c r="G316" s="1131"/>
      <c r="H316" s="1131"/>
      <c r="I316" s="1131"/>
    </row>
    <row r="317" spans="2:12" s="720" customFormat="1" x14ac:dyDescent="0.2">
      <c r="B317" s="245" t="str">
        <f>ORÇ!A251</f>
        <v>12.6</v>
      </c>
      <c r="C317" s="234" t="str">
        <f>ORÇ!D251</f>
        <v>Cabeamento Estruturado</v>
      </c>
      <c r="D317" s="21"/>
      <c r="E317" s="21"/>
      <c r="F317" s="21"/>
      <c r="G317" s="21"/>
      <c r="H317" s="21"/>
      <c r="I317" s="21"/>
      <c r="J317" s="21"/>
      <c r="K317" s="21"/>
      <c r="L317" s="21"/>
    </row>
    <row r="318" spans="2:12" s="720" customFormat="1" x14ac:dyDescent="0.2">
      <c r="B318" s="245" t="str">
        <f>ORÇ!A252</f>
        <v>12.6.1</v>
      </c>
      <c r="C318" s="234" t="str">
        <f>ORÇ!D252</f>
        <v>TOMADA DE REDE RJ45 - FORNECIMENTO E INSTALAÇÃO. AF_11/2019</v>
      </c>
      <c r="D318" s="21"/>
      <c r="E318" s="21"/>
      <c r="F318" s="21"/>
      <c r="G318" s="21"/>
      <c r="H318" s="21"/>
      <c r="I318" s="21"/>
      <c r="J318" s="21"/>
      <c r="K318" s="21"/>
      <c r="L318" s="21"/>
    </row>
    <row r="319" spans="2:12" s="720" customFormat="1" x14ac:dyDescent="0.2">
      <c r="B319" s="481"/>
      <c r="C319" s="21"/>
      <c r="D319" s="21"/>
      <c r="E319" s="21"/>
      <c r="F319" s="21"/>
      <c r="G319" s="21"/>
      <c r="H319" s="21"/>
      <c r="I319" s="21"/>
      <c r="J319" s="21"/>
      <c r="K319" s="21"/>
      <c r="L319" s="21"/>
    </row>
    <row r="320" spans="2:12" s="720" customFormat="1" ht="15" x14ac:dyDescent="0.25">
      <c r="B320" s="481"/>
      <c r="C320" s="326" t="s">
        <v>392</v>
      </c>
      <c r="D320" s="327">
        <v>36</v>
      </c>
      <c r="E320" s="328" t="s">
        <v>668</v>
      </c>
      <c r="F320" s="21"/>
      <c r="G320" s="21"/>
      <c r="H320" s="21"/>
      <c r="I320" s="21"/>
      <c r="J320" s="21"/>
      <c r="K320" s="21"/>
      <c r="L320" s="21"/>
    </row>
    <row r="321" spans="2:12" s="720" customFormat="1" x14ac:dyDescent="0.2">
      <c r="B321" s="481"/>
      <c r="C321" s="21"/>
      <c r="D321" s="21"/>
      <c r="E321" s="21"/>
      <c r="F321" s="21"/>
      <c r="G321" s="21"/>
      <c r="H321" s="21"/>
      <c r="I321" s="21"/>
      <c r="J321" s="21"/>
      <c r="K321" s="21"/>
      <c r="L321" s="21"/>
    </row>
    <row r="322" spans="2:12" s="720" customFormat="1" x14ac:dyDescent="0.2">
      <c r="B322" s="245" t="str">
        <f>ORÇ!A253</f>
        <v>12.6.2</v>
      </c>
      <c r="C322" s="330" t="str">
        <f>ORÇ!D253</f>
        <v>FORNECIMENTO DE CONECTOR MACHO RJ - 45, CATEGORIA 6</v>
      </c>
      <c r="D322" s="21"/>
      <c r="E322" s="21"/>
      <c r="F322" s="21"/>
      <c r="G322" s="21"/>
      <c r="H322" s="21"/>
      <c r="I322" s="21"/>
      <c r="J322" s="21"/>
      <c r="K322" s="21"/>
      <c r="L322" s="21"/>
    </row>
    <row r="323" spans="2:12" s="720" customFormat="1" x14ac:dyDescent="0.2">
      <c r="B323" s="481"/>
      <c r="C323" s="21"/>
      <c r="D323" s="21"/>
      <c r="E323" s="21"/>
      <c r="F323" s="21"/>
      <c r="G323" s="21"/>
      <c r="H323" s="21"/>
      <c r="I323" s="21"/>
      <c r="J323" s="21"/>
      <c r="K323" s="21"/>
      <c r="L323" s="21"/>
    </row>
    <row r="324" spans="2:12" s="720" customFormat="1" ht="15" x14ac:dyDescent="0.25">
      <c r="B324" s="481"/>
      <c r="C324" s="326" t="s">
        <v>392</v>
      </c>
      <c r="D324" s="327">
        <v>32</v>
      </c>
      <c r="E324" s="328" t="s">
        <v>668</v>
      </c>
      <c r="F324" s="21"/>
      <c r="G324" s="21"/>
      <c r="H324" s="21"/>
      <c r="I324" s="21"/>
      <c r="J324" s="21"/>
      <c r="K324" s="21"/>
      <c r="L324" s="21"/>
    </row>
    <row r="325" spans="2:12" s="720" customFormat="1" x14ac:dyDescent="0.2">
      <c r="B325" s="481"/>
      <c r="C325" s="21"/>
      <c r="D325" s="21"/>
      <c r="E325" s="21"/>
      <c r="F325" s="21"/>
      <c r="G325" s="21"/>
      <c r="H325" s="21"/>
      <c r="I325" s="21"/>
      <c r="J325" s="21"/>
      <c r="K325" s="21"/>
      <c r="L325" s="21"/>
    </row>
    <row r="326" spans="2:12" s="720" customFormat="1" x14ac:dyDescent="0.2">
      <c r="B326" s="245" t="str">
        <f>ORÇ!A254</f>
        <v>12.6.3</v>
      </c>
      <c r="C326" s="234" t="str">
        <f>ORÇ!D254</f>
        <v>TAMPA CEGA 4"X4" PLÁSTICA</v>
      </c>
      <c r="D326" s="21"/>
      <c r="E326" s="21"/>
      <c r="F326" s="21"/>
      <c r="G326" s="21"/>
      <c r="H326" s="21"/>
      <c r="I326" s="21"/>
      <c r="J326" s="21"/>
      <c r="K326" s="21"/>
      <c r="L326" s="21"/>
    </row>
    <row r="327" spans="2:12" s="720" customFormat="1" x14ac:dyDescent="0.2">
      <c r="B327" s="481"/>
      <c r="C327" s="21"/>
      <c r="D327" s="21"/>
      <c r="E327" s="21"/>
      <c r="F327" s="21"/>
      <c r="G327" s="21"/>
      <c r="H327" s="21"/>
      <c r="I327" s="21"/>
      <c r="J327" s="21"/>
      <c r="K327" s="21"/>
      <c r="L327" s="21"/>
    </row>
    <row r="328" spans="2:12" s="720" customFormat="1" ht="15" x14ac:dyDescent="0.25">
      <c r="B328" s="481"/>
      <c r="C328" s="326" t="s">
        <v>392</v>
      </c>
      <c r="D328" s="327">
        <v>3</v>
      </c>
      <c r="E328" s="328" t="s">
        <v>668</v>
      </c>
      <c r="F328" s="21"/>
      <c r="G328" s="21"/>
      <c r="H328" s="21"/>
      <c r="I328" s="21"/>
      <c r="J328" s="21"/>
      <c r="K328" s="21"/>
      <c r="L328" s="21"/>
    </row>
    <row r="329" spans="2:12" s="720" customFormat="1" x14ac:dyDescent="0.2">
      <c r="B329" s="481"/>
      <c r="C329" s="21"/>
      <c r="D329" s="21"/>
      <c r="E329" s="21"/>
      <c r="F329" s="21"/>
      <c r="G329" s="21"/>
      <c r="H329" s="21"/>
      <c r="I329" s="21"/>
      <c r="J329" s="21"/>
      <c r="K329" s="21"/>
      <c r="L329" s="21"/>
    </row>
    <row r="330" spans="2:12" s="1128" customFormat="1" ht="30" customHeight="1" x14ac:dyDescent="0.2">
      <c r="B330" s="884" t="str">
        <f>ORÇ!A255</f>
        <v>12.6.4</v>
      </c>
      <c r="C330" s="1730" t="str">
        <f>ORÇ!D255</f>
        <v>CAIXA RETANGULAR 4" X 2" BAIXA (0,30 M DO PISO), PVC, INSTALADA EM PAREDE - FORNECIMENTO E INSTALAÇÃO. AF_12/2015</v>
      </c>
      <c r="D330" s="1730"/>
      <c r="E330" s="1730"/>
      <c r="F330" s="1730"/>
      <c r="G330" s="1730"/>
      <c r="H330" s="1730"/>
      <c r="I330" s="1730"/>
      <c r="J330" s="140"/>
      <c r="K330" s="140"/>
      <c r="L330" s="140"/>
    </row>
    <row r="331" spans="2:12" s="720" customFormat="1" x14ac:dyDescent="0.2">
      <c r="B331" s="481"/>
      <c r="C331" s="21"/>
      <c r="D331" s="21"/>
      <c r="E331" s="21"/>
      <c r="F331" s="21"/>
      <c r="G331" s="21"/>
      <c r="H331" s="21"/>
      <c r="I331" s="21"/>
      <c r="J331" s="21"/>
      <c r="K331" s="21"/>
      <c r="L331" s="21"/>
    </row>
    <row r="332" spans="2:12" s="720" customFormat="1" ht="15" x14ac:dyDescent="0.25">
      <c r="B332" s="481"/>
      <c r="C332" s="326" t="s">
        <v>392</v>
      </c>
      <c r="D332" s="327">
        <v>18</v>
      </c>
      <c r="E332" s="328" t="s">
        <v>668</v>
      </c>
      <c r="F332" s="21"/>
      <c r="G332" s="21"/>
      <c r="H332" s="21"/>
      <c r="I332" s="21"/>
      <c r="J332" s="21"/>
      <c r="K332" s="21"/>
      <c r="L332" s="21"/>
    </row>
    <row r="333" spans="2:12" s="720" customFormat="1" x14ac:dyDescent="0.2">
      <c r="B333" s="481"/>
      <c r="C333" s="21"/>
      <c r="D333" s="21"/>
      <c r="E333" s="21"/>
      <c r="F333" s="21"/>
      <c r="G333" s="21"/>
      <c r="H333" s="21"/>
      <c r="I333" s="21"/>
      <c r="J333" s="21"/>
      <c r="K333" s="21"/>
      <c r="L333" s="21"/>
    </row>
    <row r="334" spans="2:12" s="720" customFormat="1" ht="30" customHeight="1" x14ac:dyDescent="0.2">
      <c r="B334" s="245" t="str">
        <f>ORÇ!A256</f>
        <v>12.6.5</v>
      </c>
      <c r="C334" s="1841" t="str">
        <f>ORÇ!D256</f>
        <v>CAIXA RETANGULAR 4" X 4" BAIXA (0,30 M DO PISO), PVC, INSTALADA EM PAREDE - FORNECIMENTO E INSTALAÇÃO. AF_12/2015</v>
      </c>
      <c r="D334" s="1841"/>
      <c r="E334" s="1841"/>
      <c r="F334" s="1841"/>
      <c r="G334" s="1841"/>
      <c r="H334" s="1841"/>
      <c r="I334" s="1841"/>
      <c r="J334" s="21"/>
      <c r="K334" s="21"/>
      <c r="L334" s="21"/>
    </row>
    <row r="335" spans="2:12" s="720" customFormat="1" x14ac:dyDescent="0.2">
      <c r="B335" s="481"/>
      <c r="C335" s="21"/>
      <c r="D335" s="21"/>
      <c r="E335" s="21"/>
      <c r="F335" s="21"/>
      <c r="G335" s="21"/>
      <c r="H335" s="21"/>
      <c r="I335" s="21"/>
      <c r="J335" s="21"/>
      <c r="K335" s="21"/>
      <c r="L335" s="21"/>
    </row>
    <row r="336" spans="2:12" s="720" customFormat="1" ht="15" x14ac:dyDescent="0.25">
      <c r="B336" s="481"/>
      <c r="C336" s="326" t="s">
        <v>392</v>
      </c>
      <c r="D336" s="327">
        <v>3</v>
      </c>
      <c r="E336" s="328" t="s">
        <v>668</v>
      </c>
      <c r="F336" s="21"/>
      <c r="G336" s="21"/>
      <c r="H336" s="21"/>
      <c r="I336" s="21"/>
      <c r="J336" s="21"/>
      <c r="K336" s="21"/>
      <c r="L336" s="21"/>
    </row>
    <row r="337" spans="2:12" s="720" customFormat="1" x14ac:dyDescent="0.2">
      <c r="B337" s="481"/>
      <c r="C337" s="21"/>
      <c r="D337" s="21"/>
      <c r="E337" s="21"/>
      <c r="F337" s="21"/>
      <c r="G337" s="21"/>
      <c r="H337" s="21"/>
      <c r="I337" s="21"/>
      <c r="J337" s="21"/>
      <c r="K337" s="21"/>
      <c r="L337" s="21"/>
    </row>
    <row r="338" spans="2:12" s="720" customFormat="1" x14ac:dyDescent="0.2">
      <c r="B338" s="481"/>
      <c r="C338" s="21"/>
      <c r="D338" s="21"/>
      <c r="E338" s="21"/>
      <c r="F338" s="21"/>
      <c r="G338" s="21"/>
      <c r="H338" s="21"/>
      <c r="I338" s="21"/>
      <c r="J338" s="21"/>
      <c r="K338" s="21"/>
      <c r="L338" s="21"/>
    </row>
    <row r="339" spans="2:12" s="720" customFormat="1" x14ac:dyDescent="0.2">
      <c r="B339" s="245" t="str">
        <f>ORÇ!A257</f>
        <v>12.6.6</v>
      </c>
      <c r="C339" s="234" t="str">
        <f>ORÇ!D257</f>
        <v>CAIXA EM ALVENARIA DE 50X50X50CM C/ TPO. CONCRETO</v>
      </c>
      <c r="D339" s="21"/>
      <c r="E339" s="21"/>
      <c r="F339" s="21"/>
      <c r="G339" s="21"/>
      <c r="H339" s="21"/>
      <c r="I339" s="21"/>
      <c r="J339" s="21"/>
      <c r="K339" s="21"/>
      <c r="L339" s="21"/>
    </row>
    <row r="340" spans="2:12" s="720" customFormat="1" x14ac:dyDescent="0.2">
      <c r="B340" s="481"/>
      <c r="C340" s="21"/>
      <c r="D340" s="21"/>
      <c r="E340" s="21"/>
      <c r="F340" s="21"/>
      <c r="G340" s="21"/>
      <c r="H340" s="21"/>
      <c r="I340" s="21"/>
      <c r="J340" s="21"/>
      <c r="K340" s="21"/>
      <c r="L340" s="21"/>
    </row>
    <row r="341" spans="2:12" s="720" customFormat="1" ht="15" x14ac:dyDescent="0.25">
      <c r="B341" s="481"/>
      <c r="C341" s="326" t="s">
        <v>392</v>
      </c>
      <c r="D341" s="327">
        <v>1</v>
      </c>
      <c r="E341" s="328" t="s">
        <v>834</v>
      </c>
      <c r="F341" s="21"/>
      <c r="G341" s="21"/>
      <c r="H341" s="21"/>
      <c r="I341" s="21"/>
      <c r="J341" s="21"/>
      <c r="K341" s="21"/>
      <c r="L341" s="21"/>
    </row>
    <row r="342" spans="2:12" s="720" customFormat="1" x14ac:dyDescent="0.2">
      <c r="B342" s="481"/>
      <c r="C342" s="21"/>
      <c r="D342" s="21"/>
      <c r="E342" s="21"/>
      <c r="F342" s="21"/>
      <c r="G342" s="21"/>
      <c r="H342" s="21"/>
      <c r="I342" s="21"/>
      <c r="J342" s="21"/>
      <c r="K342" s="21"/>
      <c r="L342" s="21"/>
    </row>
    <row r="343" spans="2:12" s="720" customFormat="1" x14ac:dyDescent="0.2">
      <c r="B343" s="245" t="str">
        <f>ORÇ!A258</f>
        <v>12.6.7</v>
      </c>
      <c r="C343" s="234" t="str">
        <f>ORÇ!D258</f>
        <v>CAIXA DE PASSAGEM EM ALUMÍNIO 300X300X130MM</v>
      </c>
      <c r="D343" s="21"/>
      <c r="E343" s="21"/>
      <c r="F343" s="21"/>
      <c r="G343" s="21"/>
      <c r="H343" s="21"/>
      <c r="I343" s="21"/>
      <c r="J343" s="21"/>
      <c r="K343" s="21"/>
      <c r="L343" s="21"/>
    </row>
    <row r="344" spans="2:12" s="720" customFormat="1" x14ac:dyDescent="0.2">
      <c r="B344" s="481"/>
      <c r="C344" s="21"/>
      <c r="D344" s="21"/>
      <c r="E344" s="21"/>
      <c r="F344" s="21"/>
      <c r="G344" s="21"/>
      <c r="H344" s="21"/>
      <c r="I344" s="21"/>
      <c r="J344" s="21"/>
      <c r="K344" s="21"/>
      <c r="L344" s="21"/>
    </row>
    <row r="345" spans="2:12" s="720" customFormat="1" ht="15" x14ac:dyDescent="0.25">
      <c r="B345" s="481"/>
      <c r="C345" s="326" t="s">
        <v>392</v>
      </c>
      <c r="D345" s="327">
        <v>1</v>
      </c>
      <c r="E345" s="328" t="s">
        <v>834</v>
      </c>
      <c r="F345" s="21"/>
      <c r="G345" s="21"/>
      <c r="H345" s="21"/>
      <c r="I345" s="21"/>
      <c r="J345" s="21"/>
      <c r="K345" s="21"/>
      <c r="L345" s="21"/>
    </row>
    <row r="346" spans="2:12" s="720" customFormat="1" x14ac:dyDescent="0.2">
      <c r="B346" s="481"/>
      <c r="C346" s="21"/>
      <c r="D346" s="21"/>
      <c r="E346" s="21"/>
      <c r="F346" s="21"/>
      <c r="G346" s="21"/>
      <c r="H346" s="21"/>
      <c r="I346" s="21"/>
      <c r="J346" s="21"/>
      <c r="K346" s="21"/>
      <c r="L346" s="21"/>
    </row>
    <row r="347" spans="2:12" s="720" customFormat="1" ht="36.75" customHeight="1" x14ac:dyDescent="0.2">
      <c r="B347" s="329" t="str">
        <f>ORÇ!A259</f>
        <v>12.6.8</v>
      </c>
      <c r="C347" s="1730" t="str">
        <f>ORÇ!D259</f>
        <v>QUADRO DE DISTRIBUICAO PARA TELEFONE N.3, 40X40X12CM EM CHAPA METALICA, DE EMBUTIR, SEM ACESSORIOS, PADRAO TELEBRAS, FORNECIMENTO E INSTALAÇÃO. AF_11/2019</v>
      </c>
      <c r="D347" s="1730"/>
      <c r="E347" s="1730"/>
      <c r="F347" s="1730"/>
      <c r="G347" s="1730"/>
      <c r="H347" s="1730"/>
      <c r="I347" s="1730"/>
      <c r="J347" s="331"/>
      <c r="K347" s="331"/>
      <c r="L347" s="331"/>
    </row>
    <row r="348" spans="2:12" s="720" customFormat="1" x14ac:dyDescent="0.2">
      <c r="B348" s="481"/>
      <c r="C348" s="21"/>
      <c r="D348" s="21"/>
      <c r="E348" s="21"/>
      <c r="F348" s="21"/>
      <c r="G348" s="21"/>
      <c r="H348" s="21"/>
      <c r="I348" s="21"/>
      <c r="J348" s="21"/>
      <c r="K348" s="21"/>
      <c r="L348" s="21"/>
    </row>
    <row r="349" spans="2:12" s="720" customFormat="1" ht="15" x14ac:dyDescent="0.25">
      <c r="B349" s="481"/>
      <c r="C349" s="326" t="s">
        <v>392</v>
      </c>
      <c r="D349" s="327">
        <v>1</v>
      </c>
      <c r="E349" s="328" t="s">
        <v>834</v>
      </c>
      <c r="F349" s="21"/>
      <c r="G349" s="21"/>
      <c r="H349" s="21"/>
      <c r="I349" s="21"/>
      <c r="J349" s="21"/>
      <c r="K349" s="21"/>
      <c r="L349" s="21"/>
    </row>
    <row r="350" spans="2:12" s="720" customFormat="1" x14ac:dyDescent="0.2">
      <c r="B350" s="481"/>
      <c r="C350" s="21"/>
      <c r="D350" s="21"/>
      <c r="E350" s="21"/>
      <c r="F350" s="21"/>
      <c r="G350" s="21"/>
      <c r="H350" s="21"/>
      <c r="I350" s="21"/>
      <c r="J350" s="21"/>
      <c r="K350" s="21"/>
      <c r="L350" s="21"/>
    </row>
    <row r="351" spans="2:12" s="720" customFormat="1" x14ac:dyDescent="0.2">
      <c r="B351" s="245" t="str">
        <f>ORÇ!A260</f>
        <v>12.6.9</v>
      </c>
      <c r="C351" s="234" t="str">
        <f>ORÇ!D260</f>
        <v>CAIXA DE INSPEÇÃO EM PVC D=300MM</v>
      </c>
      <c r="D351" s="21"/>
      <c r="E351" s="21"/>
      <c r="F351" s="21"/>
      <c r="G351" s="21"/>
      <c r="H351" s="21"/>
      <c r="I351" s="21"/>
      <c r="J351" s="21"/>
      <c r="K351" s="21"/>
      <c r="L351" s="21"/>
    </row>
    <row r="352" spans="2:12" s="720" customFormat="1" x14ac:dyDescent="0.2">
      <c r="B352" s="481"/>
      <c r="C352" s="21"/>
      <c r="D352" s="21"/>
      <c r="E352" s="21"/>
      <c r="F352" s="21"/>
      <c r="G352" s="21"/>
      <c r="H352" s="21"/>
      <c r="I352" s="21"/>
      <c r="J352" s="21"/>
      <c r="K352" s="21"/>
      <c r="L352" s="21"/>
    </row>
    <row r="353" spans="2:12" s="720" customFormat="1" ht="15" x14ac:dyDescent="0.25">
      <c r="B353" s="481"/>
      <c r="C353" s="326" t="s">
        <v>392</v>
      </c>
      <c r="D353" s="327">
        <v>1</v>
      </c>
      <c r="E353" s="328" t="s">
        <v>834</v>
      </c>
      <c r="F353" s="21"/>
      <c r="G353" s="21"/>
      <c r="H353" s="21"/>
      <c r="I353" s="21"/>
      <c r="J353" s="21"/>
      <c r="K353" s="21"/>
      <c r="L353" s="21"/>
    </row>
    <row r="354" spans="2:12" s="720" customFormat="1" ht="27.75" customHeight="1" x14ac:dyDescent="0.2">
      <c r="B354" s="481"/>
      <c r="C354" s="21"/>
      <c r="D354" s="21"/>
      <c r="E354" s="21"/>
      <c r="F354" s="21"/>
      <c r="G354" s="21"/>
      <c r="H354" s="21"/>
      <c r="I354" s="21"/>
      <c r="J354" s="21"/>
      <c r="K354" s="21"/>
      <c r="L354" s="21"/>
    </row>
    <row r="355" spans="2:12" s="720" customFormat="1" x14ac:dyDescent="0.2">
      <c r="B355" s="245" t="str">
        <f>ORÇ!A261</f>
        <v>12.6.10</v>
      </c>
      <c r="C355" s="234" t="str">
        <f>ORÇ!D261</f>
        <v>HASTE DE AÇO COBREADA 5/8"X2,40M C/ CONECTOR</v>
      </c>
      <c r="D355" s="21"/>
      <c r="E355" s="21"/>
      <c r="F355" s="21"/>
      <c r="G355" s="21"/>
      <c r="H355" s="21"/>
      <c r="I355" s="21"/>
      <c r="J355" s="21"/>
      <c r="K355" s="21"/>
      <c r="L355" s="21"/>
    </row>
    <row r="356" spans="2:12" s="720" customFormat="1" x14ac:dyDescent="0.2">
      <c r="B356" s="481"/>
      <c r="C356" s="21"/>
      <c r="D356" s="21"/>
      <c r="E356" s="21"/>
      <c r="F356" s="21"/>
      <c r="G356" s="21"/>
      <c r="H356" s="21"/>
      <c r="I356" s="21"/>
      <c r="J356" s="21"/>
      <c r="K356" s="21"/>
      <c r="L356" s="21"/>
    </row>
    <row r="357" spans="2:12" s="720" customFormat="1" ht="15" x14ac:dyDescent="0.25">
      <c r="B357" s="481"/>
      <c r="C357" s="326" t="s">
        <v>392</v>
      </c>
      <c r="D357" s="327">
        <v>1</v>
      </c>
      <c r="E357" s="328" t="s">
        <v>834</v>
      </c>
      <c r="F357" s="21"/>
      <c r="G357" s="21"/>
      <c r="H357" s="21"/>
      <c r="I357" s="21"/>
      <c r="J357" s="21"/>
      <c r="K357" s="21"/>
      <c r="L357" s="21"/>
    </row>
    <row r="358" spans="2:12" s="720" customFormat="1" x14ac:dyDescent="0.2">
      <c r="B358" s="481"/>
      <c r="C358" s="21"/>
      <c r="D358" s="21"/>
      <c r="E358" s="21"/>
      <c r="F358" s="21"/>
      <c r="G358" s="21"/>
      <c r="H358" s="21"/>
      <c r="I358" s="21"/>
      <c r="J358" s="21"/>
      <c r="K358" s="21"/>
      <c r="L358" s="21"/>
    </row>
    <row r="359" spans="2:12" s="720" customFormat="1" x14ac:dyDescent="0.2">
      <c r="B359" s="245" t="str">
        <f>ORÇ!A262</f>
        <v>12.6.11</v>
      </c>
      <c r="C359" s="234" t="str">
        <f>ORÇ!D262</f>
        <v>PONTO DE SOLDA EXOTÉRMICA</v>
      </c>
      <c r="D359" s="21"/>
      <c r="E359" s="21"/>
      <c r="F359" s="21"/>
      <c r="G359" s="21"/>
      <c r="H359" s="21"/>
      <c r="I359" s="21"/>
      <c r="J359" s="21"/>
      <c r="K359" s="21"/>
      <c r="L359" s="21"/>
    </row>
    <row r="360" spans="2:12" s="720" customFormat="1" x14ac:dyDescent="0.2">
      <c r="B360" s="481"/>
      <c r="C360" s="21"/>
      <c r="D360" s="21"/>
      <c r="E360" s="21"/>
      <c r="F360" s="21"/>
      <c r="G360" s="21"/>
      <c r="H360" s="21"/>
      <c r="I360" s="21"/>
      <c r="J360" s="21"/>
      <c r="K360" s="21"/>
      <c r="L360" s="21"/>
    </row>
    <row r="361" spans="2:12" s="720" customFormat="1" ht="15" x14ac:dyDescent="0.25">
      <c r="B361" s="481"/>
      <c r="C361" s="326" t="s">
        <v>392</v>
      </c>
      <c r="D361" s="327">
        <v>1</v>
      </c>
      <c r="E361" s="328" t="s">
        <v>834</v>
      </c>
      <c r="F361" s="21"/>
      <c r="G361" s="21"/>
      <c r="H361" s="21"/>
      <c r="I361" s="21"/>
      <c r="J361" s="21"/>
      <c r="K361" s="21"/>
      <c r="L361" s="21"/>
    </row>
    <row r="362" spans="2:12" s="720" customFormat="1" x14ac:dyDescent="0.2">
      <c r="B362" s="481"/>
      <c r="C362" s="21"/>
      <c r="D362" s="21"/>
      <c r="E362" s="21"/>
      <c r="F362" s="21"/>
      <c r="G362" s="21"/>
      <c r="H362" s="21"/>
      <c r="I362" s="21"/>
      <c r="J362" s="21"/>
      <c r="K362" s="21"/>
      <c r="L362" s="21"/>
    </row>
    <row r="363" spans="2:12" s="720" customFormat="1" x14ac:dyDescent="0.2">
      <c r="B363" s="245" t="str">
        <f>ORÇ!A263</f>
        <v>12.6.12</v>
      </c>
      <c r="C363" s="330" t="str">
        <f>ORÇ!D263</f>
        <v>CABO DE COBRE NU 10 MM2. FORNECIMENTO E INSTALAÇÃO.</v>
      </c>
      <c r="D363" s="21"/>
      <c r="E363" s="21"/>
      <c r="F363" s="21"/>
      <c r="G363" s="21"/>
      <c r="H363" s="21"/>
      <c r="I363" s="21"/>
      <c r="J363" s="21"/>
      <c r="K363" s="21"/>
      <c r="L363" s="21"/>
    </row>
    <row r="364" spans="2:12" s="720" customFormat="1" x14ac:dyDescent="0.2">
      <c r="B364" s="481"/>
      <c r="C364" s="21"/>
      <c r="D364" s="21"/>
      <c r="E364" s="21"/>
      <c r="F364" s="21"/>
      <c r="G364" s="21"/>
      <c r="H364" s="21"/>
      <c r="I364" s="21"/>
      <c r="J364" s="21"/>
      <c r="K364" s="21"/>
      <c r="L364" s="21"/>
    </row>
    <row r="365" spans="2:12" s="720" customFormat="1" ht="15" x14ac:dyDescent="0.25">
      <c r="B365" s="481"/>
      <c r="C365" s="326" t="s">
        <v>392</v>
      </c>
      <c r="D365" s="327">
        <v>15</v>
      </c>
      <c r="E365" s="328" t="s">
        <v>12</v>
      </c>
      <c r="F365" s="21"/>
      <c r="G365" s="21"/>
      <c r="H365" s="21"/>
      <c r="I365" s="21"/>
      <c r="J365" s="21"/>
      <c r="K365" s="21"/>
      <c r="L365" s="21"/>
    </row>
    <row r="366" spans="2:12" s="720" customFormat="1" x14ac:dyDescent="0.2">
      <c r="B366" s="481"/>
      <c r="C366" s="21"/>
      <c r="D366" s="21"/>
      <c r="E366" s="21"/>
      <c r="F366" s="21"/>
      <c r="G366" s="21"/>
      <c r="H366" s="21"/>
      <c r="I366" s="21"/>
      <c r="J366" s="21"/>
      <c r="K366" s="21"/>
      <c r="L366" s="21"/>
    </row>
    <row r="367" spans="2:12" s="720" customFormat="1" x14ac:dyDescent="0.2">
      <c r="B367" s="245" t="str">
        <f>ORÇ!A264</f>
        <v>12.6.13</v>
      </c>
      <c r="C367" s="234" t="str">
        <f>ORÇ!D264</f>
        <v>ELETRODUTO DE F°G° DE 3"</v>
      </c>
      <c r="D367" s="21"/>
      <c r="E367" s="21"/>
      <c r="F367" s="21"/>
      <c r="G367" s="21"/>
      <c r="H367" s="21"/>
      <c r="I367" s="21"/>
      <c r="J367" s="21"/>
      <c r="K367" s="21"/>
      <c r="L367" s="21"/>
    </row>
    <row r="368" spans="2:12" s="720" customFormat="1" x14ac:dyDescent="0.2">
      <c r="B368" s="481"/>
      <c r="C368" s="21"/>
      <c r="D368" s="21"/>
      <c r="E368" s="21"/>
      <c r="F368" s="21"/>
      <c r="G368" s="21"/>
      <c r="H368" s="21"/>
      <c r="I368" s="21"/>
      <c r="J368" s="21"/>
      <c r="K368" s="21"/>
      <c r="L368" s="21"/>
    </row>
    <row r="369" spans="2:12" s="720" customFormat="1" ht="15" x14ac:dyDescent="0.25">
      <c r="B369" s="481"/>
      <c r="C369" s="326" t="s">
        <v>392</v>
      </c>
      <c r="D369" s="327">
        <v>3</v>
      </c>
      <c r="E369" s="328" t="s">
        <v>12</v>
      </c>
      <c r="F369" s="21"/>
      <c r="G369" s="21"/>
      <c r="H369" s="21"/>
      <c r="I369" s="21"/>
      <c r="J369" s="21"/>
      <c r="K369" s="21"/>
      <c r="L369" s="21"/>
    </row>
    <row r="370" spans="2:12" s="720" customFormat="1" x14ac:dyDescent="0.2">
      <c r="B370" s="481"/>
      <c r="C370" s="21"/>
      <c r="D370" s="21"/>
      <c r="E370" s="21"/>
      <c r="F370" s="21"/>
      <c r="G370" s="21"/>
      <c r="H370" s="21"/>
      <c r="I370" s="21"/>
      <c r="J370" s="21"/>
      <c r="K370" s="21"/>
      <c r="L370" s="21"/>
    </row>
    <row r="371" spans="2:12" s="720" customFormat="1" x14ac:dyDescent="0.2">
      <c r="B371" s="245" t="str">
        <f>ORÇ!A265</f>
        <v>12.6.14</v>
      </c>
      <c r="C371" s="234" t="str">
        <f>ORÇ!D265</f>
        <v>ELETRODUTO PVC RÍGIDO DE 3"</v>
      </c>
      <c r="D371" s="21"/>
      <c r="E371" s="21"/>
      <c r="F371" s="21"/>
      <c r="G371" s="21"/>
      <c r="H371" s="21"/>
      <c r="I371" s="21"/>
      <c r="J371" s="21"/>
      <c r="K371" s="21"/>
      <c r="L371" s="21"/>
    </row>
    <row r="372" spans="2:12" s="720" customFormat="1" x14ac:dyDescent="0.2">
      <c r="B372" s="481"/>
      <c r="C372" s="21"/>
      <c r="D372" s="21"/>
      <c r="E372" s="21"/>
      <c r="F372" s="21"/>
      <c r="G372" s="21"/>
      <c r="H372" s="21"/>
      <c r="I372" s="21"/>
      <c r="J372" s="21"/>
      <c r="K372" s="21"/>
      <c r="L372" s="21"/>
    </row>
    <row r="373" spans="2:12" s="720" customFormat="1" ht="15" x14ac:dyDescent="0.25">
      <c r="B373" s="481"/>
      <c r="C373" s="326" t="s">
        <v>392</v>
      </c>
      <c r="D373" s="327">
        <v>45</v>
      </c>
      <c r="E373" s="328" t="s">
        <v>12</v>
      </c>
      <c r="F373" s="21"/>
      <c r="G373" s="21"/>
      <c r="H373" s="21"/>
      <c r="I373" s="21"/>
      <c r="J373" s="21"/>
      <c r="K373" s="21"/>
      <c r="L373" s="21"/>
    </row>
    <row r="374" spans="2:12" s="720" customFormat="1" x14ac:dyDescent="0.2">
      <c r="B374" s="481"/>
      <c r="C374" s="21"/>
      <c r="D374" s="21"/>
      <c r="E374" s="21"/>
      <c r="F374" s="21"/>
      <c r="G374" s="21"/>
      <c r="H374" s="21"/>
      <c r="I374" s="21"/>
      <c r="J374" s="21"/>
      <c r="K374" s="21"/>
      <c r="L374" s="21"/>
    </row>
    <row r="375" spans="2:12" s="720" customFormat="1" x14ac:dyDescent="0.2">
      <c r="B375" s="245" t="str">
        <f>ORÇ!A266</f>
        <v>12.6.15</v>
      </c>
      <c r="C375" s="1671" t="str">
        <f>ORÇ!D266</f>
        <v>ELETRODUTO PVC RÍGIDO DE 2"</v>
      </c>
      <c r="D375" s="1671"/>
      <c r="E375" s="1671"/>
      <c r="F375" s="1671"/>
      <c r="G375" s="1671"/>
      <c r="H375" s="1671"/>
      <c r="I375" s="1671"/>
      <c r="J375" s="21"/>
      <c r="K375" s="21"/>
      <c r="L375" s="21"/>
    </row>
    <row r="376" spans="2:12" s="720" customFormat="1" x14ac:dyDescent="0.2">
      <c r="B376" s="481"/>
      <c r="C376" s="21"/>
      <c r="D376" s="21"/>
      <c r="E376" s="21"/>
      <c r="F376" s="21"/>
      <c r="G376" s="21"/>
      <c r="H376" s="21"/>
      <c r="I376" s="21"/>
      <c r="J376" s="21"/>
      <c r="K376" s="21"/>
      <c r="L376" s="21"/>
    </row>
    <row r="377" spans="2:12" s="720" customFormat="1" ht="15" x14ac:dyDescent="0.25">
      <c r="B377" s="481"/>
      <c r="C377" s="326" t="s">
        <v>392</v>
      </c>
      <c r="D377" s="327">
        <v>3</v>
      </c>
      <c r="E377" s="328" t="s">
        <v>12</v>
      </c>
      <c r="F377" s="21"/>
      <c r="G377" s="21"/>
      <c r="H377" s="21"/>
      <c r="I377" s="21"/>
      <c r="J377" s="21"/>
      <c r="K377" s="21"/>
      <c r="L377" s="21"/>
    </row>
    <row r="378" spans="2:12" s="720" customFormat="1" x14ac:dyDescent="0.2">
      <c r="B378" s="481"/>
      <c r="C378" s="21"/>
      <c r="D378" s="21"/>
      <c r="E378" s="21"/>
      <c r="F378" s="21"/>
      <c r="G378" s="21"/>
      <c r="H378" s="21"/>
      <c r="I378" s="21"/>
      <c r="J378" s="21"/>
      <c r="K378" s="21"/>
      <c r="L378" s="21"/>
    </row>
    <row r="379" spans="2:12" s="1128" customFormat="1" ht="18" customHeight="1" x14ac:dyDescent="0.2">
      <c r="B379" s="884" t="str">
        <f>ORÇ!A267</f>
        <v>12.6.16</v>
      </c>
      <c r="C379" s="1842" t="str">
        <f>ORÇ!D267</f>
        <v>ELETRODUTO PVC RÍGIDO DE 1"</v>
      </c>
      <c r="D379" s="1842"/>
      <c r="E379" s="1842"/>
      <c r="F379" s="1842"/>
      <c r="G379" s="1842"/>
      <c r="H379" s="1842"/>
      <c r="I379" s="1842"/>
      <c r="J379" s="140"/>
      <c r="K379" s="140"/>
      <c r="L379" s="140"/>
    </row>
    <row r="380" spans="2:12" s="720" customFormat="1" x14ac:dyDescent="0.2">
      <c r="B380" s="481"/>
      <c r="C380" s="21"/>
      <c r="D380" s="21"/>
      <c r="E380" s="21"/>
      <c r="F380" s="21"/>
      <c r="G380" s="21"/>
      <c r="H380" s="21"/>
      <c r="I380" s="21"/>
      <c r="J380" s="21"/>
      <c r="K380" s="21"/>
      <c r="L380" s="21"/>
    </row>
    <row r="381" spans="2:12" s="720" customFormat="1" ht="15" x14ac:dyDescent="0.25">
      <c r="B381" s="481"/>
      <c r="C381" s="326" t="s">
        <v>392</v>
      </c>
      <c r="D381" s="327">
        <f>3*12</f>
        <v>36</v>
      </c>
      <c r="E381" s="328" t="s">
        <v>12</v>
      </c>
      <c r="F381" s="21"/>
      <c r="G381" s="21"/>
      <c r="H381" s="21"/>
      <c r="I381" s="21"/>
      <c r="J381" s="21"/>
      <c r="K381" s="21"/>
      <c r="L381" s="21"/>
    </row>
    <row r="382" spans="2:12" s="720" customFormat="1" x14ac:dyDescent="0.2">
      <c r="B382" s="481"/>
      <c r="C382" s="21"/>
      <c r="D382" s="21"/>
      <c r="E382" s="21"/>
      <c r="F382" s="21"/>
      <c r="G382" s="21"/>
      <c r="H382" s="21"/>
      <c r="I382" s="21"/>
      <c r="J382" s="21"/>
      <c r="K382" s="21"/>
      <c r="L382" s="21"/>
    </row>
    <row r="383" spans="2:12" s="720" customFormat="1" x14ac:dyDescent="0.2">
      <c r="B383" s="245" t="str">
        <f>ORÇ!A268</f>
        <v>12.6.17</v>
      </c>
      <c r="C383" s="1671" t="str">
        <f>ORÇ!D268</f>
        <v>ELETRODUTO PVC RÍGIDO DE 3/4"</v>
      </c>
      <c r="D383" s="1671"/>
      <c r="E383" s="1671"/>
      <c r="F383" s="1671"/>
      <c r="G383" s="1671"/>
      <c r="H383" s="1671"/>
      <c r="I383" s="1671"/>
      <c r="J383" s="21"/>
      <c r="K383" s="21"/>
      <c r="L383" s="21"/>
    </row>
    <row r="384" spans="2:12" s="720" customFormat="1" x14ac:dyDescent="0.2">
      <c r="B384" s="481"/>
      <c r="C384" s="21"/>
      <c r="D384" s="21"/>
      <c r="E384" s="21"/>
      <c r="F384" s="21"/>
      <c r="G384" s="21"/>
      <c r="H384" s="21"/>
      <c r="I384" s="21"/>
      <c r="J384" s="21"/>
      <c r="K384" s="21"/>
      <c r="L384" s="21"/>
    </row>
    <row r="385" spans="2:12" s="720" customFormat="1" ht="15" x14ac:dyDescent="0.25">
      <c r="B385" s="481"/>
      <c r="C385" s="326" t="s">
        <v>392</v>
      </c>
      <c r="D385" s="327">
        <f>3*60</f>
        <v>180</v>
      </c>
      <c r="E385" s="328" t="s">
        <v>12</v>
      </c>
      <c r="F385" s="21"/>
      <c r="G385" s="21"/>
      <c r="H385" s="21"/>
      <c r="I385" s="21"/>
      <c r="J385" s="21"/>
      <c r="K385" s="21"/>
      <c r="L385" s="21"/>
    </row>
    <row r="386" spans="2:12" s="720" customFormat="1" x14ac:dyDescent="0.2">
      <c r="B386" s="481"/>
      <c r="C386" s="21"/>
      <c r="D386" s="21"/>
      <c r="E386" s="21"/>
      <c r="F386" s="21"/>
      <c r="G386" s="21"/>
      <c r="H386" s="21"/>
      <c r="I386" s="21"/>
      <c r="J386" s="21"/>
      <c r="K386" s="21"/>
      <c r="L386" s="21"/>
    </row>
    <row r="387" spans="2:12" s="1128" customFormat="1" ht="27.75" customHeight="1" x14ac:dyDescent="0.2">
      <c r="B387" s="884" t="str">
        <f>ORÇ!A269</f>
        <v>12.6.18</v>
      </c>
      <c r="C387" s="1730" t="str">
        <f>ORÇ!D269</f>
        <v>CABECOTE PARA ENTRADA DE LINHA DE ALIMENTACAO PARA ELETRODUTO, EM LIGA DE ALUMINIO COM ACABAMENTO ANTI CORROSIVO, COM FIXACAO POR ENCAIXE LISO DE 360 GRAUS, DE 3". FORNECIMENTO E INSTALAÇÃO.</v>
      </c>
      <c r="D387" s="1730"/>
      <c r="E387" s="1730"/>
      <c r="F387" s="1730"/>
      <c r="G387" s="1730"/>
      <c r="H387" s="1730"/>
      <c r="I387" s="1730"/>
      <c r="J387" s="140"/>
      <c r="K387" s="140"/>
      <c r="L387" s="140"/>
    </row>
    <row r="388" spans="2:12" s="720" customFormat="1" x14ac:dyDescent="0.2">
      <c r="B388" s="481"/>
      <c r="C388" s="21"/>
      <c r="D388" s="21"/>
      <c r="E388" s="21"/>
      <c r="F388" s="21"/>
      <c r="G388" s="21"/>
      <c r="H388" s="21"/>
      <c r="I388" s="21"/>
      <c r="J388" s="21"/>
      <c r="K388" s="21"/>
      <c r="L388" s="21"/>
    </row>
    <row r="389" spans="2:12" s="720" customFormat="1" ht="15" x14ac:dyDescent="0.25">
      <c r="B389" s="481"/>
      <c r="C389" s="326" t="s">
        <v>392</v>
      </c>
      <c r="D389" s="327">
        <v>1</v>
      </c>
      <c r="E389" s="328" t="s">
        <v>834</v>
      </c>
      <c r="F389" s="21"/>
      <c r="G389" s="21"/>
      <c r="H389" s="21"/>
      <c r="I389" s="21"/>
      <c r="J389" s="21"/>
      <c r="K389" s="21"/>
      <c r="L389" s="21"/>
    </row>
    <row r="390" spans="2:12" s="720" customFormat="1" x14ac:dyDescent="0.2">
      <c r="B390" s="481"/>
      <c r="C390" s="21"/>
      <c r="D390" s="21"/>
      <c r="E390" s="21"/>
      <c r="F390" s="21"/>
      <c r="G390" s="21"/>
      <c r="H390" s="21"/>
      <c r="I390" s="21"/>
      <c r="J390" s="21"/>
      <c r="K390" s="21"/>
      <c r="L390" s="21"/>
    </row>
    <row r="391" spans="2:12" s="720" customFormat="1" x14ac:dyDescent="0.2">
      <c r="B391" s="245" t="str">
        <f>ORÇ!A270</f>
        <v>12.6.19</v>
      </c>
      <c r="C391" s="1671" t="str">
        <f>ORÇ!D270</f>
        <v>CURVA 90° P/ ELET. F°G° 3" (IE)</v>
      </c>
      <c r="D391" s="1671"/>
      <c r="E391" s="1671"/>
      <c r="F391" s="1671"/>
      <c r="G391" s="1671"/>
      <c r="H391" s="1671"/>
      <c r="I391" s="1671"/>
      <c r="J391" s="21"/>
      <c r="K391" s="21"/>
      <c r="L391" s="21"/>
    </row>
    <row r="392" spans="2:12" s="720" customFormat="1" x14ac:dyDescent="0.2">
      <c r="B392" s="481"/>
      <c r="C392" s="21"/>
      <c r="D392" s="21"/>
      <c r="E392" s="21"/>
      <c r="F392" s="21"/>
      <c r="G392" s="21"/>
      <c r="H392" s="21"/>
      <c r="I392" s="21"/>
      <c r="J392" s="21"/>
      <c r="K392" s="21"/>
      <c r="L392" s="21"/>
    </row>
    <row r="393" spans="2:12" s="720" customFormat="1" ht="15" x14ac:dyDescent="0.25">
      <c r="B393" s="481"/>
      <c r="C393" s="326" t="s">
        <v>392</v>
      </c>
      <c r="D393" s="327">
        <v>1</v>
      </c>
      <c r="E393" s="328" t="s">
        <v>834</v>
      </c>
      <c r="F393" s="21"/>
      <c r="G393" s="21"/>
      <c r="H393" s="21"/>
      <c r="I393" s="21"/>
      <c r="J393" s="21"/>
      <c r="K393" s="21"/>
      <c r="L393" s="21"/>
    </row>
    <row r="394" spans="2:12" s="720" customFormat="1" x14ac:dyDescent="0.2">
      <c r="B394" s="481"/>
      <c r="C394" s="21"/>
      <c r="D394" s="21"/>
      <c r="E394" s="21"/>
      <c r="F394" s="21"/>
      <c r="G394" s="21"/>
      <c r="H394" s="21"/>
      <c r="I394" s="21"/>
      <c r="J394" s="21"/>
      <c r="K394" s="21"/>
      <c r="L394" s="21"/>
    </row>
    <row r="395" spans="2:12" s="720" customFormat="1" x14ac:dyDescent="0.2">
      <c r="B395" s="245" t="str">
        <f>ORÇ!A271</f>
        <v>12.6.20</v>
      </c>
      <c r="C395" s="1671" t="str">
        <f>ORÇ!D271</f>
        <v>CURVA 90° P/ ELET. PVC 3" (IE)</v>
      </c>
      <c r="D395" s="1671"/>
      <c r="E395" s="1671"/>
      <c r="F395" s="1671"/>
      <c r="G395" s="1671"/>
      <c r="H395" s="1671"/>
      <c r="I395" s="1671"/>
      <c r="J395" s="21"/>
      <c r="K395" s="21"/>
      <c r="L395" s="21"/>
    </row>
    <row r="396" spans="2:12" s="720" customFormat="1" x14ac:dyDescent="0.2">
      <c r="B396" s="481"/>
      <c r="C396" s="21"/>
      <c r="D396" s="21"/>
      <c r="E396" s="21"/>
      <c r="F396" s="21"/>
      <c r="G396" s="21"/>
      <c r="H396" s="21"/>
      <c r="I396" s="21"/>
      <c r="J396" s="21"/>
      <c r="K396" s="21"/>
      <c r="L396" s="21"/>
    </row>
    <row r="397" spans="2:12" s="720" customFormat="1" ht="15" x14ac:dyDescent="0.25">
      <c r="B397" s="481"/>
      <c r="C397" s="326" t="s">
        <v>392</v>
      </c>
      <c r="D397" s="327">
        <v>2</v>
      </c>
      <c r="E397" s="328" t="s">
        <v>668</v>
      </c>
      <c r="F397" s="21"/>
      <c r="G397" s="21"/>
      <c r="H397" s="21"/>
      <c r="I397" s="21"/>
      <c r="J397" s="21"/>
      <c r="K397" s="21"/>
      <c r="L397" s="21"/>
    </row>
    <row r="398" spans="2:12" s="720" customFormat="1" x14ac:dyDescent="0.2">
      <c r="B398" s="481"/>
      <c r="C398" s="21"/>
      <c r="D398" s="21"/>
      <c r="E398" s="21"/>
      <c r="F398" s="21"/>
      <c r="G398" s="21"/>
      <c r="H398" s="21"/>
      <c r="I398" s="21"/>
      <c r="J398" s="21"/>
      <c r="K398" s="21"/>
      <c r="L398" s="21"/>
    </row>
    <row r="399" spans="2:12" s="720" customFormat="1" x14ac:dyDescent="0.2">
      <c r="B399" s="245" t="str">
        <f>ORÇ!A272</f>
        <v>12.6.21</v>
      </c>
      <c r="C399" s="1671" t="str">
        <f>ORÇ!D272</f>
        <v>CURVA 90° P/ ELET. PVC 2" (IE)</v>
      </c>
      <c r="D399" s="1671"/>
      <c r="E399" s="1671"/>
      <c r="F399" s="1671"/>
      <c r="G399" s="1671"/>
      <c r="H399" s="1671"/>
      <c r="I399" s="1671"/>
      <c r="J399" s="21"/>
      <c r="K399" s="21"/>
      <c r="L399" s="21"/>
    </row>
    <row r="400" spans="2:12" s="720" customFormat="1" x14ac:dyDescent="0.2">
      <c r="B400" s="481"/>
      <c r="C400" s="21"/>
      <c r="D400" s="21"/>
      <c r="E400" s="21"/>
      <c r="F400" s="21"/>
      <c r="G400" s="21"/>
      <c r="H400" s="21"/>
      <c r="I400" s="21"/>
      <c r="J400" s="21"/>
      <c r="K400" s="21"/>
      <c r="L400" s="21"/>
    </row>
    <row r="401" spans="2:12" s="720" customFormat="1" ht="15" x14ac:dyDescent="0.25">
      <c r="B401" s="481"/>
      <c r="C401" s="326" t="s">
        <v>392</v>
      </c>
      <c r="D401" s="327">
        <v>1</v>
      </c>
      <c r="E401" s="328" t="s">
        <v>834</v>
      </c>
      <c r="F401" s="21"/>
      <c r="G401" s="21"/>
      <c r="H401" s="21"/>
      <c r="I401" s="21"/>
      <c r="J401" s="21"/>
      <c r="K401" s="21"/>
      <c r="L401" s="21"/>
    </row>
    <row r="402" spans="2:12" s="720" customFormat="1" x14ac:dyDescent="0.2">
      <c r="B402" s="481"/>
      <c r="C402" s="21"/>
      <c r="D402" s="21"/>
      <c r="E402" s="21"/>
      <c r="F402" s="21"/>
      <c r="G402" s="21"/>
      <c r="H402" s="21"/>
      <c r="I402" s="21"/>
      <c r="J402" s="21"/>
      <c r="K402" s="21"/>
      <c r="L402" s="21"/>
    </row>
    <row r="403" spans="2:12" s="720" customFormat="1" x14ac:dyDescent="0.2">
      <c r="B403" s="245" t="str">
        <f>ORÇ!A273</f>
        <v>12.6.22</v>
      </c>
      <c r="C403" s="1671" t="str">
        <f>ORÇ!D273</f>
        <v>CURVA 90º P/ ELET. PVC 1" (IE)</v>
      </c>
      <c r="D403" s="1671"/>
      <c r="E403" s="1671"/>
      <c r="F403" s="1671"/>
      <c r="G403" s="1671"/>
      <c r="H403" s="1671"/>
      <c r="I403" s="1671"/>
      <c r="J403" s="21"/>
      <c r="K403" s="21"/>
      <c r="L403" s="21"/>
    </row>
    <row r="404" spans="2:12" s="720" customFormat="1" x14ac:dyDescent="0.2">
      <c r="B404" s="481"/>
      <c r="C404" s="21"/>
      <c r="D404" s="21"/>
      <c r="E404" s="21"/>
      <c r="F404" s="21"/>
      <c r="G404" s="21"/>
      <c r="H404" s="21"/>
      <c r="I404" s="21"/>
      <c r="J404" s="21"/>
      <c r="K404" s="21"/>
      <c r="L404" s="21"/>
    </row>
    <row r="405" spans="2:12" s="720" customFormat="1" ht="15" x14ac:dyDescent="0.25">
      <c r="B405" s="481"/>
      <c r="C405" s="326" t="s">
        <v>392</v>
      </c>
      <c r="D405" s="327">
        <v>4</v>
      </c>
      <c r="E405" s="328" t="s">
        <v>668</v>
      </c>
      <c r="F405" s="21"/>
      <c r="G405" s="21"/>
      <c r="H405" s="21"/>
      <c r="I405" s="21"/>
      <c r="J405" s="21"/>
      <c r="K405" s="21"/>
      <c r="L405" s="21"/>
    </row>
    <row r="406" spans="2:12" s="720" customFormat="1" x14ac:dyDescent="0.2">
      <c r="B406" s="481"/>
      <c r="C406" s="21"/>
      <c r="D406" s="21"/>
      <c r="E406" s="21"/>
      <c r="F406" s="21"/>
      <c r="G406" s="21"/>
      <c r="H406" s="21"/>
      <c r="I406" s="21"/>
      <c r="J406" s="21"/>
      <c r="K406" s="21"/>
      <c r="L406" s="21"/>
    </row>
    <row r="407" spans="2:12" s="720" customFormat="1" x14ac:dyDescent="0.2">
      <c r="B407" s="245" t="str">
        <f>ORÇ!A274</f>
        <v>12.6.23</v>
      </c>
      <c r="C407" s="1671" t="str">
        <f>ORÇ!D274</f>
        <v>CURVA 90º P/ ELET PVC 3/4" (IE)</v>
      </c>
      <c r="D407" s="1671"/>
      <c r="E407" s="1671"/>
      <c r="F407" s="1671"/>
      <c r="G407" s="1671"/>
      <c r="H407" s="1671"/>
      <c r="I407" s="1671"/>
      <c r="J407" s="21"/>
      <c r="K407" s="21"/>
      <c r="L407" s="21"/>
    </row>
    <row r="408" spans="2:12" s="720" customFormat="1" x14ac:dyDescent="0.2">
      <c r="B408" s="481"/>
      <c r="C408" s="21"/>
      <c r="D408" s="21"/>
      <c r="E408" s="21"/>
      <c r="F408" s="21"/>
      <c r="G408" s="21"/>
      <c r="H408" s="21"/>
      <c r="I408" s="21"/>
      <c r="J408" s="21"/>
      <c r="K408" s="21"/>
      <c r="L408" s="21"/>
    </row>
    <row r="409" spans="2:12" s="720" customFormat="1" ht="15" x14ac:dyDescent="0.25">
      <c r="B409" s="481"/>
      <c r="C409" s="326" t="s">
        <v>392</v>
      </c>
      <c r="D409" s="327">
        <v>40</v>
      </c>
      <c r="E409" s="328" t="s">
        <v>668</v>
      </c>
      <c r="F409" s="21"/>
      <c r="G409" s="21"/>
      <c r="H409" s="21"/>
      <c r="I409" s="21"/>
      <c r="J409" s="21"/>
      <c r="K409" s="21"/>
      <c r="L409" s="21"/>
    </row>
    <row r="410" spans="2:12" s="720" customFormat="1" x14ac:dyDescent="0.2">
      <c r="B410" s="481"/>
      <c r="C410" s="21"/>
      <c r="D410" s="21"/>
      <c r="E410" s="21"/>
      <c r="F410" s="21"/>
      <c r="G410" s="21"/>
      <c r="H410" s="21"/>
      <c r="I410" s="21"/>
      <c r="J410" s="21"/>
      <c r="K410" s="21"/>
      <c r="L410" s="21"/>
    </row>
    <row r="411" spans="2:12" s="720" customFormat="1" x14ac:dyDescent="0.2">
      <c r="B411" s="245" t="str">
        <f>ORÇ!A275</f>
        <v>12.6.24</v>
      </c>
      <c r="C411" s="1671" t="str">
        <f>ORÇ!D275</f>
        <v>LUVA P/ ELET. Fº Gº DE 3" (IE)</v>
      </c>
      <c r="D411" s="1671"/>
      <c r="E411" s="1671"/>
      <c r="F411" s="1671"/>
      <c r="G411" s="1671"/>
      <c r="H411" s="1671"/>
      <c r="I411" s="1671"/>
      <c r="J411" s="21"/>
      <c r="K411" s="21"/>
      <c r="L411" s="21"/>
    </row>
    <row r="412" spans="2:12" s="720" customFormat="1" x14ac:dyDescent="0.2">
      <c r="B412" s="481"/>
      <c r="C412" s="21"/>
      <c r="D412" s="21"/>
      <c r="E412" s="21"/>
      <c r="F412" s="21"/>
      <c r="G412" s="21"/>
      <c r="H412" s="21"/>
      <c r="I412" s="21"/>
      <c r="J412" s="21"/>
      <c r="K412" s="21"/>
      <c r="L412" s="21"/>
    </row>
    <row r="413" spans="2:12" s="720" customFormat="1" ht="15" x14ac:dyDescent="0.25">
      <c r="B413" s="481"/>
      <c r="C413" s="326" t="s">
        <v>392</v>
      </c>
      <c r="D413" s="327">
        <v>2</v>
      </c>
      <c r="E413" s="328" t="s">
        <v>668</v>
      </c>
      <c r="F413" s="21"/>
      <c r="G413" s="21"/>
      <c r="H413" s="21"/>
      <c r="I413" s="21"/>
      <c r="J413" s="21"/>
      <c r="K413" s="21"/>
      <c r="L413" s="21"/>
    </row>
    <row r="414" spans="2:12" s="720" customFormat="1" x14ac:dyDescent="0.2">
      <c r="B414" s="481"/>
      <c r="C414" s="21"/>
      <c r="D414" s="21"/>
      <c r="E414" s="21"/>
      <c r="F414" s="21"/>
      <c r="G414" s="21"/>
      <c r="H414" s="21"/>
      <c r="I414" s="21"/>
      <c r="J414" s="21"/>
      <c r="K414" s="21"/>
      <c r="L414" s="21"/>
    </row>
    <row r="415" spans="2:12" s="720" customFormat="1" x14ac:dyDescent="0.2">
      <c r="B415" s="245" t="str">
        <f>ORÇ!A276</f>
        <v>12.6.25</v>
      </c>
      <c r="C415" s="1671" t="str">
        <f>ORÇ!D276</f>
        <v>LUVA P/ ELET. PVC DE 3" (IE)</v>
      </c>
      <c r="D415" s="1671"/>
      <c r="E415" s="1671"/>
      <c r="F415" s="1671"/>
      <c r="G415" s="1671"/>
      <c r="H415" s="1671"/>
      <c r="I415" s="1671"/>
      <c r="J415" s="21"/>
      <c r="K415" s="21"/>
      <c r="L415" s="21"/>
    </row>
    <row r="416" spans="2:12" s="720" customFormat="1" x14ac:dyDescent="0.2">
      <c r="B416" s="481"/>
      <c r="C416" s="21"/>
      <c r="D416" s="21"/>
      <c r="E416" s="21"/>
      <c r="F416" s="21"/>
      <c r="G416" s="21"/>
      <c r="H416" s="21"/>
      <c r="I416" s="21"/>
      <c r="J416" s="21"/>
      <c r="K416" s="21"/>
      <c r="L416" s="21"/>
    </row>
    <row r="417" spans="2:12" s="720" customFormat="1" ht="15" x14ac:dyDescent="0.25">
      <c r="B417" s="481"/>
      <c r="C417" s="326" t="s">
        <v>392</v>
      </c>
      <c r="D417" s="327">
        <v>18</v>
      </c>
      <c r="E417" s="328" t="s">
        <v>668</v>
      </c>
      <c r="F417" s="21"/>
      <c r="G417" s="21"/>
      <c r="H417" s="21"/>
      <c r="I417" s="21"/>
      <c r="J417" s="21"/>
      <c r="K417" s="21"/>
      <c r="L417" s="21"/>
    </row>
    <row r="418" spans="2:12" s="720" customFormat="1" x14ac:dyDescent="0.2">
      <c r="B418" s="481"/>
      <c r="C418" s="21"/>
      <c r="D418" s="21"/>
      <c r="E418" s="21"/>
      <c r="F418" s="21"/>
      <c r="G418" s="21"/>
      <c r="H418" s="21"/>
      <c r="I418" s="21"/>
      <c r="J418" s="21"/>
      <c r="K418" s="21"/>
      <c r="L418" s="21"/>
    </row>
    <row r="419" spans="2:12" s="720" customFormat="1" x14ac:dyDescent="0.2">
      <c r="B419" s="245" t="str">
        <f>ORÇ!A277</f>
        <v>12.6.26</v>
      </c>
      <c r="C419" s="1671" t="str">
        <f>ORÇ!D277</f>
        <v>LUVA P/ ELET. PVC DE 2" (IE)</v>
      </c>
      <c r="D419" s="1671"/>
      <c r="E419" s="1671"/>
      <c r="F419" s="1671"/>
      <c r="G419" s="1671"/>
      <c r="H419" s="1671"/>
      <c r="I419" s="1671"/>
      <c r="J419" s="21"/>
      <c r="K419" s="21"/>
      <c r="L419" s="21"/>
    </row>
    <row r="420" spans="2:12" s="720" customFormat="1" x14ac:dyDescent="0.2">
      <c r="B420" s="481"/>
      <c r="C420" s="21"/>
      <c r="D420" s="21"/>
      <c r="E420" s="21"/>
      <c r="F420" s="21"/>
      <c r="G420" s="21"/>
      <c r="H420" s="21"/>
      <c r="I420" s="21"/>
      <c r="J420" s="21"/>
      <c r="K420" s="21"/>
      <c r="L420" s="21"/>
    </row>
    <row r="421" spans="2:12" s="720" customFormat="1" ht="15" x14ac:dyDescent="0.25">
      <c r="B421" s="481"/>
      <c r="C421" s="326" t="s">
        <v>392</v>
      </c>
      <c r="D421" s="327">
        <v>2</v>
      </c>
      <c r="E421" s="328" t="s">
        <v>668</v>
      </c>
      <c r="F421" s="21"/>
      <c r="G421" s="21"/>
      <c r="H421" s="21"/>
      <c r="I421" s="21"/>
      <c r="J421" s="21"/>
      <c r="K421" s="21"/>
      <c r="L421" s="21"/>
    </row>
    <row r="422" spans="2:12" s="720" customFormat="1" x14ac:dyDescent="0.2">
      <c r="B422" s="481"/>
      <c r="C422" s="21"/>
      <c r="D422" s="21"/>
      <c r="E422" s="21"/>
      <c r="F422" s="21"/>
      <c r="G422" s="21"/>
      <c r="H422" s="21"/>
      <c r="I422" s="21"/>
      <c r="J422" s="21"/>
      <c r="K422" s="21"/>
      <c r="L422" s="21"/>
    </row>
    <row r="423" spans="2:12" s="720" customFormat="1" x14ac:dyDescent="0.2">
      <c r="B423" s="245" t="str">
        <f>ORÇ!A278</f>
        <v>12.6.27</v>
      </c>
      <c r="C423" s="1671" t="str">
        <f>ORÇ!D278</f>
        <v>LUVA P/ ELET. PVC DE 1" (IE)</v>
      </c>
      <c r="D423" s="1671"/>
      <c r="E423" s="1671"/>
      <c r="F423" s="1671"/>
      <c r="G423" s="1671"/>
      <c r="H423" s="1671"/>
      <c r="I423" s="1671"/>
      <c r="J423" s="21"/>
      <c r="K423" s="21"/>
      <c r="L423" s="21"/>
    </row>
    <row r="424" spans="2:12" s="720" customFormat="1" x14ac:dyDescent="0.2">
      <c r="B424" s="481"/>
      <c r="C424" s="21"/>
      <c r="D424" s="21"/>
      <c r="E424" s="21"/>
      <c r="F424" s="21"/>
      <c r="G424" s="21"/>
      <c r="H424" s="21"/>
      <c r="I424" s="21"/>
      <c r="J424" s="21"/>
      <c r="K424" s="21"/>
      <c r="L424" s="21"/>
    </row>
    <row r="425" spans="2:12" s="720" customFormat="1" ht="15" x14ac:dyDescent="0.25">
      <c r="B425" s="481"/>
      <c r="C425" s="326" t="s">
        <v>392</v>
      </c>
      <c r="D425" s="327">
        <v>12</v>
      </c>
      <c r="E425" s="328" t="s">
        <v>668</v>
      </c>
      <c r="F425" s="21"/>
      <c r="G425" s="21"/>
      <c r="H425" s="21"/>
      <c r="I425" s="21"/>
      <c r="J425" s="21"/>
      <c r="K425" s="21"/>
      <c r="L425" s="21"/>
    </row>
    <row r="426" spans="2:12" s="720" customFormat="1" x14ac:dyDescent="0.2">
      <c r="B426" s="481"/>
      <c r="C426" s="21"/>
      <c r="D426" s="21"/>
      <c r="E426" s="21"/>
      <c r="F426" s="21"/>
      <c r="G426" s="21"/>
      <c r="H426" s="21"/>
      <c r="I426" s="21"/>
      <c r="J426" s="21"/>
      <c r="K426" s="21"/>
      <c r="L426" s="21"/>
    </row>
    <row r="427" spans="2:12" s="720" customFormat="1" x14ac:dyDescent="0.2">
      <c r="B427" s="245" t="str">
        <f>ORÇ!A279</f>
        <v>12.6.28</v>
      </c>
      <c r="C427" s="1671" t="str">
        <f>ORÇ!D279</f>
        <v>LUVA P/ ELET. PVC DE 3/4" (IE)</v>
      </c>
      <c r="D427" s="1671"/>
      <c r="E427" s="1671"/>
      <c r="F427" s="1671"/>
      <c r="G427" s="1671"/>
      <c r="H427" s="1671"/>
      <c r="I427" s="1671"/>
      <c r="J427" s="21"/>
      <c r="K427" s="21"/>
      <c r="L427" s="21"/>
    </row>
    <row r="428" spans="2:12" s="720" customFormat="1" x14ac:dyDescent="0.2">
      <c r="B428" s="481"/>
      <c r="C428" s="21"/>
      <c r="D428" s="21"/>
      <c r="E428" s="21"/>
      <c r="F428" s="21"/>
      <c r="G428" s="21"/>
      <c r="H428" s="21"/>
      <c r="I428" s="21"/>
      <c r="J428" s="21"/>
      <c r="K428" s="21"/>
      <c r="L428" s="21"/>
    </row>
    <row r="429" spans="2:12" s="720" customFormat="1" ht="15" x14ac:dyDescent="0.25">
      <c r="B429" s="481"/>
      <c r="C429" s="326" t="s">
        <v>392</v>
      </c>
      <c r="D429" s="327">
        <v>110</v>
      </c>
      <c r="E429" s="328" t="s">
        <v>668</v>
      </c>
      <c r="F429" s="21"/>
      <c r="G429" s="21"/>
      <c r="H429" s="21"/>
      <c r="I429" s="21"/>
      <c r="J429" s="21"/>
      <c r="K429" s="21"/>
      <c r="L429" s="21"/>
    </row>
    <row r="430" spans="2:12" s="720" customFormat="1" x14ac:dyDescent="0.2">
      <c r="B430" s="481"/>
      <c r="C430" s="21"/>
      <c r="D430" s="21"/>
      <c r="E430" s="21"/>
      <c r="F430" s="21"/>
      <c r="G430" s="21"/>
      <c r="H430" s="21"/>
      <c r="I430" s="21"/>
      <c r="J430" s="21"/>
      <c r="K430" s="21"/>
      <c r="L430" s="21"/>
    </row>
    <row r="431" spans="2:12" s="1128" customFormat="1" ht="15.75" customHeight="1" x14ac:dyDescent="0.2">
      <c r="B431" s="884" t="str">
        <f>ORÇ!A280</f>
        <v>12.6.29</v>
      </c>
      <c r="C431" s="1842" t="str">
        <f>ORÇ!D280</f>
        <v>ARAME GALVANIZADO P/ GUIA DE CABOS.</v>
      </c>
      <c r="D431" s="1842"/>
      <c r="E431" s="1842"/>
      <c r="F431" s="1842"/>
      <c r="G431" s="1842"/>
      <c r="H431" s="1842"/>
      <c r="I431" s="1842"/>
      <c r="J431" s="140"/>
      <c r="K431" s="140"/>
      <c r="L431" s="140"/>
    </row>
    <row r="432" spans="2:12" s="720" customFormat="1" x14ac:dyDescent="0.2">
      <c r="B432" s="481"/>
      <c r="C432" s="21"/>
      <c r="D432" s="21"/>
      <c r="E432" s="21"/>
      <c r="F432" s="21"/>
      <c r="G432" s="21"/>
      <c r="H432" s="21"/>
      <c r="I432" s="21"/>
      <c r="J432" s="21"/>
      <c r="K432" s="21"/>
      <c r="L432" s="21"/>
    </row>
    <row r="433" spans="2:12" s="720" customFormat="1" ht="15" x14ac:dyDescent="0.25">
      <c r="B433" s="481"/>
      <c r="C433" s="326" t="s">
        <v>392</v>
      </c>
      <c r="D433" s="327">
        <v>250</v>
      </c>
      <c r="E433" s="328" t="s">
        <v>12</v>
      </c>
      <c r="F433" s="21"/>
      <c r="G433" s="21"/>
      <c r="H433" s="21"/>
      <c r="I433" s="21"/>
      <c r="J433" s="21"/>
      <c r="K433" s="21"/>
      <c r="L433" s="21"/>
    </row>
    <row r="434" spans="2:12" s="720" customFormat="1" x14ac:dyDescent="0.2">
      <c r="B434" s="481"/>
      <c r="C434" s="21"/>
      <c r="D434" s="21"/>
      <c r="E434" s="21"/>
      <c r="F434" s="21"/>
      <c r="G434" s="21"/>
      <c r="H434" s="21"/>
      <c r="I434" s="21"/>
      <c r="J434" s="21"/>
      <c r="K434" s="21"/>
      <c r="L434" s="21"/>
    </row>
    <row r="435" spans="2:12" s="1128" customFormat="1" ht="17.25" customHeight="1" x14ac:dyDescent="0.2">
      <c r="B435" s="884" t="str">
        <f>ORÇ!A281</f>
        <v>12.6.30</v>
      </c>
      <c r="C435" s="1842" t="str">
        <f>ORÇ!D281</f>
        <v>CABO UTP PAR TRANÇADO 04P 24 AWG CAT 6E</v>
      </c>
      <c r="D435" s="1842"/>
      <c r="E435" s="1842"/>
      <c r="F435" s="1842"/>
      <c r="G435" s="1842"/>
      <c r="H435" s="1842"/>
      <c r="I435" s="1842"/>
      <c r="J435" s="140"/>
      <c r="K435" s="140"/>
      <c r="L435" s="140"/>
    </row>
    <row r="436" spans="2:12" s="720" customFormat="1" x14ac:dyDescent="0.2">
      <c r="B436" s="481"/>
      <c r="C436" s="21"/>
      <c r="D436" s="21"/>
      <c r="E436" s="21"/>
      <c r="F436" s="21"/>
      <c r="G436" s="21"/>
      <c r="H436" s="21"/>
      <c r="I436" s="21"/>
      <c r="J436" s="21"/>
      <c r="K436" s="21"/>
      <c r="L436" s="21"/>
    </row>
    <row r="437" spans="2:12" s="720" customFormat="1" ht="15" x14ac:dyDescent="0.25">
      <c r="B437" s="481"/>
      <c r="C437" s="326" t="s">
        <v>392</v>
      </c>
      <c r="D437" s="327">
        <v>750</v>
      </c>
      <c r="E437" s="328" t="s">
        <v>12</v>
      </c>
      <c r="F437" s="21"/>
      <c r="G437" s="21"/>
      <c r="H437" s="21"/>
      <c r="I437" s="21"/>
      <c r="J437" s="21"/>
      <c r="K437" s="21"/>
      <c r="L437" s="21"/>
    </row>
    <row r="438" spans="2:12" s="720" customFormat="1" x14ac:dyDescent="0.2">
      <c r="B438" s="481"/>
      <c r="C438" s="21"/>
      <c r="D438" s="21"/>
      <c r="E438" s="21"/>
      <c r="F438" s="21"/>
      <c r="G438" s="21"/>
      <c r="H438" s="21"/>
      <c r="I438" s="21"/>
      <c r="J438" s="21"/>
      <c r="K438" s="21"/>
      <c r="L438" s="21"/>
    </row>
    <row r="439" spans="2:12" s="1128" customFormat="1" ht="17.25" customHeight="1" x14ac:dyDescent="0.2">
      <c r="B439" s="884" t="str">
        <f>ORÇ!A282</f>
        <v>12.6.31</v>
      </c>
      <c r="C439" s="1842" t="str">
        <f>ORÇ!D282</f>
        <v>CABO TELEFÔNICO CCI 50X10P</v>
      </c>
      <c r="D439" s="1842"/>
      <c r="E439" s="1842"/>
      <c r="F439" s="1842"/>
      <c r="G439" s="1842"/>
      <c r="H439" s="1842"/>
      <c r="I439" s="1842"/>
      <c r="J439" s="140"/>
      <c r="K439" s="140"/>
      <c r="L439" s="140"/>
    </row>
    <row r="440" spans="2:12" s="720" customFormat="1" x14ac:dyDescent="0.2">
      <c r="B440" s="481"/>
      <c r="C440" s="21"/>
      <c r="D440" s="21"/>
      <c r="E440" s="21"/>
      <c r="F440" s="21"/>
      <c r="G440" s="21"/>
      <c r="H440" s="21"/>
      <c r="I440" s="21"/>
      <c r="J440" s="21"/>
      <c r="K440" s="21"/>
      <c r="L440" s="21"/>
    </row>
    <row r="441" spans="2:12" s="720" customFormat="1" ht="15" x14ac:dyDescent="0.25">
      <c r="B441" s="481"/>
      <c r="C441" s="326" t="s">
        <v>392</v>
      </c>
      <c r="D441" s="327">
        <v>30</v>
      </c>
      <c r="E441" s="328" t="s">
        <v>12</v>
      </c>
      <c r="F441" s="21"/>
      <c r="G441" s="21"/>
      <c r="H441" s="21"/>
      <c r="I441" s="21"/>
      <c r="J441" s="21"/>
      <c r="K441" s="21"/>
      <c r="L441" s="21"/>
    </row>
    <row r="442" spans="2:12" s="720" customFormat="1" x14ac:dyDescent="0.2">
      <c r="B442" s="481"/>
      <c r="C442" s="21"/>
      <c r="D442" s="21"/>
      <c r="E442" s="21"/>
      <c r="F442" s="21"/>
      <c r="G442" s="21"/>
      <c r="H442" s="21"/>
      <c r="I442" s="21"/>
      <c r="J442" s="21"/>
      <c r="K442" s="21"/>
      <c r="L442" s="21"/>
    </row>
    <row r="443" spans="2:12" s="1128" customFormat="1" ht="17.25" customHeight="1" x14ac:dyDescent="0.2">
      <c r="B443" s="884" t="str">
        <f>ORÇ!A283</f>
        <v>12.6.32</v>
      </c>
      <c r="C443" s="1842" t="str">
        <f>ORÇ!D283</f>
        <v>BLOCO BLI 10P P/ TELEFONIA. FORNECIMENTO E INSTALAÇÃO.</v>
      </c>
      <c r="D443" s="1842"/>
      <c r="E443" s="1842"/>
      <c r="F443" s="1842"/>
      <c r="G443" s="1842"/>
      <c r="H443" s="1842"/>
      <c r="I443" s="1842"/>
      <c r="J443" s="140"/>
      <c r="K443" s="140"/>
      <c r="L443" s="140"/>
    </row>
    <row r="444" spans="2:12" s="720" customFormat="1" x14ac:dyDescent="0.2">
      <c r="B444" s="481"/>
      <c r="C444" s="21"/>
      <c r="D444" s="21"/>
      <c r="E444" s="21"/>
      <c r="F444" s="21"/>
      <c r="G444" s="21"/>
      <c r="H444" s="21"/>
      <c r="I444" s="21"/>
      <c r="J444" s="21"/>
      <c r="K444" s="21"/>
      <c r="L444" s="21"/>
    </row>
    <row r="445" spans="2:12" s="720" customFormat="1" ht="15" x14ac:dyDescent="0.25">
      <c r="B445" s="481"/>
      <c r="C445" s="326" t="s">
        <v>392</v>
      </c>
      <c r="D445" s="327">
        <v>1</v>
      </c>
      <c r="E445" s="328" t="s">
        <v>834</v>
      </c>
      <c r="F445" s="21"/>
      <c r="G445" s="21"/>
      <c r="H445" s="21"/>
      <c r="I445" s="21"/>
      <c r="J445" s="21"/>
      <c r="K445" s="21"/>
      <c r="L445" s="21"/>
    </row>
    <row r="446" spans="2:12" s="720" customFormat="1" x14ac:dyDescent="0.2">
      <c r="B446" s="481"/>
      <c r="C446" s="21"/>
      <c r="D446" s="21"/>
      <c r="E446" s="21"/>
      <c r="F446" s="21"/>
      <c r="G446" s="21"/>
      <c r="H446" s="21"/>
      <c r="I446" s="21"/>
      <c r="J446" s="21"/>
      <c r="K446" s="21"/>
      <c r="L446" s="21"/>
    </row>
    <row r="447" spans="2:12" s="720" customFormat="1" x14ac:dyDescent="0.2">
      <c r="B447" s="245" t="str">
        <f>ORÇ!A284</f>
        <v>12.6.33</v>
      </c>
      <c r="C447" s="1671" t="str">
        <f>ORÇ!D284</f>
        <v>RACK 19" 05 U/A</v>
      </c>
      <c r="D447" s="1671"/>
      <c r="E447" s="1671"/>
      <c r="F447" s="1671"/>
      <c r="G447" s="1671"/>
      <c r="H447" s="1671"/>
      <c r="I447" s="1671"/>
      <c r="J447" s="21"/>
      <c r="K447" s="21"/>
      <c r="L447" s="21"/>
    </row>
    <row r="448" spans="2:12" s="720" customFormat="1" x14ac:dyDescent="0.2">
      <c r="B448" s="481"/>
      <c r="C448" s="21"/>
      <c r="D448" s="21"/>
      <c r="E448" s="21"/>
      <c r="F448" s="21"/>
      <c r="G448" s="21"/>
      <c r="H448" s="21"/>
      <c r="I448" s="21"/>
      <c r="J448" s="21"/>
      <c r="K448" s="21"/>
      <c r="L448" s="21"/>
    </row>
    <row r="449" spans="2:12" s="720" customFormat="1" ht="15" x14ac:dyDescent="0.25">
      <c r="B449" s="481"/>
      <c r="C449" s="326" t="s">
        <v>392</v>
      </c>
      <c r="D449" s="327">
        <v>1</v>
      </c>
      <c r="E449" s="328" t="s">
        <v>834</v>
      </c>
      <c r="F449" s="21"/>
      <c r="G449" s="21"/>
      <c r="H449" s="21"/>
      <c r="I449" s="21"/>
      <c r="J449" s="21"/>
      <c r="K449" s="21"/>
      <c r="L449" s="21"/>
    </row>
    <row r="450" spans="2:12" s="720" customFormat="1" x14ac:dyDescent="0.2">
      <c r="B450" s="481"/>
      <c r="C450" s="21"/>
      <c r="D450" s="21"/>
      <c r="E450" s="21"/>
      <c r="F450" s="21"/>
      <c r="G450" s="21"/>
      <c r="H450" s="21"/>
      <c r="I450" s="21"/>
      <c r="J450" s="21"/>
      <c r="K450" s="21"/>
      <c r="L450" s="21"/>
    </row>
    <row r="451" spans="2:12" s="1128" customFormat="1" ht="18.75" customHeight="1" x14ac:dyDescent="0.2">
      <c r="B451" s="884" t="str">
        <f>ORÇ!A285</f>
        <v>12.6.34</v>
      </c>
      <c r="C451" s="1842" t="str">
        <f>ORÇ!D285</f>
        <v>DISTRIBUIDOR INTERNO ÓPTICO (DIO). FORNECIMENTO E INSTALAÇÃO.</v>
      </c>
      <c r="D451" s="1842"/>
      <c r="E451" s="1842"/>
      <c r="F451" s="1842"/>
      <c r="G451" s="1842"/>
      <c r="H451" s="1842"/>
      <c r="I451" s="1842"/>
      <c r="J451" s="140"/>
      <c r="K451" s="140"/>
      <c r="L451" s="140"/>
    </row>
    <row r="452" spans="2:12" s="720" customFormat="1" x14ac:dyDescent="0.2">
      <c r="B452" s="481"/>
      <c r="C452" s="21"/>
      <c r="D452" s="21"/>
      <c r="E452" s="21"/>
      <c r="F452" s="21"/>
      <c r="G452" s="21"/>
      <c r="H452" s="21"/>
      <c r="I452" s="21"/>
      <c r="J452" s="21"/>
      <c r="K452" s="21"/>
      <c r="L452" s="21"/>
    </row>
    <row r="453" spans="2:12" s="720" customFormat="1" ht="15" x14ac:dyDescent="0.25">
      <c r="B453" s="481"/>
      <c r="C453" s="326" t="s">
        <v>392</v>
      </c>
      <c r="D453" s="327">
        <v>1</v>
      </c>
      <c r="E453" s="328" t="s">
        <v>834</v>
      </c>
      <c r="F453" s="21"/>
      <c r="G453" s="21"/>
      <c r="H453" s="21"/>
      <c r="I453" s="21"/>
      <c r="J453" s="21"/>
      <c r="K453" s="21"/>
      <c r="L453" s="21"/>
    </row>
    <row r="454" spans="2:12" s="720" customFormat="1" x14ac:dyDescent="0.2">
      <c r="B454" s="481"/>
      <c r="C454" s="21"/>
      <c r="D454" s="21"/>
      <c r="E454" s="21"/>
      <c r="F454" s="21"/>
      <c r="G454" s="21"/>
      <c r="H454" s="21"/>
      <c r="I454" s="21"/>
      <c r="J454" s="21"/>
      <c r="K454" s="21"/>
      <c r="L454" s="21"/>
    </row>
    <row r="455" spans="2:12" s="720" customFormat="1" x14ac:dyDescent="0.2">
      <c r="B455" s="245" t="str">
        <f>ORÇ!A286</f>
        <v>12.6.35</v>
      </c>
      <c r="C455" s="1671" t="str">
        <f>ORÇ!D286</f>
        <v>PATCH PANEL 24 PORTAS CAT 6E</v>
      </c>
      <c r="D455" s="1671"/>
      <c r="E455" s="1671"/>
      <c r="F455" s="1671"/>
      <c r="G455" s="1671"/>
      <c r="H455" s="1671"/>
      <c r="I455" s="1671"/>
      <c r="J455" s="21"/>
      <c r="K455" s="21"/>
      <c r="L455" s="21"/>
    </row>
    <row r="456" spans="2:12" s="720" customFormat="1" x14ac:dyDescent="0.2">
      <c r="B456" s="481"/>
      <c r="C456" s="21"/>
      <c r="D456" s="21"/>
      <c r="E456" s="21"/>
      <c r="F456" s="21"/>
      <c r="G456" s="21"/>
      <c r="H456" s="21"/>
      <c r="I456" s="21"/>
      <c r="J456" s="21"/>
      <c r="K456" s="21"/>
      <c r="L456" s="21"/>
    </row>
    <row r="457" spans="2:12" s="720" customFormat="1" ht="15" x14ac:dyDescent="0.25">
      <c r="B457" s="481"/>
      <c r="C457" s="326" t="s">
        <v>392</v>
      </c>
      <c r="D457" s="327">
        <v>2</v>
      </c>
      <c r="E457" s="328" t="s">
        <v>668</v>
      </c>
      <c r="F457" s="21"/>
      <c r="G457" s="21"/>
      <c r="H457" s="21"/>
      <c r="I457" s="21"/>
      <c r="J457" s="21"/>
      <c r="K457" s="21"/>
      <c r="L457" s="21"/>
    </row>
    <row r="458" spans="2:12" s="720" customFormat="1" x14ac:dyDescent="0.2">
      <c r="B458" s="481"/>
      <c r="C458" s="21"/>
      <c r="D458" s="21"/>
      <c r="E458" s="21"/>
      <c r="F458" s="21"/>
      <c r="G458" s="21"/>
      <c r="H458" s="21"/>
      <c r="I458" s="21"/>
      <c r="J458" s="21"/>
      <c r="K458" s="21"/>
      <c r="L458" s="21"/>
    </row>
    <row r="459" spans="2:12" s="1128" customFormat="1" ht="18" customHeight="1" x14ac:dyDescent="0.2">
      <c r="B459" s="884" t="str">
        <f>ORÇ!A287</f>
        <v>12.6.36</v>
      </c>
      <c r="C459" s="1842" t="str">
        <f>ORÇ!D287</f>
        <v>RÉGUA DE 05 TOMADAS</v>
      </c>
      <c r="D459" s="1842"/>
      <c r="E459" s="1842"/>
      <c r="F459" s="1842"/>
      <c r="G459" s="1842"/>
      <c r="H459" s="1842"/>
      <c r="I459" s="1842"/>
      <c r="J459" s="140"/>
      <c r="K459" s="140"/>
      <c r="L459" s="140"/>
    </row>
    <row r="460" spans="2:12" s="720" customFormat="1" x14ac:dyDescent="0.2">
      <c r="B460" s="481"/>
      <c r="C460" s="21"/>
      <c r="D460" s="21"/>
      <c r="E460" s="21"/>
      <c r="F460" s="21"/>
      <c r="G460" s="21"/>
      <c r="H460" s="21"/>
      <c r="I460" s="21"/>
      <c r="J460" s="21"/>
      <c r="K460" s="21"/>
      <c r="L460" s="21"/>
    </row>
    <row r="461" spans="2:12" s="720" customFormat="1" ht="15" x14ac:dyDescent="0.25">
      <c r="B461" s="481"/>
      <c r="C461" s="326" t="s">
        <v>392</v>
      </c>
      <c r="D461" s="327">
        <v>1</v>
      </c>
      <c r="E461" s="328" t="s">
        <v>834</v>
      </c>
      <c r="F461" s="21"/>
      <c r="G461" s="21"/>
      <c r="H461" s="21"/>
      <c r="I461" s="21"/>
      <c r="J461" s="21"/>
      <c r="K461" s="21"/>
      <c r="L461" s="21"/>
    </row>
    <row r="462" spans="2:12" s="720" customFormat="1" x14ac:dyDescent="0.2">
      <c r="B462" s="481"/>
      <c r="C462" s="21"/>
      <c r="D462" s="21"/>
      <c r="E462" s="21"/>
      <c r="F462" s="21"/>
      <c r="G462" s="21"/>
      <c r="H462" s="21"/>
      <c r="I462" s="21"/>
      <c r="J462" s="21"/>
      <c r="K462" s="21"/>
      <c r="L462" s="21"/>
    </row>
    <row r="463" spans="2:12" s="720" customFormat="1" x14ac:dyDescent="0.2">
      <c r="B463" s="245" t="str">
        <f>ORÇ!A288</f>
        <v>12.6.37</v>
      </c>
      <c r="C463" s="1671" t="str">
        <f>ORÇ!D288</f>
        <v>PATCH CABLE M8V CAT 6E 1,5M</v>
      </c>
      <c r="D463" s="1671"/>
      <c r="E463" s="1671"/>
      <c r="F463" s="1671"/>
      <c r="G463" s="1671"/>
      <c r="H463" s="1671"/>
      <c r="I463" s="1671"/>
      <c r="J463" s="21"/>
      <c r="K463" s="21"/>
      <c r="L463" s="21"/>
    </row>
    <row r="464" spans="2:12" s="720" customFormat="1" x14ac:dyDescent="0.2">
      <c r="B464" s="481"/>
      <c r="C464" s="21"/>
      <c r="D464" s="21"/>
      <c r="E464" s="21"/>
      <c r="F464" s="21"/>
      <c r="G464" s="21"/>
      <c r="H464" s="21"/>
      <c r="I464" s="21"/>
      <c r="J464" s="21"/>
      <c r="K464" s="21"/>
      <c r="L464" s="21"/>
    </row>
    <row r="465" spans="2:12" s="720" customFormat="1" ht="15" x14ac:dyDescent="0.25">
      <c r="B465" s="481"/>
      <c r="C465" s="326" t="s">
        <v>392</v>
      </c>
      <c r="D465" s="327">
        <v>64</v>
      </c>
      <c r="E465" s="328" t="s">
        <v>668</v>
      </c>
      <c r="F465" s="21"/>
      <c r="G465" s="21"/>
      <c r="H465" s="21"/>
      <c r="I465" s="21"/>
      <c r="J465" s="21"/>
      <c r="K465" s="21"/>
      <c r="L465" s="21"/>
    </row>
    <row r="466" spans="2:12" s="720" customFormat="1" x14ac:dyDescent="0.2">
      <c r="B466" s="481"/>
      <c r="C466" s="21"/>
      <c r="D466" s="21"/>
      <c r="E466" s="21"/>
      <c r="F466" s="21"/>
      <c r="G466" s="21"/>
      <c r="H466" s="21"/>
      <c r="I466" s="21"/>
      <c r="J466" s="21"/>
      <c r="K466" s="21"/>
      <c r="L466" s="21"/>
    </row>
    <row r="467" spans="2:12" s="720" customFormat="1" x14ac:dyDescent="0.2">
      <c r="B467" s="245" t="str">
        <f>ORÇ!A289</f>
        <v>12.6.38</v>
      </c>
      <c r="C467" s="1671" t="str">
        <f>ORÇ!D289</f>
        <v>ADAPT CABLE M8V CAT 6E 2,5M</v>
      </c>
      <c r="D467" s="1671"/>
      <c r="E467" s="1671"/>
      <c r="F467" s="1671"/>
      <c r="G467" s="1671"/>
      <c r="H467" s="1671"/>
      <c r="I467" s="1671"/>
      <c r="J467" s="21"/>
      <c r="K467" s="21"/>
      <c r="L467" s="21"/>
    </row>
    <row r="468" spans="2:12" s="720" customFormat="1" x14ac:dyDescent="0.2">
      <c r="B468" s="481"/>
      <c r="C468" s="21"/>
      <c r="D468" s="21"/>
      <c r="E468" s="21"/>
      <c r="F468" s="21"/>
      <c r="G468" s="21"/>
      <c r="H468" s="21"/>
      <c r="I468" s="21"/>
      <c r="J468" s="21"/>
      <c r="K468" s="21"/>
      <c r="L468" s="21"/>
    </row>
    <row r="469" spans="2:12" s="720" customFormat="1" ht="15" x14ac:dyDescent="0.25">
      <c r="B469" s="481"/>
      <c r="C469" s="326" t="s">
        <v>392</v>
      </c>
      <c r="D469" s="327">
        <v>32</v>
      </c>
      <c r="E469" s="328" t="s">
        <v>668</v>
      </c>
      <c r="F469" s="21"/>
      <c r="G469" s="21"/>
      <c r="H469" s="21"/>
      <c r="I469" s="21"/>
      <c r="J469" s="21"/>
      <c r="K469" s="21"/>
      <c r="L469" s="21"/>
    </row>
    <row r="470" spans="2:12" s="720" customFormat="1" x14ac:dyDescent="0.2">
      <c r="B470" s="481"/>
      <c r="C470" s="21"/>
      <c r="D470" s="21"/>
      <c r="E470" s="21"/>
      <c r="F470" s="21"/>
      <c r="G470" s="21"/>
      <c r="H470" s="21"/>
      <c r="I470" s="21"/>
      <c r="J470" s="21"/>
      <c r="K470" s="21"/>
      <c r="L470" s="21"/>
    </row>
    <row r="471" spans="2:12" s="720" customFormat="1" x14ac:dyDescent="0.2">
      <c r="B471" s="481"/>
      <c r="C471" s="21"/>
      <c r="D471" s="21"/>
      <c r="E471" s="21"/>
      <c r="F471" s="21"/>
      <c r="G471" s="21"/>
      <c r="H471" s="21"/>
      <c r="I471" s="21"/>
      <c r="J471" s="21"/>
      <c r="K471" s="21"/>
      <c r="L471" s="21"/>
    </row>
    <row r="472" spans="2:12" s="629" customFormat="1" ht="17.25" customHeight="1" x14ac:dyDescent="0.2">
      <c r="B472" s="1125" t="str">
        <f>ORÇ!A290</f>
        <v>12.7</v>
      </c>
      <c r="C472" s="861" t="str">
        <f>ORÇ!D290</f>
        <v>Instalações de SPDA</v>
      </c>
      <c r="D472" s="140"/>
      <c r="E472" s="140"/>
      <c r="F472" s="140"/>
      <c r="G472" s="140"/>
      <c r="H472" s="140"/>
      <c r="I472" s="140"/>
      <c r="J472" s="140"/>
      <c r="K472" s="140"/>
      <c r="L472" s="140"/>
    </row>
    <row r="473" spans="2:12" s="629" customFormat="1" ht="17.25" customHeight="1" x14ac:dyDescent="0.2">
      <c r="B473" s="884" t="str">
        <f>ORÇ!A291</f>
        <v>12.7.1</v>
      </c>
      <c r="C473" s="861" t="str">
        <f>ORÇ!D291</f>
        <v>CAPTOR TIPO FRANKLIN PARA SPDA - FORNECIMENTO E INSTALAÇÃO. AF_12/2017</v>
      </c>
      <c r="D473" s="140"/>
      <c r="E473" s="140"/>
      <c r="F473" s="140"/>
      <c r="G473" s="140"/>
      <c r="H473" s="140"/>
      <c r="I473" s="140"/>
      <c r="J473" s="140"/>
      <c r="K473" s="140"/>
      <c r="L473" s="140"/>
    </row>
    <row r="474" spans="2:12" s="266" customFormat="1" x14ac:dyDescent="0.2">
      <c r="B474" s="481"/>
      <c r="C474" s="21"/>
      <c r="D474" s="21"/>
      <c r="E474" s="21"/>
      <c r="F474" s="21"/>
      <c r="G474" s="21"/>
      <c r="H474" s="21"/>
      <c r="I474" s="21"/>
      <c r="J474" s="21"/>
      <c r="K474" s="21"/>
      <c r="L474" s="21"/>
    </row>
    <row r="475" spans="2:12" s="266" customFormat="1" ht="15" x14ac:dyDescent="0.25">
      <c r="B475" s="481"/>
      <c r="C475" s="326" t="s">
        <v>392</v>
      </c>
      <c r="D475" s="327">
        <v>1</v>
      </c>
      <c r="E475" s="328" t="s">
        <v>2187</v>
      </c>
      <c r="F475" s="21"/>
      <c r="G475" s="21"/>
      <c r="H475" s="21"/>
      <c r="I475" s="21"/>
      <c r="J475" s="21"/>
      <c r="K475" s="21"/>
      <c r="L475" s="21"/>
    </row>
    <row r="476" spans="2:12" x14ac:dyDescent="0.2">
      <c r="B476" s="325"/>
      <c r="C476"/>
      <c r="D476"/>
      <c r="E476"/>
      <c r="F476"/>
      <c r="G476"/>
      <c r="H476"/>
      <c r="I476"/>
      <c r="J476"/>
      <c r="K476"/>
      <c r="L476"/>
    </row>
    <row r="477" spans="2:12" x14ac:dyDescent="0.2">
      <c r="B477" s="245" t="str">
        <f>ORÇ!A292</f>
        <v>12.7.2</v>
      </c>
      <c r="C477" s="234" t="str">
        <f>ORÇ!D292</f>
        <v>MASTRO SIMPLES DE FO GO P/ PARA-RAIO (C/ ACESSÓRIOS)</v>
      </c>
      <c r="D477"/>
      <c r="E477"/>
      <c r="F477"/>
      <c r="G477"/>
      <c r="H477"/>
      <c r="I477"/>
      <c r="J477"/>
      <c r="K477"/>
      <c r="L477"/>
    </row>
    <row r="478" spans="2:12" x14ac:dyDescent="0.2">
      <c r="B478" s="325"/>
      <c r="C478"/>
      <c r="D478"/>
      <c r="E478"/>
      <c r="F478"/>
      <c r="G478"/>
      <c r="H478"/>
      <c r="I478"/>
      <c r="J478"/>
      <c r="K478"/>
      <c r="L478"/>
    </row>
    <row r="479" spans="2:12" ht="15" x14ac:dyDescent="0.25">
      <c r="B479" s="325"/>
      <c r="C479" s="326" t="s">
        <v>392</v>
      </c>
      <c r="D479" s="327">
        <v>1</v>
      </c>
      <c r="E479" s="328" t="s">
        <v>2187</v>
      </c>
      <c r="F479"/>
      <c r="G479"/>
      <c r="H479"/>
      <c r="I479"/>
      <c r="J479"/>
      <c r="K479"/>
      <c r="L479"/>
    </row>
    <row r="480" spans="2:12" x14ac:dyDescent="0.2">
      <c r="B480" s="325"/>
      <c r="C480"/>
      <c r="D480"/>
      <c r="E480"/>
      <c r="F480"/>
      <c r="G480"/>
      <c r="H480"/>
      <c r="I480"/>
      <c r="J480"/>
      <c r="K480"/>
      <c r="L480"/>
    </row>
    <row r="481" spans="2:12" s="615" customFormat="1" ht="19.5" customHeight="1" x14ac:dyDescent="0.2">
      <c r="B481" s="884" t="str">
        <f>ORÇ!A293</f>
        <v>12.7.3</v>
      </c>
      <c r="C481" s="861" t="str">
        <f>ORÇ!D293</f>
        <v>SUPORTE ISOLADOR PARA CORDOALHA DE COBRE - FORNECIMENTO E INSTALAÇÃO. AF_12/2017</v>
      </c>
      <c r="D481" s="139"/>
      <c r="E481" s="139"/>
      <c r="F481" s="139"/>
      <c r="G481" s="139"/>
      <c r="H481" s="139"/>
      <c r="I481" s="139"/>
      <c r="J481" s="139"/>
      <c r="K481" s="139"/>
      <c r="L481" s="139"/>
    </row>
    <row r="482" spans="2:12" x14ac:dyDescent="0.2">
      <c r="B482" s="325"/>
      <c r="C482"/>
      <c r="D482"/>
      <c r="E482"/>
      <c r="F482"/>
      <c r="G482"/>
      <c r="H482"/>
      <c r="I482"/>
      <c r="J482"/>
      <c r="K482"/>
      <c r="L482"/>
    </row>
    <row r="483" spans="2:12" ht="15" x14ac:dyDescent="0.25">
      <c r="B483" s="325"/>
      <c r="C483" s="326" t="s">
        <v>392</v>
      </c>
      <c r="D483" s="327">
        <v>50</v>
      </c>
      <c r="E483" s="328" t="s">
        <v>2187</v>
      </c>
      <c r="F483"/>
      <c r="G483"/>
      <c r="H483"/>
      <c r="I483"/>
      <c r="J483"/>
      <c r="K483"/>
      <c r="L483"/>
    </row>
    <row r="484" spans="2:12" x14ac:dyDescent="0.2">
      <c r="B484" s="325"/>
      <c r="C484"/>
      <c r="D484"/>
      <c r="E484"/>
      <c r="F484"/>
      <c r="G484"/>
      <c r="H484"/>
      <c r="I484"/>
      <c r="J484"/>
      <c r="K484"/>
      <c r="L484"/>
    </row>
    <row r="485" spans="2:12" s="615" customFormat="1" ht="16.5" customHeight="1" x14ac:dyDescent="0.2">
      <c r="B485" s="884" t="str">
        <f>ORÇ!A294</f>
        <v>12.7.4</v>
      </c>
      <c r="C485" s="861" t="str">
        <f>ORÇ!D294</f>
        <v>SUPORTE GUIA SIMPLES, H=20CM, PARA TELHA ONDULADA. FORNECIMENTO E INSTALAÇÃO.</v>
      </c>
      <c r="D485" s="139"/>
      <c r="E485" s="139"/>
      <c r="F485" s="139"/>
      <c r="G485" s="139"/>
      <c r="H485" s="139"/>
      <c r="I485" s="139"/>
      <c r="J485" s="139"/>
      <c r="K485" s="139"/>
      <c r="L485" s="139"/>
    </row>
    <row r="486" spans="2:12" x14ac:dyDescent="0.2">
      <c r="B486" s="325"/>
      <c r="C486"/>
      <c r="D486"/>
      <c r="E486"/>
      <c r="F486"/>
      <c r="G486"/>
      <c r="H486"/>
      <c r="I486"/>
      <c r="J486"/>
      <c r="K486"/>
      <c r="L486"/>
    </row>
    <row r="487" spans="2:12" ht="15" x14ac:dyDescent="0.25">
      <c r="B487" s="325"/>
      <c r="C487" s="326" t="s">
        <v>392</v>
      </c>
      <c r="D487" s="327">
        <v>35</v>
      </c>
      <c r="E487" s="328" t="s">
        <v>2187</v>
      </c>
      <c r="F487"/>
      <c r="G487"/>
      <c r="H487"/>
      <c r="I487"/>
      <c r="J487"/>
      <c r="K487"/>
      <c r="L487"/>
    </row>
    <row r="488" spans="2:12" x14ac:dyDescent="0.2">
      <c r="B488" s="325"/>
      <c r="C488"/>
      <c r="D488"/>
      <c r="E488"/>
      <c r="F488"/>
      <c r="G488"/>
      <c r="H488"/>
      <c r="I488"/>
      <c r="J488"/>
      <c r="K488"/>
      <c r="L488"/>
    </row>
    <row r="489" spans="2:12" s="615" customFormat="1" ht="18.75" customHeight="1" x14ac:dyDescent="0.2">
      <c r="B489" s="884" t="str">
        <f>ORÇ!A295</f>
        <v>12.7.5</v>
      </c>
      <c r="C489" s="861" t="str">
        <f>ORÇ!D295</f>
        <v>HASTE DE ATERRAMENTO 5/8  PARA SPDA - FORNECIMENTO E INSTALAÇÃO. AF_12/2017</v>
      </c>
      <c r="D489" s="139"/>
      <c r="E489" s="139"/>
      <c r="F489" s="139"/>
      <c r="G489" s="139"/>
      <c r="H489" s="139"/>
      <c r="I489" s="139"/>
      <c r="J489" s="139"/>
      <c r="K489" s="139"/>
      <c r="L489" s="139"/>
    </row>
    <row r="490" spans="2:12" x14ac:dyDescent="0.2">
      <c r="B490" s="325"/>
      <c r="C490"/>
      <c r="D490"/>
      <c r="E490"/>
      <c r="F490"/>
      <c r="G490"/>
      <c r="H490"/>
      <c r="I490"/>
      <c r="J490"/>
      <c r="K490"/>
      <c r="L490"/>
    </row>
    <row r="491" spans="2:12" ht="15" x14ac:dyDescent="0.25">
      <c r="B491" s="325"/>
      <c r="C491" s="326" t="s">
        <v>392</v>
      </c>
      <c r="D491" s="327">
        <v>16</v>
      </c>
      <c r="E491" s="328" t="s">
        <v>2187</v>
      </c>
      <c r="F491"/>
      <c r="G491"/>
      <c r="H491"/>
      <c r="I491"/>
      <c r="J491"/>
      <c r="K491"/>
      <c r="L491"/>
    </row>
    <row r="492" spans="2:12" x14ac:dyDescent="0.2">
      <c r="B492" s="325"/>
      <c r="C492"/>
      <c r="D492"/>
      <c r="E492"/>
      <c r="F492"/>
      <c r="G492"/>
      <c r="H492"/>
      <c r="I492"/>
      <c r="J492"/>
      <c r="K492"/>
      <c r="L492"/>
    </row>
    <row r="493" spans="2:12" x14ac:dyDescent="0.2">
      <c r="B493" s="325"/>
      <c r="C493"/>
      <c r="D493"/>
      <c r="E493"/>
      <c r="F493"/>
      <c r="G493"/>
      <c r="H493"/>
      <c r="I493"/>
      <c r="J493"/>
      <c r="K493"/>
      <c r="L493"/>
    </row>
    <row r="494" spans="2:12" s="615" customFormat="1" ht="17.25" customHeight="1" x14ac:dyDescent="0.2">
      <c r="B494" s="884" t="str">
        <f>ORÇ!A296</f>
        <v>12.7.6</v>
      </c>
      <c r="C494" s="861" t="str">
        <f>ORÇ!D296</f>
        <v>CAIXA DE INSPEÇÃO PARA ATERRAMENTO, CIRCULAR, EM POLIETILENO, DIÂMETRO INTERNO = 0,3 M. AF_12/2020</v>
      </c>
      <c r="D494" s="139"/>
      <c r="E494" s="139"/>
      <c r="F494" s="139"/>
      <c r="G494" s="139"/>
      <c r="H494" s="139"/>
      <c r="I494" s="139"/>
      <c r="J494" s="139"/>
      <c r="K494" s="139"/>
      <c r="L494" s="139"/>
    </row>
    <row r="495" spans="2:12" x14ac:dyDescent="0.2">
      <c r="B495" s="325"/>
      <c r="C495"/>
      <c r="D495"/>
      <c r="E495"/>
      <c r="F495"/>
      <c r="G495"/>
      <c r="H495"/>
      <c r="I495"/>
      <c r="J495"/>
      <c r="K495"/>
      <c r="L495"/>
    </row>
    <row r="496" spans="2:12" ht="15" x14ac:dyDescent="0.25">
      <c r="B496" s="325"/>
      <c r="C496" s="326" t="s">
        <v>392</v>
      </c>
      <c r="D496" s="327">
        <v>16</v>
      </c>
      <c r="E496" s="328" t="s">
        <v>2187</v>
      </c>
      <c r="F496"/>
      <c r="G496"/>
      <c r="H496"/>
      <c r="I496"/>
      <c r="J496"/>
      <c r="K496"/>
      <c r="L496"/>
    </row>
    <row r="497" spans="2:12" x14ac:dyDescent="0.2">
      <c r="B497" s="325"/>
      <c r="C497"/>
      <c r="D497"/>
      <c r="E497"/>
      <c r="F497"/>
      <c r="G497"/>
      <c r="H497"/>
      <c r="I497"/>
      <c r="J497"/>
      <c r="K497"/>
      <c r="L497"/>
    </row>
    <row r="498" spans="2:12" s="615" customFormat="1" ht="16.5" customHeight="1" x14ac:dyDescent="0.2">
      <c r="B498" s="884" t="str">
        <f>ORÇ!A297</f>
        <v>12.7.7</v>
      </c>
      <c r="C498" s="861" t="str">
        <f>ORÇ!D297</f>
        <v>CABO DE COBRE NÚ 35MM²</v>
      </c>
      <c r="D498" s="139"/>
      <c r="E498" s="139"/>
      <c r="F498" s="139"/>
      <c r="G498" s="139"/>
      <c r="H498" s="139"/>
      <c r="I498" s="139"/>
      <c r="J498" s="139"/>
      <c r="K498" s="139"/>
      <c r="L498" s="139"/>
    </row>
    <row r="499" spans="2:12" x14ac:dyDescent="0.2">
      <c r="B499" s="325"/>
      <c r="C499"/>
      <c r="D499"/>
      <c r="E499"/>
      <c r="F499"/>
      <c r="G499"/>
      <c r="H499"/>
      <c r="I499"/>
      <c r="J499"/>
      <c r="K499"/>
      <c r="L499"/>
    </row>
    <row r="500" spans="2:12" ht="15" x14ac:dyDescent="0.25">
      <c r="B500" s="325"/>
      <c r="C500" s="326" t="s">
        <v>392</v>
      </c>
      <c r="D500" s="327">
        <v>300</v>
      </c>
      <c r="E500" s="328" t="s">
        <v>218</v>
      </c>
      <c r="F500"/>
      <c r="G500"/>
      <c r="H500"/>
      <c r="I500"/>
      <c r="J500"/>
      <c r="K500"/>
      <c r="L500"/>
    </row>
    <row r="501" spans="2:12" x14ac:dyDescent="0.2">
      <c r="B501" s="325"/>
      <c r="C501"/>
      <c r="D501"/>
      <c r="E501"/>
      <c r="F501"/>
      <c r="G501"/>
      <c r="H501"/>
      <c r="I501"/>
      <c r="J501"/>
      <c r="K501"/>
      <c r="L501"/>
    </row>
    <row r="502" spans="2:12" s="615" customFormat="1" ht="16.5" customHeight="1" x14ac:dyDescent="0.2">
      <c r="B502" s="884" t="str">
        <f>ORÇ!A298</f>
        <v>12.7.8</v>
      </c>
      <c r="C502" s="861" t="str">
        <f>ORÇ!D298</f>
        <v>CABO DE COBRE NÚ 50MM²</v>
      </c>
      <c r="D502" s="139"/>
      <c r="E502" s="139"/>
      <c r="F502" s="139"/>
      <c r="G502" s="139"/>
      <c r="H502" s="139"/>
      <c r="I502" s="139"/>
      <c r="J502" s="139"/>
      <c r="K502" s="139"/>
      <c r="L502" s="139"/>
    </row>
    <row r="503" spans="2:12" x14ac:dyDescent="0.2">
      <c r="B503" s="325"/>
      <c r="C503"/>
      <c r="D503"/>
      <c r="E503"/>
      <c r="F503"/>
      <c r="G503"/>
      <c r="H503"/>
      <c r="I503"/>
      <c r="J503"/>
      <c r="K503"/>
      <c r="L503"/>
    </row>
    <row r="504" spans="2:12" ht="15" x14ac:dyDescent="0.25">
      <c r="B504" s="325"/>
      <c r="C504" s="326" t="s">
        <v>392</v>
      </c>
      <c r="D504" s="327">
        <v>120</v>
      </c>
      <c r="E504" s="328" t="s">
        <v>218</v>
      </c>
      <c r="F504"/>
      <c r="G504"/>
      <c r="H504"/>
      <c r="I504"/>
      <c r="J504"/>
      <c r="K504"/>
      <c r="L504"/>
    </row>
    <row r="505" spans="2:12" ht="15.75" customHeight="1" x14ac:dyDescent="0.2">
      <c r="B505" s="325"/>
      <c r="C505"/>
      <c r="D505"/>
      <c r="E505"/>
      <c r="F505"/>
      <c r="G505"/>
      <c r="H505"/>
      <c r="I505"/>
      <c r="J505"/>
      <c r="K505"/>
      <c r="L505"/>
    </row>
    <row r="506" spans="2:12" s="615" customFormat="1" ht="33" customHeight="1" x14ac:dyDescent="0.2">
      <c r="B506" s="884" t="str">
        <f>ORÇ!A299</f>
        <v>12.7.9</v>
      </c>
      <c r="C506" s="1730" t="str">
        <f>ORÇ!D299</f>
        <v>GRAMPO PARALELO METÁLICO, PARA REDES AÉREAS DE DISTRIBUIÇÃO DE ENERGIA ELÉTRICA DE BAIXA TENSÃO - FORNECIMENTO E INSTALAÇÃO. AF_07/2020</v>
      </c>
      <c r="D506" s="1730"/>
      <c r="E506" s="1730"/>
      <c r="F506" s="1730"/>
      <c r="G506" s="1730"/>
      <c r="H506" s="1730"/>
      <c r="I506" s="1730"/>
      <c r="J506" s="139"/>
      <c r="K506" s="139"/>
      <c r="L506" s="139"/>
    </row>
    <row r="507" spans="2:12" x14ac:dyDescent="0.2">
      <c r="B507" s="325"/>
      <c r="C507"/>
      <c r="D507"/>
      <c r="E507"/>
      <c r="F507"/>
      <c r="G507"/>
      <c r="H507"/>
      <c r="I507"/>
      <c r="J507"/>
      <c r="K507"/>
      <c r="L507"/>
    </row>
    <row r="508" spans="2:12" ht="15" x14ac:dyDescent="0.25">
      <c r="B508" s="325"/>
      <c r="C508" s="326" t="s">
        <v>392</v>
      </c>
      <c r="D508" s="327">
        <v>70</v>
      </c>
      <c r="E508" s="328" t="s">
        <v>2187</v>
      </c>
      <c r="F508"/>
      <c r="G508"/>
      <c r="H508"/>
      <c r="I508"/>
      <c r="J508"/>
      <c r="K508"/>
      <c r="L508"/>
    </row>
    <row r="509" spans="2:12" x14ac:dyDescent="0.2">
      <c r="B509" s="325"/>
      <c r="C509"/>
      <c r="D509"/>
      <c r="E509"/>
      <c r="F509"/>
      <c r="G509"/>
      <c r="H509"/>
      <c r="I509"/>
      <c r="J509"/>
      <c r="K509"/>
      <c r="L509"/>
    </row>
    <row r="510" spans="2:12" ht="15.75" customHeight="1" x14ac:dyDescent="0.2">
      <c r="B510" s="246" t="str">
        <f>ORÇ!A300</f>
        <v>12.7.10</v>
      </c>
      <c r="C510" s="1730" t="str">
        <f>ORÇ!D300</f>
        <v>PONTO DE SOLDA EXOTÉRMICA</v>
      </c>
      <c r="D510" s="1730"/>
      <c r="E510" s="1730"/>
      <c r="F510" s="1730"/>
      <c r="G510" s="1730"/>
      <c r="H510" s="1730"/>
      <c r="I510" s="1730"/>
      <c r="J510"/>
      <c r="K510"/>
      <c r="L510"/>
    </row>
    <row r="511" spans="2:12" x14ac:dyDescent="0.2">
      <c r="B511" s="33"/>
      <c r="C511"/>
      <c r="D511"/>
      <c r="E511"/>
      <c r="F511"/>
      <c r="G511"/>
      <c r="H511"/>
      <c r="I511"/>
      <c r="J511"/>
      <c r="K511"/>
      <c r="L511"/>
    </row>
    <row r="512" spans="2:12" ht="15" x14ac:dyDescent="0.25">
      <c r="B512" s="33"/>
      <c r="C512" s="326" t="s">
        <v>392</v>
      </c>
      <c r="D512" s="327">
        <v>28</v>
      </c>
      <c r="E512" s="328" t="s">
        <v>2187</v>
      </c>
      <c r="F512"/>
      <c r="G512"/>
      <c r="H512"/>
      <c r="I512"/>
      <c r="J512"/>
      <c r="K512"/>
      <c r="L512"/>
    </row>
    <row r="513" spans="2:12" x14ac:dyDescent="0.2">
      <c r="B513" s="33"/>
      <c r="C513"/>
      <c r="D513"/>
      <c r="E513"/>
      <c r="F513"/>
      <c r="G513"/>
      <c r="H513"/>
      <c r="I513"/>
      <c r="J513"/>
      <c r="K513"/>
      <c r="L513"/>
    </row>
    <row r="514" spans="2:12" x14ac:dyDescent="0.2">
      <c r="B514" s="206"/>
      <c r="C514" s="206"/>
      <c r="D514" s="206"/>
      <c r="E514" s="206"/>
      <c r="F514" s="206"/>
      <c r="G514" s="206"/>
      <c r="H514" s="206"/>
      <c r="I514" s="206"/>
    </row>
    <row r="515" spans="2:12" x14ac:dyDescent="0.2">
      <c r="B515" s="206"/>
      <c r="C515" s="206"/>
      <c r="D515" s="206"/>
      <c r="E515" s="206"/>
      <c r="F515" s="206"/>
      <c r="G515" s="206"/>
      <c r="H515" s="206"/>
      <c r="I515" s="206"/>
    </row>
    <row r="516" spans="2:12" x14ac:dyDescent="0.2">
      <c r="B516" s="206"/>
      <c r="C516" s="206"/>
      <c r="D516" s="206"/>
      <c r="E516" s="206"/>
      <c r="F516" s="206"/>
      <c r="G516" s="206"/>
      <c r="H516" s="206"/>
      <c r="I516" s="206"/>
    </row>
    <row r="517" spans="2:12" x14ac:dyDescent="0.2">
      <c r="B517" s="206"/>
      <c r="C517" s="206"/>
      <c r="D517" s="206"/>
      <c r="E517" s="206"/>
      <c r="F517" s="206"/>
      <c r="G517" s="206"/>
      <c r="H517" s="206"/>
      <c r="I517" s="206"/>
    </row>
    <row r="518" spans="2:12" x14ac:dyDescent="0.2">
      <c r="B518" s="206"/>
      <c r="C518" s="206"/>
      <c r="D518" s="206"/>
      <c r="E518" s="206"/>
      <c r="F518" s="206"/>
      <c r="G518" s="206"/>
      <c r="H518" s="206"/>
      <c r="I518" s="206"/>
    </row>
    <row r="519" spans="2:12" x14ac:dyDescent="0.2">
      <c r="B519" s="206"/>
      <c r="C519" s="206"/>
      <c r="D519" s="206"/>
      <c r="E519" s="206"/>
      <c r="F519" s="206"/>
      <c r="G519" s="206"/>
      <c r="H519" s="206"/>
      <c r="I519" s="206"/>
    </row>
    <row r="520" spans="2:12" x14ac:dyDescent="0.2">
      <c r="B520" s="206"/>
      <c r="C520" s="206"/>
      <c r="D520" s="206"/>
      <c r="E520" s="206"/>
      <c r="F520" s="206"/>
      <c r="G520" s="206"/>
      <c r="H520" s="206"/>
      <c r="I520" s="206"/>
    </row>
    <row r="521" spans="2:12" x14ac:dyDescent="0.2">
      <c r="B521" s="206"/>
      <c r="C521" s="206"/>
      <c r="D521" s="206"/>
      <c r="E521" s="206"/>
      <c r="F521" s="206"/>
      <c r="G521" s="206"/>
      <c r="H521" s="206"/>
      <c r="I521" s="206"/>
    </row>
    <row r="522" spans="2:12" x14ac:dyDescent="0.2">
      <c r="B522" s="206"/>
      <c r="C522" s="206"/>
      <c r="D522" s="206"/>
      <c r="E522" s="206"/>
      <c r="F522" s="206"/>
      <c r="G522" s="206"/>
      <c r="H522" s="206"/>
      <c r="I522" s="206"/>
    </row>
    <row r="523" spans="2:12" x14ac:dyDescent="0.2">
      <c r="B523" s="206"/>
      <c r="C523" s="206"/>
      <c r="D523" s="206"/>
      <c r="E523" s="206"/>
      <c r="F523" s="206"/>
      <c r="G523" s="206"/>
      <c r="H523" s="206"/>
      <c r="I523" s="206"/>
    </row>
    <row r="524" spans="2:12" x14ac:dyDescent="0.2">
      <c r="B524" s="206"/>
      <c r="C524" s="206"/>
      <c r="D524" s="206"/>
      <c r="E524" s="206"/>
      <c r="F524" s="206"/>
      <c r="G524" s="206"/>
      <c r="H524" s="206"/>
      <c r="I524" s="206"/>
    </row>
    <row r="525" spans="2:12" x14ac:dyDescent="0.2">
      <c r="B525" s="206"/>
      <c r="C525" s="206"/>
      <c r="D525" s="206"/>
      <c r="E525" s="206"/>
      <c r="F525" s="206"/>
      <c r="G525" s="206"/>
      <c r="H525" s="206"/>
      <c r="I525" s="206"/>
    </row>
    <row r="526" spans="2:12" x14ac:dyDescent="0.2">
      <c r="B526" s="206"/>
      <c r="C526" s="206"/>
      <c r="D526" s="206"/>
      <c r="E526" s="206"/>
      <c r="F526" s="206"/>
      <c r="G526" s="206"/>
      <c r="H526" s="206"/>
      <c r="I526" s="206"/>
    </row>
    <row r="527" spans="2:12" x14ac:dyDescent="0.2">
      <c r="B527" s="206"/>
      <c r="C527" s="206"/>
      <c r="D527" s="206"/>
      <c r="E527" s="206"/>
      <c r="F527" s="206"/>
      <c r="G527" s="206"/>
      <c r="H527" s="206"/>
      <c r="I527" s="206"/>
    </row>
    <row r="528" spans="2:12" x14ac:dyDescent="0.2">
      <c r="B528" s="206"/>
      <c r="C528" s="206"/>
      <c r="D528" s="206"/>
      <c r="E528" s="206"/>
      <c r="F528" s="206"/>
      <c r="G528" s="206"/>
      <c r="H528" s="206"/>
      <c r="I528" s="206"/>
    </row>
    <row r="529" spans="2:9" x14ac:dyDescent="0.2">
      <c r="B529" s="206"/>
      <c r="C529" s="206"/>
      <c r="D529" s="206"/>
      <c r="E529" s="206"/>
      <c r="F529" s="206"/>
      <c r="G529" s="206"/>
      <c r="H529" s="206"/>
      <c r="I529" s="206"/>
    </row>
    <row r="530" spans="2:9" x14ac:dyDescent="0.2">
      <c r="B530" s="206"/>
      <c r="C530" s="206"/>
      <c r="D530" s="206"/>
      <c r="E530" s="206"/>
      <c r="F530" s="206"/>
      <c r="G530" s="206"/>
      <c r="H530" s="206"/>
      <c r="I530" s="206"/>
    </row>
    <row r="531" spans="2:9" x14ac:dyDescent="0.2">
      <c r="B531" s="206"/>
      <c r="C531" s="206"/>
      <c r="D531" s="206"/>
      <c r="E531" s="206"/>
      <c r="F531" s="206"/>
      <c r="G531" s="206"/>
      <c r="H531" s="206"/>
      <c r="I531" s="206"/>
    </row>
    <row r="532" spans="2:9" x14ac:dyDescent="0.2">
      <c r="B532" s="206"/>
      <c r="C532" s="206"/>
      <c r="D532" s="206"/>
      <c r="E532" s="206"/>
      <c r="F532" s="206"/>
      <c r="G532" s="206"/>
      <c r="H532" s="206"/>
      <c r="I532" s="206"/>
    </row>
    <row r="533" spans="2:9" x14ac:dyDescent="0.2">
      <c r="B533" s="206"/>
      <c r="C533" s="206"/>
      <c r="D533" s="206"/>
      <c r="E533" s="206"/>
      <c r="F533" s="206"/>
      <c r="G533" s="206"/>
      <c r="H533" s="206"/>
      <c r="I533" s="206"/>
    </row>
    <row r="534" spans="2:9" x14ac:dyDescent="0.2">
      <c r="B534" s="206"/>
      <c r="C534" s="206"/>
      <c r="D534" s="206"/>
      <c r="E534" s="206"/>
      <c r="F534" s="206"/>
      <c r="G534" s="206"/>
      <c r="H534" s="206"/>
      <c r="I534" s="206"/>
    </row>
    <row r="535" spans="2:9" x14ac:dyDescent="0.2">
      <c r="B535" s="206"/>
      <c r="C535" s="206"/>
      <c r="D535" s="206"/>
      <c r="E535" s="206"/>
      <c r="F535" s="206"/>
      <c r="G535" s="206"/>
      <c r="H535" s="206"/>
      <c r="I535" s="206"/>
    </row>
    <row r="536" spans="2:9" x14ac:dyDescent="0.2">
      <c r="B536" s="206"/>
      <c r="C536" s="206"/>
      <c r="D536" s="206"/>
      <c r="E536" s="206"/>
      <c r="F536" s="206"/>
      <c r="G536" s="206"/>
      <c r="H536" s="206"/>
      <c r="I536" s="206"/>
    </row>
  </sheetData>
  <mergeCells count="124">
    <mergeCell ref="C195:I195"/>
    <mergeCell ref="C199:I199"/>
    <mergeCell ref="C209:I209"/>
    <mergeCell ref="C253:I253"/>
    <mergeCell ref="C258:I258"/>
    <mergeCell ref="C262:I262"/>
    <mergeCell ref="C266:I266"/>
    <mergeCell ref="C233:I233"/>
    <mergeCell ref="C237:I237"/>
    <mergeCell ref="C241:I241"/>
    <mergeCell ref="C245:I245"/>
    <mergeCell ref="C249:I249"/>
    <mergeCell ref="C53:I53"/>
    <mergeCell ref="C57:I57"/>
    <mergeCell ref="C61:I61"/>
    <mergeCell ref="C33:I33"/>
    <mergeCell ref="C171:I171"/>
    <mergeCell ref="C175:I175"/>
    <mergeCell ref="C179:I179"/>
    <mergeCell ref="C183:I183"/>
    <mergeCell ref="C71:I71"/>
    <mergeCell ref="C75:I75"/>
    <mergeCell ref="C79:I79"/>
    <mergeCell ref="C83:I83"/>
    <mergeCell ref="C87:I87"/>
    <mergeCell ref="C91:I91"/>
    <mergeCell ref="C95:I95"/>
    <mergeCell ref="C99:I99"/>
    <mergeCell ref="C103:I103"/>
    <mergeCell ref="C107:I107"/>
    <mergeCell ref="C111:I111"/>
    <mergeCell ref="C115:I115"/>
    <mergeCell ref="C119:I119"/>
    <mergeCell ref="C123:I123"/>
    <mergeCell ref="C41:I41"/>
    <mergeCell ref="C510:I510"/>
    <mergeCell ref="C506:I506"/>
    <mergeCell ref="C375:I375"/>
    <mergeCell ref="C379:I379"/>
    <mergeCell ref="C383:I383"/>
    <mergeCell ref="C387:I387"/>
    <mergeCell ref="C391:I391"/>
    <mergeCell ref="C395:I395"/>
    <mergeCell ref="C399:I399"/>
    <mergeCell ref="C403:I403"/>
    <mergeCell ref="C407:I407"/>
    <mergeCell ref="C411:I411"/>
    <mergeCell ref="C463:I463"/>
    <mergeCell ref="C467:I467"/>
    <mergeCell ref="C435:I435"/>
    <mergeCell ref="C443:I443"/>
    <mergeCell ref="C447:I447"/>
    <mergeCell ref="C451:I451"/>
    <mergeCell ref="C455:I455"/>
    <mergeCell ref="C459:I459"/>
    <mergeCell ref="C415:I415"/>
    <mergeCell ref="C419:I419"/>
    <mergeCell ref="C423:I423"/>
    <mergeCell ref="C427:I427"/>
    <mergeCell ref="A6:B6"/>
    <mergeCell ref="C6:D6"/>
    <mergeCell ref="E6:F6"/>
    <mergeCell ref="G6:I6"/>
    <mergeCell ref="A7:B7"/>
    <mergeCell ref="C7:D7"/>
    <mergeCell ref="E7:F7"/>
    <mergeCell ref="G7:I7"/>
    <mergeCell ref="B1:I2"/>
    <mergeCell ref="A4:B4"/>
    <mergeCell ref="C4:I4"/>
    <mergeCell ref="A5:B5"/>
    <mergeCell ref="C5:I5"/>
    <mergeCell ref="A3:B3"/>
    <mergeCell ref="C3:E3"/>
    <mergeCell ref="F3:G3"/>
    <mergeCell ref="H3:I3"/>
    <mergeCell ref="C300:I300"/>
    <mergeCell ref="C296:I296"/>
    <mergeCell ref="C288:I288"/>
    <mergeCell ref="C330:I330"/>
    <mergeCell ref="A9:I9"/>
    <mergeCell ref="A10:I10"/>
    <mergeCell ref="C23:I23"/>
    <mergeCell ref="C14:I14"/>
    <mergeCell ref="C13:E13"/>
    <mergeCell ref="C19:I19"/>
    <mergeCell ref="C29:I29"/>
    <mergeCell ref="C204:E204"/>
    <mergeCell ref="C65:I65"/>
    <mergeCell ref="C28:E28"/>
    <mergeCell ref="C45:I45"/>
    <mergeCell ref="C127:I127"/>
    <mergeCell ref="C131:I131"/>
    <mergeCell ref="C135:I135"/>
    <mergeCell ref="C139:I139"/>
    <mergeCell ref="C143:I143"/>
    <mergeCell ref="C147:I147"/>
    <mergeCell ref="C151:I151"/>
    <mergeCell ref="C155:I155"/>
    <mergeCell ref="C37:I37"/>
    <mergeCell ref="C431:I431"/>
    <mergeCell ref="C347:I347"/>
    <mergeCell ref="C276:I276"/>
    <mergeCell ref="C284:I284"/>
    <mergeCell ref="C292:I292"/>
    <mergeCell ref="C49:I49"/>
    <mergeCell ref="C439:I439"/>
    <mergeCell ref="C334:I334"/>
    <mergeCell ref="C304:I304"/>
    <mergeCell ref="C308:I308"/>
    <mergeCell ref="C312:I312"/>
    <mergeCell ref="C205:I205"/>
    <mergeCell ref="C159:I159"/>
    <mergeCell ref="C163:I163"/>
    <mergeCell ref="C167:I167"/>
    <mergeCell ref="C187:I187"/>
    <mergeCell ref="C271:F271"/>
    <mergeCell ref="C280:I280"/>
    <mergeCell ref="C213:I213"/>
    <mergeCell ref="C217:I217"/>
    <mergeCell ref="C221:I221"/>
    <mergeCell ref="C225:I225"/>
    <mergeCell ref="C229:I229"/>
    <mergeCell ref="C191:I191"/>
  </mergeCells>
  <pageMargins left="0.51181102362204722" right="0.51181102362204722" top="0.78740157480314965" bottom="0.78740157480314965" header="0.31496062992125984" footer="0.31496062992125984"/>
  <pageSetup paperSize="9" scale="6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4"/>
  <sheetViews>
    <sheetView showGridLines="0" view="pageBreakPreview" topLeftCell="A42" zoomScaleSheetLayoutView="100" workbookViewId="0">
      <selection activeCell="B60" sqref="B60:M60"/>
    </sheetView>
  </sheetViews>
  <sheetFormatPr defaultColWidth="9.140625" defaultRowHeight="12.75" x14ac:dyDescent="0.2"/>
  <cols>
    <col min="1" max="1" width="8.85546875" style="146" customWidth="1"/>
    <col min="2" max="2" width="12.140625" style="146" customWidth="1"/>
    <col min="3" max="3" width="11" style="146" customWidth="1"/>
    <col min="4" max="5" width="9.140625" style="146"/>
    <col min="6" max="6" width="12.85546875" style="146" customWidth="1"/>
    <col min="7" max="16384" width="9.140625" style="146"/>
  </cols>
  <sheetData>
    <row r="1" spans="1:16" customFormat="1" x14ac:dyDescent="0.2">
      <c r="B1" s="1307"/>
      <c r="C1" s="1307"/>
      <c r="D1" s="1307"/>
      <c r="E1" s="1307"/>
      <c r="F1" s="1307"/>
      <c r="G1" s="1307"/>
      <c r="H1" s="1307"/>
      <c r="I1" s="1307"/>
      <c r="J1" s="1307"/>
      <c r="K1" s="1307"/>
      <c r="L1" s="1307"/>
      <c r="M1" s="1307"/>
    </row>
    <row r="2" spans="1:16" customFormat="1" ht="69.95" customHeight="1" x14ac:dyDescent="0.2">
      <c r="A2" s="215"/>
      <c r="B2" s="1365"/>
      <c r="C2" s="1365"/>
      <c r="D2" s="1365"/>
      <c r="E2" s="1365"/>
      <c r="F2" s="1365"/>
      <c r="G2" s="1365"/>
      <c r="H2" s="1365"/>
      <c r="I2" s="1365"/>
      <c r="J2" s="1365"/>
      <c r="K2" s="1365"/>
      <c r="L2" s="1365"/>
      <c r="M2" s="1365"/>
    </row>
    <row r="3" spans="1:16" customFormat="1" ht="25.5" customHeight="1" x14ac:dyDescent="0.2">
      <c r="A3" s="1316" t="s">
        <v>79</v>
      </c>
      <c r="B3" s="1317"/>
      <c r="C3" s="1321" t="str">
        <f>ORÇ!B2</f>
        <v>PREFEITURA MUNICIPAL DE OURÉM</v>
      </c>
      <c r="D3" s="1738"/>
      <c r="E3" s="1322"/>
      <c r="F3" s="1326" t="s">
        <v>85</v>
      </c>
      <c r="G3" s="1327"/>
      <c r="H3" s="1819" t="str">
        <f>ORÇ!I2</f>
        <v>OURÉM/PA</v>
      </c>
      <c r="I3" s="1820"/>
      <c r="J3" s="1820"/>
      <c r="K3" s="1820"/>
      <c r="L3" s="1820"/>
      <c r="M3" s="1821"/>
    </row>
    <row r="4" spans="1:16" customFormat="1" ht="22.5" customHeight="1" x14ac:dyDescent="0.2">
      <c r="A4" s="1316" t="s">
        <v>80</v>
      </c>
      <c r="B4" s="1317"/>
      <c r="C4" s="1321" t="str">
        <f>ORÇ!B3</f>
        <v>CONSTRUÇÃO DO CENTRO DE FISIOTERAPIA, NO MUNICÍPIO DE OURÉM/PA</v>
      </c>
      <c r="D4" s="1738"/>
      <c r="E4" s="1738"/>
      <c r="F4" s="1738"/>
      <c r="G4" s="1738"/>
      <c r="H4" s="1738"/>
      <c r="I4" s="1738"/>
      <c r="J4" s="1738"/>
      <c r="K4" s="1738"/>
      <c r="L4" s="1738"/>
      <c r="M4" s="1322"/>
    </row>
    <row r="5" spans="1:16" customFormat="1" ht="18" customHeight="1" x14ac:dyDescent="0.2">
      <c r="A5" s="1316" t="s">
        <v>161</v>
      </c>
      <c r="B5" s="1317"/>
      <c r="C5" s="1808" t="str">
        <f>ORÇ!B4</f>
        <v>AV. PADRE ANGELO MORETTE, S/Nº - OURÉM/PA</v>
      </c>
      <c r="D5" s="1809"/>
      <c r="E5" s="1809"/>
      <c r="F5" s="1809"/>
      <c r="G5" s="1809"/>
      <c r="H5" s="1809"/>
      <c r="I5" s="1809"/>
      <c r="J5" s="1809"/>
      <c r="K5" s="1809"/>
      <c r="L5" s="1809"/>
      <c r="M5" s="1810"/>
    </row>
    <row r="6" spans="1:16" customFormat="1" ht="39" customHeight="1" x14ac:dyDescent="0.2">
      <c r="A6" s="1310" t="s">
        <v>81</v>
      </c>
      <c r="B6" s="1311"/>
      <c r="C6" s="1806">
        <f>ORÇ!B5</f>
        <v>0.2881986483454233</v>
      </c>
      <c r="D6" s="1807"/>
      <c r="E6" s="1695" t="s">
        <v>169</v>
      </c>
      <c r="F6" s="1696"/>
      <c r="G6" s="1816" t="str">
        <f>ORÇ!G5</f>
        <v>SINAPI FEVEREIRO 2022 - DESONERADA                                 SEDOP FEVEREIRO 2022 - DESONERADA</v>
      </c>
      <c r="H6" s="1817"/>
      <c r="I6" s="1817"/>
      <c r="J6" s="1817"/>
      <c r="K6" s="1817"/>
      <c r="L6" s="1817"/>
      <c r="M6" s="1818"/>
    </row>
    <row r="7" spans="1:16" customFormat="1" ht="25.5" customHeight="1" x14ac:dyDescent="0.2">
      <c r="A7" s="1749" t="s">
        <v>82</v>
      </c>
      <c r="B7" s="1317"/>
      <c r="C7" s="1672" t="str">
        <f>ORÇ!B6</f>
        <v>MARUZA BAPTISTA</v>
      </c>
      <c r="D7" s="1673"/>
      <c r="E7" s="1342" t="s">
        <v>170</v>
      </c>
      <c r="F7" s="1343"/>
      <c r="G7" s="1764" t="str">
        <f>ORÇ!G7</f>
        <v>CAU: 28510-2 A</v>
      </c>
      <c r="H7" s="1765"/>
      <c r="I7" s="1765"/>
      <c r="J7" s="1765"/>
      <c r="K7" s="1765"/>
      <c r="L7" s="1765"/>
      <c r="M7" s="1766"/>
    </row>
    <row r="8" spans="1:16" ht="13.5" thickBot="1" x14ac:dyDescent="0.25">
      <c r="A8" s="152"/>
      <c r="B8" s="151"/>
      <c r="C8" s="151"/>
      <c r="D8" s="151"/>
      <c r="E8" s="151"/>
      <c r="F8" s="151"/>
      <c r="G8" s="151"/>
      <c r="H8" s="151"/>
      <c r="I8" s="151"/>
      <c r="J8" s="151"/>
    </row>
    <row r="9" spans="1:16" ht="19.5" customHeight="1" thickBot="1" x14ac:dyDescent="0.25">
      <c r="A9" s="1866" t="str">
        <f>CONCATENATE("MEMÓRIA DE CÁLCULO ",ORÇ!A302)</f>
        <v>MEMÓRIA DE CÁLCULO 13</v>
      </c>
      <c r="B9" s="1867"/>
      <c r="C9" s="1867"/>
      <c r="D9" s="1867"/>
      <c r="E9" s="1867"/>
      <c r="F9" s="1867"/>
      <c r="G9" s="1867"/>
      <c r="H9" s="1867"/>
      <c r="I9" s="1867"/>
      <c r="J9" s="1867"/>
      <c r="K9" s="1867"/>
      <c r="L9" s="1867"/>
      <c r="M9" s="1868"/>
      <c r="N9" s="150"/>
      <c r="O9" s="150"/>
      <c r="P9" s="150"/>
    </row>
    <row r="10" spans="1:16" ht="12.75" customHeight="1" x14ac:dyDescent="0.2">
      <c r="A10" s="1870" t="str">
        <f>ORÇ!D302</f>
        <v>Instalações Hidrosanitárias</v>
      </c>
      <c r="B10" s="1870"/>
      <c r="C10" s="1870"/>
      <c r="D10" s="1870"/>
      <c r="E10" s="1870"/>
      <c r="F10" s="1870"/>
      <c r="G10" s="1870"/>
      <c r="H10" s="1870"/>
      <c r="I10" s="1870"/>
      <c r="J10" s="1870"/>
      <c r="K10" s="1870"/>
      <c r="L10" s="1870"/>
      <c r="M10" s="1870"/>
      <c r="N10" s="150"/>
      <c r="O10" s="150"/>
      <c r="P10" s="150"/>
    </row>
    <row r="11" spans="1:16" s="266" customFormat="1" ht="12.75" customHeight="1" x14ac:dyDescent="0.2">
      <c r="A11" s="318">
        <f>ORÇ!A302</f>
        <v>13</v>
      </c>
      <c r="B11" s="319" t="str">
        <f>ORÇ!D302</f>
        <v>Instalações Hidrosanitárias</v>
      </c>
      <c r="C11" s="319"/>
      <c r="D11" s="319"/>
      <c r="E11" s="319"/>
      <c r="F11" s="880"/>
      <c r="G11" s="880"/>
      <c r="H11" s="880"/>
      <c r="I11" s="880"/>
      <c r="J11" s="880"/>
      <c r="K11" s="618"/>
      <c r="L11" s="618"/>
      <c r="M11" s="618"/>
      <c r="N11" s="618"/>
      <c r="O11" s="618"/>
      <c r="P11" s="618"/>
    </row>
    <row r="12" spans="1:16" s="266" customFormat="1" ht="12.75" customHeight="1" x14ac:dyDescent="0.2">
      <c r="A12" s="318" t="str">
        <f>ORÇ!A303</f>
        <v>13.1</v>
      </c>
      <c r="B12" s="319" t="str">
        <f>ORÇ!D303</f>
        <v>Águas Pluviais</v>
      </c>
      <c r="C12" s="319"/>
      <c r="D12" s="319"/>
      <c r="E12" s="319"/>
      <c r="F12" s="880"/>
      <c r="G12" s="880"/>
      <c r="H12" s="880"/>
      <c r="I12" s="880"/>
      <c r="J12" s="880"/>
      <c r="K12" s="618"/>
      <c r="L12" s="618"/>
      <c r="M12" s="618"/>
      <c r="N12" s="618"/>
      <c r="O12" s="618"/>
      <c r="P12" s="618"/>
    </row>
    <row r="13" spans="1:16" s="266" customFormat="1" x14ac:dyDescent="0.2">
      <c r="A13" s="1020" t="str">
        <f>ORÇ!A304</f>
        <v>13.1.1</v>
      </c>
      <c r="B13" s="1021" t="str">
        <f>ORÇ!D304</f>
        <v xml:space="preserve">TUBO PVC, SÉRIE R, ÁGUA PLUVIAL, DN 100 MM, FORNECIDO E INSTALADO EM CONDUTORES VERTICAIS DE ÁGUAS PLUVIAIS. AF_12/2014 </v>
      </c>
      <c r="C13" s="1021"/>
      <c r="D13" s="1021"/>
      <c r="E13" s="1021"/>
      <c r="F13" s="1021"/>
      <c r="G13" s="1021"/>
      <c r="H13" s="1021"/>
      <c r="I13" s="1021"/>
      <c r="J13" s="1021"/>
      <c r="K13" s="1021"/>
      <c r="L13" s="1021"/>
      <c r="M13" s="1021"/>
      <c r="O13" s="618"/>
      <c r="P13" s="618"/>
    </row>
    <row r="14" spans="1:16" s="266" customFormat="1" x14ac:dyDescent="0.2">
      <c r="A14" s="880"/>
      <c r="B14" s="1022"/>
      <c r="C14" s="880"/>
      <c r="D14" s="880"/>
      <c r="E14" s="880"/>
      <c r="F14" s="880"/>
      <c r="G14" s="880"/>
      <c r="H14" s="880"/>
      <c r="I14" s="618"/>
      <c r="J14" s="618"/>
      <c r="K14" s="618"/>
      <c r="L14" s="618"/>
      <c r="M14" s="618"/>
      <c r="N14" s="618"/>
      <c r="O14" s="618"/>
      <c r="P14" s="618"/>
    </row>
    <row r="15" spans="1:16" s="266" customFormat="1" x14ac:dyDescent="0.2">
      <c r="A15" s="202"/>
      <c r="B15" s="158" t="s">
        <v>163</v>
      </c>
      <c r="C15" s="159">
        <v>30.23</v>
      </c>
      <c r="D15" s="317" t="s">
        <v>12</v>
      </c>
      <c r="E15" s="202"/>
      <c r="F15" s="202"/>
      <c r="G15" s="202"/>
      <c r="H15" s="202"/>
      <c r="I15" s="202"/>
      <c r="J15" s="202"/>
      <c r="K15" s="202"/>
      <c r="L15" s="202"/>
      <c r="M15" s="202"/>
      <c r="N15" s="202"/>
      <c r="O15" s="202"/>
      <c r="P15" s="618"/>
    </row>
    <row r="16" spans="1:16" s="266" customFormat="1" x14ac:dyDescent="0.2">
      <c r="A16" s="202"/>
      <c r="B16" s="202"/>
      <c r="C16" s="202"/>
      <c r="D16" s="202"/>
      <c r="E16" s="202"/>
      <c r="F16" s="202"/>
      <c r="G16" s="202"/>
      <c r="H16" s="202"/>
      <c r="I16" s="202"/>
      <c r="J16" s="202"/>
      <c r="K16" s="202"/>
      <c r="L16" s="202"/>
      <c r="M16" s="202"/>
      <c r="N16" s="202"/>
      <c r="O16" s="202"/>
      <c r="P16" s="618"/>
    </row>
    <row r="17" spans="1:16" s="266" customFormat="1" ht="28.5" customHeight="1" x14ac:dyDescent="0.2">
      <c r="A17" s="229" t="str">
        <f>ORÇ!A305</f>
        <v>13.1.2</v>
      </c>
      <c r="B17" s="1862" t="str">
        <f>ORÇ!D305</f>
        <v>CURVA 90 GRAUS, PVC, SERIE R, ÁGUA PLUVIAL, DN 100 MM, JUNTA ELÁSTICA, FORNECIDO E INSTALADO EM CONDUTORES VERTICAIS DE ÁGUAS PLUVIAIS. AF_12/2014</v>
      </c>
      <c r="C17" s="1862"/>
      <c r="D17" s="1862"/>
      <c r="E17" s="1862"/>
      <c r="F17" s="1862"/>
      <c r="G17" s="1862"/>
      <c r="H17" s="1862"/>
      <c r="I17" s="1862"/>
      <c r="J17" s="1862"/>
      <c r="K17" s="1862"/>
      <c r="L17" s="1862"/>
      <c r="M17" s="1862"/>
      <c r="N17" s="202"/>
      <c r="O17" s="202"/>
      <c r="P17" s="618"/>
    </row>
    <row r="18" spans="1:16" s="266" customFormat="1" ht="12.75" customHeight="1" x14ac:dyDescent="0.2">
      <c r="A18" s="202"/>
      <c r="B18" s="202"/>
      <c r="C18" s="202"/>
      <c r="D18" s="202"/>
      <c r="E18" s="202"/>
      <c r="F18" s="202"/>
      <c r="G18" s="202"/>
      <c r="H18" s="202"/>
      <c r="I18" s="202"/>
      <c r="J18" s="202"/>
      <c r="K18" s="202"/>
      <c r="L18" s="202"/>
      <c r="M18" s="202"/>
      <c r="N18" s="202"/>
      <c r="O18" s="202"/>
      <c r="P18" s="618"/>
    </row>
    <row r="19" spans="1:16" s="266" customFormat="1" ht="12.75" customHeight="1" x14ac:dyDescent="0.2">
      <c r="A19" s="202"/>
      <c r="B19" s="158" t="s">
        <v>163</v>
      </c>
      <c r="C19" s="159">
        <v>19</v>
      </c>
      <c r="D19" s="317" t="s">
        <v>668</v>
      </c>
      <c r="E19" s="202"/>
      <c r="F19" s="202"/>
      <c r="G19" s="202"/>
      <c r="H19" s="202"/>
      <c r="I19" s="202"/>
      <c r="J19" s="202"/>
      <c r="K19" s="202"/>
      <c r="L19" s="202"/>
      <c r="M19" s="202"/>
      <c r="N19" s="202"/>
      <c r="O19" s="202"/>
      <c r="P19" s="618"/>
    </row>
    <row r="20" spans="1:16" s="266" customFormat="1" ht="12.75" customHeight="1" x14ac:dyDescent="0.2">
      <c r="A20" s="202"/>
      <c r="B20" s="202"/>
      <c r="C20" s="202"/>
      <c r="D20" s="202"/>
      <c r="E20" s="202"/>
      <c r="F20" s="202"/>
      <c r="G20" s="202"/>
      <c r="H20" s="202"/>
      <c r="I20" s="202"/>
      <c r="J20" s="202"/>
      <c r="K20" s="202"/>
      <c r="L20" s="202"/>
      <c r="M20" s="202"/>
      <c r="N20" s="202"/>
      <c r="O20" s="202"/>
      <c r="P20" s="618"/>
    </row>
    <row r="21" spans="1:16" s="266" customFormat="1" ht="23.25" customHeight="1" x14ac:dyDescent="0.2">
      <c r="A21" s="229" t="str">
        <f>ORÇ!A306</f>
        <v>13.1.3</v>
      </c>
      <c r="B21" s="1869" t="str">
        <f>ORÇ!D306</f>
        <v>TÊ 90° EM PVC, DN 100MM. FORNECIMENTO E INSTALAÇÃO.</v>
      </c>
      <c r="C21" s="1869"/>
      <c r="D21" s="1869"/>
      <c r="E21" s="1869"/>
      <c r="F21" s="1869"/>
      <c r="G21" s="1869"/>
      <c r="H21" s="1869"/>
      <c r="I21" s="1869"/>
      <c r="J21" s="1869"/>
      <c r="K21" s="1869"/>
      <c r="L21" s="1869"/>
      <c r="M21" s="1869"/>
      <c r="N21" s="618"/>
      <c r="O21" s="618"/>
      <c r="P21" s="618"/>
    </row>
    <row r="22" spans="1:16" s="266" customFormat="1" x14ac:dyDescent="0.2">
      <c r="A22" s="1020"/>
      <c r="B22" s="1022"/>
      <c r="C22" s="1020"/>
      <c r="D22" s="1020"/>
      <c r="E22" s="1020"/>
      <c r="F22" s="1020"/>
      <c r="G22" s="1020"/>
      <c r="H22" s="1020"/>
      <c r="I22" s="618"/>
      <c r="J22" s="618"/>
      <c r="K22" s="618"/>
      <c r="L22" s="618"/>
      <c r="M22" s="618"/>
      <c r="N22" s="618"/>
      <c r="O22" s="618"/>
      <c r="P22" s="618"/>
    </row>
    <row r="23" spans="1:16" s="266" customFormat="1" x14ac:dyDescent="0.2">
      <c r="A23" s="1020"/>
      <c r="B23" s="158" t="s">
        <v>163</v>
      </c>
      <c r="C23" s="159">
        <v>1</v>
      </c>
      <c r="D23" s="317" t="s">
        <v>834</v>
      </c>
      <c r="E23" s="1020"/>
      <c r="F23" s="1020"/>
      <c r="G23" s="1020"/>
      <c r="H23" s="1020"/>
      <c r="I23" s="618"/>
      <c r="J23" s="618"/>
      <c r="K23" s="618"/>
      <c r="L23" s="618"/>
      <c r="M23" s="618"/>
      <c r="N23" s="618"/>
      <c r="O23" s="618"/>
      <c r="P23" s="618"/>
    </row>
    <row r="24" spans="1:16" s="266" customFormat="1" x14ac:dyDescent="0.2">
      <c r="A24" s="1020"/>
      <c r="B24" s="1022"/>
      <c r="C24" s="1020"/>
      <c r="D24" s="1020"/>
      <c r="E24" s="1020"/>
      <c r="F24" s="1020"/>
      <c r="G24" s="1020"/>
      <c r="H24" s="1020"/>
      <c r="I24" s="618"/>
      <c r="J24" s="618"/>
      <c r="K24" s="618"/>
      <c r="L24" s="618"/>
      <c r="M24" s="618"/>
      <c r="N24" s="618"/>
      <c r="O24" s="618"/>
      <c r="P24" s="618"/>
    </row>
    <row r="25" spans="1:16" s="629" customFormat="1" ht="27" customHeight="1" x14ac:dyDescent="0.2">
      <c r="A25" s="229" t="str">
        <f>ORÇ!A307</f>
        <v>13.1.4</v>
      </c>
      <c r="B25" s="1869" t="str">
        <f>ORÇ!D307</f>
        <v>FIXAÇÃO DE TUBOS HORIZONTAIS DE PVC, CPVC OU COBRE DIÂMETROS MAIORES QUE 75 MM COM ABRAÇADEIRA METÁLICA FLEXÍVEL 18 MM, FIXADA DIRETAMENTE NA LAJE. AF_05/2015</v>
      </c>
      <c r="C25" s="1869"/>
      <c r="D25" s="1869"/>
      <c r="E25" s="1869"/>
      <c r="F25" s="1869"/>
      <c r="G25" s="1869"/>
      <c r="H25" s="1869"/>
      <c r="I25" s="1869"/>
      <c r="J25" s="1869"/>
      <c r="K25" s="1869"/>
      <c r="L25" s="1869"/>
      <c r="M25" s="1869"/>
      <c r="N25" s="630"/>
      <c r="O25" s="630"/>
      <c r="P25" s="630"/>
    </row>
    <row r="26" spans="1:16" s="266" customFormat="1" x14ac:dyDescent="0.2">
      <c r="A26" s="202"/>
      <c r="B26" s="202"/>
      <c r="C26" s="202"/>
      <c r="D26" s="202"/>
      <c r="E26" s="202"/>
      <c r="F26" s="202"/>
      <c r="G26" s="202"/>
      <c r="H26" s="202"/>
      <c r="I26" s="202"/>
      <c r="J26" s="202"/>
      <c r="K26" s="202"/>
      <c r="L26" s="202"/>
      <c r="M26" s="202"/>
      <c r="N26" s="618"/>
      <c r="O26" s="618"/>
      <c r="P26" s="618"/>
    </row>
    <row r="27" spans="1:16" s="266" customFormat="1" x14ac:dyDescent="0.2">
      <c r="A27" s="202"/>
      <c r="B27" s="158" t="s">
        <v>163</v>
      </c>
      <c r="C27" s="159">
        <f>C15</f>
        <v>30.23</v>
      </c>
      <c r="D27" s="317" t="s">
        <v>12</v>
      </c>
      <c r="E27" s="202"/>
      <c r="F27" s="202"/>
      <c r="G27" s="202"/>
      <c r="H27" s="202"/>
      <c r="I27" s="202"/>
      <c r="J27" s="202"/>
      <c r="K27" s="202"/>
      <c r="L27" s="202"/>
      <c r="M27" s="202"/>
      <c r="N27" s="618"/>
      <c r="O27" s="618"/>
      <c r="P27" s="618"/>
    </row>
    <row r="28" spans="1:16" s="266" customFormat="1" x14ac:dyDescent="0.2">
      <c r="A28" s="1020"/>
      <c r="B28" s="1022"/>
      <c r="C28" s="1020"/>
      <c r="D28" s="1020"/>
      <c r="E28" s="1020"/>
      <c r="F28" s="1020"/>
      <c r="G28" s="1020"/>
      <c r="H28" s="1020"/>
      <c r="I28" s="618"/>
      <c r="J28" s="618"/>
      <c r="K28" s="618"/>
      <c r="L28" s="618"/>
      <c r="M28" s="618"/>
      <c r="N28" s="618"/>
      <c r="O28" s="618"/>
      <c r="P28" s="618"/>
    </row>
    <row r="29" spans="1:16" s="266" customFormat="1" ht="30" customHeight="1" x14ac:dyDescent="0.2">
      <c r="A29" s="229" t="str">
        <f>ORÇ!A308</f>
        <v>13.1.5</v>
      </c>
      <c r="B29" s="1862" t="str">
        <f>ORÇ!D308</f>
        <v>CALHA DE BEIRAL, SEMICIRCULAR DE PVC, DIAMETRO 125 MM, INCLUINDO CABECEIRAS, EMENDAS, BOCAIS, SUPORTES E VEDAÇÕES, EXCLUINDO CONDUTORES, INCLUSO TRANSPORTE VERTICAL. AF_07/2019</v>
      </c>
      <c r="C29" s="1862"/>
      <c r="D29" s="1862"/>
      <c r="E29" s="1862"/>
      <c r="F29" s="1862"/>
      <c r="G29" s="1862"/>
      <c r="H29" s="1862"/>
      <c r="I29" s="1862"/>
      <c r="J29" s="1862"/>
      <c r="K29" s="1862"/>
      <c r="L29" s="1862"/>
      <c r="M29" s="1862"/>
      <c r="N29" s="618"/>
      <c r="O29" s="618"/>
      <c r="P29" s="618"/>
    </row>
    <row r="30" spans="1:16" s="266" customFormat="1" x14ac:dyDescent="0.2">
      <c r="A30" s="202"/>
      <c r="B30" s="202"/>
      <c r="C30" s="202"/>
      <c r="D30" s="202"/>
      <c r="E30" s="202"/>
      <c r="F30" s="202"/>
      <c r="G30" s="202"/>
      <c r="H30" s="202"/>
      <c r="I30" s="202"/>
      <c r="J30" s="202"/>
      <c r="K30" s="202"/>
      <c r="L30" s="202"/>
      <c r="M30" s="202"/>
      <c r="N30" s="618"/>
      <c r="O30" s="618"/>
      <c r="P30" s="618"/>
    </row>
    <row r="31" spans="1:16" s="140" customFormat="1" ht="17.25" customHeight="1" x14ac:dyDescent="0.2">
      <c r="A31" s="162"/>
      <c r="B31" s="239" t="s">
        <v>589</v>
      </c>
      <c r="C31" s="239" t="s">
        <v>880</v>
      </c>
      <c r="D31" s="663"/>
      <c r="E31" s="663"/>
      <c r="F31" s="671"/>
      <c r="G31" s="162"/>
      <c r="H31" s="162"/>
      <c r="I31" s="162"/>
      <c r="J31" s="769"/>
      <c r="K31" s="473"/>
    </row>
    <row r="32" spans="1:16" s="21" customFormat="1" x14ac:dyDescent="0.2">
      <c r="A32" s="196"/>
      <c r="B32" s="1780" t="s">
        <v>881</v>
      </c>
      <c r="C32" s="751">
        <v>5.45</v>
      </c>
      <c r="D32" s="212"/>
      <c r="E32" s="212"/>
      <c r="F32" s="529"/>
      <c r="G32" s="196"/>
      <c r="H32" s="196"/>
      <c r="I32" s="196"/>
      <c r="J32" s="771"/>
      <c r="K32" s="474"/>
    </row>
    <row r="33" spans="1:16" s="21" customFormat="1" x14ac:dyDescent="0.2">
      <c r="A33" s="196"/>
      <c r="B33" s="1781"/>
      <c r="C33" s="751">
        <v>5.45</v>
      </c>
      <c r="D33" s="212"/>
      <c r="E33" s="212"/>
      <c r="F33" s="529"/>
      <c r="G33" s="196"/>
      <c r="H33" s="196"/>
      <c r="I33" s="196"/>
      <c r="J33" s="771"/>
      <c r="K33" s="474"/>
    </row>
    <row r="34" spans="1:16" s="21" customFormat="1" x14ac:dyDescent="0.2">
      <c r="A34" s="196"/>
      <c r="B34" s="1864" t="s">
        <v>882</v>
      </c>
      <c r="C34" s="751">
        <v>26.55</v>
      </c>
      <c r="D34" s="212"/>
      <c r="E34" s="212"/>
      <c r="F34" s="529"/>
      <c r="G34" s="196"/>
      <c r="H34" s="196"/>
      <c r="I34" s="196"/>
      <c r="J34" s="771"/>
      <c r="K34" s="474"/>
    </row>
    <row r="35" spans="1:16" s="21" customFormat="1" x14ac:dyDescent="0.2">
      <c r="A35" s="196"/>
      <c r="B35" s="1864"/>
      <c r="C35" s="751">
        <v>24.6</v>
      </c>
      <c r="D35" s="212"/>
      <c r="E35" s="212"/>
      <c r="F35" s="529"/>
      <c r="G35" s="196"/>
      <c r="H35" s="196"/>
      <c r="I35" s="196"/>
      <c r="J35" s="771"/>
      <c r="K35" s="474"/>
    </row>
    <row r="36" spans="1:16" s="21" customFormat="1" x14ac:dyDescent="0.2">
      <c r="A36" s="196"/>
      <c r="B36" s="754"/>
      <c r="C36" s="212"/>
      <c r="D36" s="212"/>
      <c r="E36" s="212"/>
      <c r="F36" s="529"/>
      <c r="G36" s="196"/>
      <c r="H36" s="196"/>
      <c r="I36" s="196"/>
      <c r="J36" s="771"/>
      <c r="K36" s="474"/>
    </row>
    <row r="37" spans="1:16" s="21" customFormat="1" ht="13.5" customHeight="1" x14ac:dyDescent="0.2">
      <c r="A37" s="652"/>
      <c r="B37" s="659" t="s">
        <v>47</v>
      </c>
      <c r="C37" s="661">
        <f>ROUND(SUM(C32:C36),2)</f>
        <v>62.05</v>
      </c>
      <c r="D37" s="660" t="s">
        <v>12</v>
      </c>
      <c r="E37" s="477"/>
      <c r="F37" s="477"/>
      <c r="G37" s="477"/>
      <c r="H37" s="477"/>
      <c r="I37" s="477"/>
      <c r="J37" s="477"/>
      <c r="K37" s="474"/>
    </row>
    <row r="38" spans="1:16" s="21" customFormat="1" x14ac:dyDescent="0.2">
      <c r="A38" s="196"/>
      <c r="B38" s="754"/>
      <c r="C38" s="212"/>
      <c r="D38" s="212"/>
      <c r="E38" s="212"/>
      <c r="F38" s="529"/>
      <c r="G38" s="196"/>
      <c r="H38" s="196"/>
      <c r="I38" s="196"/>
      <c r="J38" s="771"/>
      <c r="K38" s="474"/>
    </row>
    <row r="39" spans="1:16" s="266" customFormat="1" ht="23.25" customHeight="1" x14ac:dyDescent="0.2">
      <c r="A39" s="229" t="str">
        <f>ORÇ!A309</f>
        <v>13.1.6</v>
      </c>
      <c r="B39" s="1869" t="str">
        <f>ORÇ!D309</f>
        <v>RUFO EM CHAPA DE AÇO GALVANIZADO NÚMERO 24, CORTE DE 25 CM, INCLUSO TRANSPORTE VERTICAL. AF_07/2019</v>
      </c>
      <c r="C39" s="1869"/>
      <c r="D39" s="1869"/>
      <c r="E39" s="1869"/>
      <c r="F39" s="1869"/>
      <c r="G39" s="1869"/>
      <c r="H39" s="1869"/>
      <c r="I39" s="1869"/>
      <c r="J39" s="1869"/>
      <c r="K39" s="1869"/>
      <c r="L39" s="1869"/>
      <c r="M39" s="1869"/>
      <c r="N39" s="618"/>
      <c r="O39" s="618"/>
      <c r="P39" s="618"/>
    </row>
    <row r="40" spans="1:16" s="266" customFormat="1" x14ac:dyDescent="0.2">
      <c r="A40" s="1020"/>
      <c r="B40" s="1022"/>
      <c r="C40" s="1020"/>
      <c r="D40" s="1020"/>
      <c r="E40" s="1020"/>
      <c r="F40" s="1020"/>
      <c r="G40" s="1020"/>
      <c r="H40" s="1020"/>
      <c r="I40" s="618"/>
      <c r="J40" s="618"/>
      <c r="K40" s="618"/>
      <c r="L40" s="618"/>
      <c r="M40" s="618"/>
      <c r="N40" s="618"/>
      <c r="O40" s="618"/>
      <c r="P40" s="618"/>
    </row>
    <row r="41" spans="1:16" s="139" customFormat="1" ht="17.25" customHeight="1" x14ac:dyDescent="0.2">
      <c r="A41" s="420"/>
      <c r="B41" s="239" t="s">
        <v>589</v>
      </c>
      <c r="C41" s="239" t="s">
        <v>880</v>
      </c>
      <c r="D41" s="662"/>
      <c r="E41" s="663"/>
      <c r="F41" s="664"/>
      <c r="G41" s="420"/>
      <c r="H41" s="420"/>
      <c r="I41" s="420"/>
      <c r="J41" s="665"/>
      <c r="K41" s="455"/>
    </row>
    <row r="42" spans="1:16" customFormat="1" x14ac:dyDescent="0.2">
      <c r="A42" s="198"/>
      <c r="B42" s="1780" t="s">
        <v>881</v>
      </c>
      <c r="C42" s="751">
        <v>4.83</v>
      </c>
      <c r="D42" s="211"/>
      <c r="E42" s="212"/>
      <c r="F42" s="20"/>
      <c r="G42" s="198"/>
      <c r="H42" s="198"/>
      <c r="I42" s="198"/>
      <c r="J42" s="34"/>
      <c r="K42" s="4"/>
    </row>
    <row r="43" spans="1:16" customFormat="1" x14ac:dyDescent="0.2">
      <c r="A43" s="198"/>
      <c r="B43" s="1865"/>
      <c r="C43" s="751">
        <v>4.84</v>
      </c>
      <c r="D43" s="211"/>
      <c r="E43" s="212"/>
      <c r="F43" s="20"/>
      <c r="G43" s="198"/>
      <c r="H43" s="198"/>
      <c r="I43" s="198"/>
      <c r="J43" s="34"/>
      <c r="K43" s="4"/>
    </row>
    <row r="44" spans="1:16" customFormat="1" x14ac:dyDescent="0.2">
      <c r="A44" s="198"/>
      <c r="B44" s="1865"/>
      <c r="C44" s="751">
        <v>4.83</v>
      </c>
      <c r="D44" s="211"/>
      <c r="E44" s="212"/>
      <c r="F44" s="20"/>
      <c r="G44" s="198"/>
      <c r="H44" s="198"/>
      <c r="I44" s="198"/>
      <c r="J44" s="34"/>
      <c r="K44" s="4"/>
    </row>
    <row r="45" spans="1:16" customFormat="1" x14ac:dyDescent="0.2">
      <c r="A45" s="198"/>
      <c r="B45" s="1781"/>
      <c r="C45" s="751">
        <v>4.84</v>
      </c>
      <c r="D45" s="211"/>
      <c r="E45" s="212"/>
      <c r="F45" s="20"/>
      <c r="G45" s="198"/>
      <c r="H45" s="198"/>
      <c r="I45" s="198"/>
      <c r="J45" s="34"/>
      <c r="K45" s="4"/>
    </row>
    <row r="46" spans="1:16" customFormat="1" x14ac:dyDescent="0.2">
      <c r="A46" s="198"/>
      <c r="B46" s="1780" t="s">
        <v>882</v>
      </c>
      <c r="C46" s="751">
        <v>2.11</v>
      </c>
      <c r="D46" s="211"/>
      <c r="E46" s="212"/>
      <c r="F46" s="20"/>
      <c r="G46" s="198"/>
      <c r="H46" s="198"/>
      <c r="I46" s="198"/>
      <c r="J46" s="34"/>
      <c r="K46" s="4"/>
    </row>
    <row r="47" spans="1:16" customFormat="1" x14ac:dyDescent="0.2">
      <c r="A47" s="198"/>
      <c r="B47" s="1865"/>
      <c r="C47" s="751">
        <v>1.65</v>
      </c>
      <c r="D47" s="211"/>
      <c r="E47" s="212"/>
      <c r="F47" s="20"/>
      <c r="G47" s="198"/>
      <c r="H47" s="198"/>
      <c r="I47" s="198"/>
      <c r="J47" s="34"/>
      <c r="K47" s="4"/>
    </row>
    <row r="48" spans="1:16" customFormat="1" x14ac:dyDescent="0.2">
      <c r="A48" s="198"/>
      <c r="B48" s="1865"/>
      <c r="C48" s="751">
        <v>5.92</v>
      </c>
      <c r="D48" s="211"/>
      <c r="E48" s="212"/>
      <c r="F48" s="20"/>
      <c r="G48" s="198"/>
      <c r="H48" s="198"/>
      <c r="I48" s="198"/>
      <c r="J48" s="34"/>
      <c r="K48" s="4"/>
    </row>
    <row r="49" spans="1:16" customFormat="1" x14ac:dyDescent="0.2">
      <c r="A49" s="198"/>
      <c r="B49" s="1865"/>
      <c r="C49" s="751">
        <v>8.5500000000000007</v>
      </c>
      <c r="D49" s="211"/>
      <c r="E49" s="212"/>
      <c r="F49" s="20"/>
      <c r="G49" s="198"/>
      <c r="H49" s="198"/>
      <c r="I49" s="198"/>
      <c r="J49" s="34"/>
      <c r="K49" s="4"/>
    </row>
    <row r="50" spans="1:16" customFormat="1" x14ac:dyDescent="0.2">
      <c r="A50" s="198"/>
      <c r="B50" s="1865"/>
      <c r="C50" s="751">
        <v>7.68</v>
      </c>
      <c r="D50" s="211"/>
      <c r="E50" s="212"/>
      <c r="F50" s="20"/>
      <c r="G50" s="198"/>
      <c r="H50" s="198"/>
      <c r="I50" s="198"/>
      <c r="J50" s="34"/>
      <c r="K50" s="4"/>
    </row>
    <row r="51" spans="1:16" customFormat="1" x14ac:dyDescent="0.2">
      <c r="A51" s="198"/>
      <c r="B51" s="1781"/>
      <c r="C51" s="751">
        <v>8.5500000000000007</v>
      </c>
      <c r="D51" s="211"/>
      <c r="E51" s="212"/>
      <c r="F51" s="20"/>
      <c r="G51" s="198"/>
      <c r="H51" s="198"/>
      <c r="I51" s="198"/>
      <c r="J51" s="34"/>
      <c r="K51" s="4"/>
    </row>
    <row r="52" spans="1:16" customFormat="1" x14ac:dyDescent="0.2">
      <c r="A52" s="198"/>
      <c r="B52" s="658" t="s">
        <v>885</v>
      </c>
      <c r="C52" s="751">
        <v>9.3000000000000007</v>
      </c>
      <c r="D52" s="211"/>
      <c r="E52" s="212"/>
      <c r="F52" s="20"/>
      <c r="G52" s="198"/>
      <c r="H52" s="198"/>
      <c r="I52" s="198"/>
      <c r="J52" s="34"/>
      <c r="K52" s="4"/>
    </row>
    <row r="53" spans="1:16" customFormat="1" x14ac:dyDescent="0.2">
      <c r="A53" s="198"/>
      <c r="B53" s="536"/>
      <c r="C53" s="210"/>
      <c r="D53" s="211"/>
      <c r="E53" s="212"/>
      <c r="F53" s="20"/>
      <c r="G53" s="198"/>
      <c r="H53" s="198"/>
      <c r="I53" s="198"/>
      <c r="J53" s="34"/>
      <c r="K53" s="4"/>
    </row>
    <row r="54" spans="1:16" s="21" customFormat="1" ht="13.5" customHeight="1" x14ac:dyDescent="0.2">
      <c r="A54" s="652"/>
      <c r="B54" s="659" t="s">
        <v>47</v>
      </c>
      <c r="C54" s="661">
        <f>ROUND(SUM(C42:C52),2)</f>
        <v>63.1</v>
      </c>
      <c r="D54" s="660" t="s">
        <v>12</v>
      </c>
      <c r="E54" s="477"/>
      <c r="F54" s="477"/>
      <c r="G54" s="477"/>
      <c r="H54" s="477"/>
      <c r="I54" s="477"/>
      <c r="J54" s="477"/>
      <c r="K54" s="474"/>
    </row>
    <row r="55" spans="1:16" customFormat="1" x14ac:dyDescent="0.2">
      <c r="A55" s="198"/>
      <c r="B55" s="536"/>
      <c r="C55" s="210"/>
      <c r="D55" s="211"/>
      <c r="E55" s="212"/>
      <c r="F55" s="20"/>
      <c r="G55" s="198"/>
      <c r="H55" s="198"/>
      <c r="I55" s="198"/>
      <c r="J55" s="34"/>
      <c r="K55" s="4"/>
    </row>
    <row r="56" spans="1:16" s="629" customFormat="1" ht="28.5" customHeight="1" x14ac:dyDescent="0.2">
      <c r="A56" s="229" t="str">
        <f>ORÇ!A310</f>
        <v>13.1.7</v>
      </c>
      <c r="B56" s="1869" t="str">
        <f>ORÇ!D310</f>
        <v>CAIXA ENTERRADA RETANGULAR, EM CONCRETO PRÉ-MOLDADO, FUNDO COM BRITA, DIMENSÕES INTERNAS: 0,3X0,3X0,3 M. AF_12/2020</v>
      </c>
      <c r="C56" s="1869"/>
      <c r="D56" s="1869"/>
      <c r="E56" s="1869"/>
      <c r="F56" s="1869"/>
      <c r="G56" s="1869"/>
      <c r="H56" s="1869"/>
      <c r="I56" s="1869"/>
      <c r="J56" s="1869"/>
      <c r="K56" s="1869"/>
      <c r="L56" s="1869"/>
      <c r="M56" s="1869"/>
      <c r="N56" s="630"/>
      <c r="O56" s="630"/>
      <c r="P56" s="630"/>
    </row>
    <row r="57" spans="1:16" s="266" customFormat="1" x14ac:dyDescent="0.2">
      <c r="A57" s="202"/>
      <c r="B57" s="202"/>
      <c r="C57" s="202"/>
      <c r="D57" s="202"/>
      <c r="E57" s="202"/>
      <c r="F57" s="202"/>
      <c r="G57" s="202"/>
      <c r="H57" s="202"/>
      <c r="I57" s="202"/>
      <c r="J57" s="202"/>
      <c r="K57" s="202"/>
      <c r="L57" s="202"/>
      <c r="M57" s="202"/>
      <c r="N57" s="618"/>
      <c r="O57" s="618"/>
      <c r="P57" s="618"/>
    </row>
    <row r="58" spans="1:16" s="266" customFormat="1" x14ac:dyDescent="0.2">
      <c r="A58" s="202"/>
      <c r="B58" s="158" t="s">
        <v>163</v>
      </c>
      <c r="C58" s="159">
        <v>4</v>
      </c>
      <c r="D58" s="317" t="s">
        <v>668</v>
      </c>
      <c r="E58" s="202"/>
      <c r="F58" s="202"/>
      <c r="G58" s="202"/>
      <c r="H58" s="202"/>
      <c r="I58" s="202"/>
      <c r="J58" s="202"/>
      <c r="K58" s="202"/>
      <c r="L58" s="202"/>
      <c r="M58" s="202"/>
      <c r="N58" s="618"/>
      <c r="O58" s="618"/>
      <c r="P58" s="618"/>
    </row>
    <row r="59" spans="1:16" s="266" customFormat="1" x14ac:dyDescent="0.2">
      <c r="A59" s="1020"/>
      <c r="B59" s="1022"/>
      <c r="C59" s="1020"/>
      <c r="D59" s="1020"/>
      <c r="E59" s="1020"/>
      <c r="F59" s="1020"/>
      <c r="G59" s="1020"/>
      <c r="H59" s="1020"/>
      <c r="I59" s="618"/>
      <c r="J59" s="618"/>
      <c r="K59" s="618"/>
      <c r="L59" s="618"/>
      <c r="M59" s="618"/>
      <c r="N59" s="618"/>
      <c r="O59" s="618"/>
      <c r="P59" s="618"/>
    </row>
    <row r="60" spans="1:16" s="266" customFormat="1" ht="21" customHeight="1" x14ac:dyDescent="0.2">
      <c r="A60" s="229" t="str">
        <f>ORÇ!A311</f>
        <v>13.1.8</v>
      </c>
      <c r="B60" s="1869" t="str">
        <f>ORÇ!D311</f>
        <v>FORNECIMENTO DE RALO FOFO SEMIESFÉRICO, DN 100MM, PARA LAJES/CALHAS</v>
      </c>
      <c r="C60" s="1869"/>
      <c r="D60" s="1869"/>
      <c r="E60" s="1869"/>
      <c r="F60" s="1869"/>
      <c r="G60" s="1869"/>
      <c r="H60" s="1869"/>
      <c r="I60" s="1869"/>
      <c r="J60" s="1869"/>
      <c r="K60" s="1869"/>
      <c r="L60" s="1869"/>
      <c r="M60" s="1869"/>
      <c r="N60" s="618"/>
      <c r="O60" s="618"/>
      <c r="P60" s="618"/>
    </row>
    <row r="61" spans="1:16" s="266" customFormat="1" x14ac:dyDescent="0.2">
      <c r="A61" s="202"/>
      <c r="B61" s="202"/>
      <c r="C61" s="202"/>
      <c r="D61" s="202"/>
      <c r="E61" s="202"/>
      <c r="F61" s="202"/>
      <c r="G61" s="202"/>
      <c r="H61" s="202"/>
      <c r="I61" s="202"/>
      <c r="J61" s="202"/>
      <c r="K61" s="202"/>
      <c r="L61" s="202"/>
      <c r="M61" s="202"/>
      <c r="N61" s="618"/>
      <c r="O61" s="618"/>
      <c r="P61" s="618"/>
    </row>
    <row r="62" spans="1:16" s="266" customFormat="1" x14ac:dyDescent="0.2">
      <c r="A62" s="202"/>
      <c r="B62" s="158" t="s">
        <v>163</v>
      </c>
      <c r="C62" s="159">
        <v>6</v>
      </c>
      <c r="D62" s="317" t="s">
        <v>668</v>
      </c>
      <c r="E62" s="202"/>
      <c r="F62" s="202"/>
      <c r="G62" s="202"/>
      <c r="H62" s="202"/>
      <c r="I62" s="202"/>
      <c r="J62" s="202"/>
      <c r="K62" s="202"/>
      <c r="L62" s="202"/>
      <c r="M62" s="202"/>
      <c r="N62" s="618"/>
      <c r="O62" s="618"/>
      <c r="P62" s="618"/>
    </row>
    <row r="63" spans="1:16" s="266" customFormat="1" x14ac:dyDescent="0.2">
      <c r="A63" s="1020"/>
      <c r="B63" s="1022"/>
      <c r="C63" s="1020"/>
      <c r="D63" s="1020"/>
      <c r="E63" s="1020"/>
      <c r="F63" s="1020"/>
      <c r="G63" s="1020"/>
      <c r="H63" s="1020"/>
      <c r="I63" s="618"/>
      <c r="J63" s="618"/>
      <c r="K63" s="618"/>
      <c r="L63" s="618"/>
      <c r="M63" s="618"/>
      <c r="N63" s="618"/>
      <c r="O63" s="618"/>
      <c r="P63" s="618"/>
    </row>
    <row r="64" spans="1:16" s="266" customFormat="1" x14ac:dyDescent="0.2">
      <c r="A64" s="1020"/>
      <c r="B64" s="1022"/>
      <c r="C64" s="1020"/>
      <c r="D64" s="1020"/>
      <c r="E64" s="1020"/>
      <c r="F64" s="1020"/>
      <c r="G64" s="1020"/>
      <c r="H64" s="1020"/>
      <c r="I64" s="618"/>
      <c r="J64" s="618"/>
      <c r="K64" s="618"/>
      <c r="L64" s="618"/>
      <c r="M64" s="618"/>
      <c r="N64" s="618"/>
      <c r="O64" s="618"/>
      <c r="P64" s="618"/>
    </row>
    <row r="65" spans="1:16" s="266" customFormat="1" x14ac:dyDescent="0.2">
      <c r="A65" s="1032" t="str">
        <f>ORÇ!A312</f>
        <v>13.2</v>
      </c>
      <c r="B65" s="202" t="str">
        <f>ORÇ!D312</f>
        <v>Água Fria</v>
      </c>
      <c r="C65" s="202"/>
      <c r="D65" s="202"/>
      <c r="E65" s="202"/>
      <c r="F65" s="202"/>
      <c r="G65" s="202"/>
      <c r="H65" s="202"/>
      <c r="I65" s="202"/>
      <c r="J65" s="202"/>
      <c r="K65" s="202"/>
      <c r="L65" s="202"/>
      <c r="M65" s="202"/>
      <c r="N65" s="202"/>
      <c r="O65" s="202"/>
      <c r="P65" s="202"/>
    </row>
    <row r="66" spans="1:16" s="266" customFormat="1" ht="30" customHeight="1" x14ac:dyDescent="0.2">
      <c r="A66" s="254" t="str">
        <f>ORÇ!A313</f>
        <v>13.2.1</v>
      </c>
      <c r="B66" s="1850" t="str">
        <f>ORÇ!D313</f>
        <v>TUBO, PVC, SOLDÁVEL, DN 20MM, INSTALADO EM RAMAL DE DISTRIBUIÇÃO DE ÁGUA - FORNECIMENTO E INSTALAÇÃO. AF_12/2014</v>
      </c>
      <c r="C66" s="1850"/>
      <c r="D66" s="1850"/>
      <c r="E66" s="1850"/>
      <c r="F66" s="1850"/>
      <c r="G66" s="1850"/>
      <c r="H66" s="1850"/>
      <c r="I66" s="1850"/>
      <c r="J66" s="1850"/>
      <c r="K66" s="1850"/>
      <c r="L66" s="1850"/>
      <c r="M66" s="1850"/>
      <c r="N66" s="202"/>
      <c r="O66" s="202"/>
      <c r="P66" s="202"/>
    </row>
    <row r="67" spans="1:16" s="266" customFormat="1" x14ac:dyDescent="0.2">
      <c r="A67" s="254"/>
      <c r="B67" s="897"/>
      <c r="C67" s="897"/>
      <c r="D67" s="897"/>
      <c r="E67" s="897"/>
      <c r="F67" s="897"/>
      <c r="G67" s="897"/>
      <c r="H67" s="897"/>
      <c r="I67" s="202"/>
      <c r="J67" s="202"/>
      <c r="K67" s="202"/>
      <c r="L67" s="202"/>
      <c r="M67" s="202"/>
      <c r="N67" s="202"/>
      <c r="O67" s="202"/>
      <c r="P67" s="202"/>
    </row>
    <row r="68" spans="1:16" s="266" customFormat="1" x14ac:dyDescent="0.2">
      <c r="A68" s="202"/>
      <c r="B68" s="158" t="s">
        <v>163</v>
      </c>
      <c r="C68" s="159">
        <v>41.8</v>
      </c>
      <c r="D68" s="317" t="s">
        <v>12</v>
      </c>
      <c r="E68" s="202"/>
      <c r="F68" s="202"/>
      <c r="G68" s="202"/>
      <c r="H68" s="202"/>
      <c r="I68" s="202"/>
      <c r="J68" s="202"/>
      <c r="K68" s="202"/>
      <c r="L68" s="202"/>
      <c r="M68" s="202"/>
      <c r="N68" s="202"/>
      <c r="O68" s="202"/>
      <c r="P68" s="202"/>
    </row>
    <row r="69" spans="1:16" s="266" customFormat="1" ht="15" customHeight="1" x14ac:dyDescent="0.2">
      <c r="A69" s="202"/>
      <c r="B69" s="202"/>
      <c r="C69" s="202"/>
      <c r="D69" s="202"/>
      <c r="E69" s="202"/>
      <c r="F69" s="202"/>
      <c r="G69" s="202"/>
      <c r="H69" s="202"/>
      <c r="I69" s="202"/>
      <c r="J69" s="202"/>
      <c r="K69" s="202"/>
      <c r="L69" s="202"/>
      <c r="M69" s="202"/>
      <c r="N69" s="202"/>
      <c r="O69" s="202"/>
      <c r="P69" s="202"/>
    </row>
    <row r="70" spans="1:16" s="266" customFormat="1" ht="34.5" customHeight="1" x14ac:dyDescent="0.2">
      <c r="A70" s="254" t="str">
        <f>ORÇ!A314</f>
        <v>13.2.2</v>
      </c>
      <c r="B70" s="1850" t="str">
        <f>ORÇ!D314</f>
        <v>TUBO, PVC, SOLDÁVEL, DN 25MM, INSTALADO EM RAMAL DE DISTRIBUIÇÃO DE ÁGUA - FORNECIMENTO E INSTALAÇÃO. AF_12/2014</v>
      </c>
      <c r="C70" s="1850"/>
      <c r="D70" s="1850"/>
      <c r="E70" s="1850"/>
      <c r="F70" s="1850"/>
      <c r="G70" s="1850"/>
      <c r="H70" s="1850"/>
      <c r="I70" s="1850"/>
      <c r="J70" s="1850"/>
      <c r="K70" s="1850"/>
      <c r="L70" s="1850"/>
      <c r="M70" s="1850"/>
      <c r="N70" s="202"/>
      <c r="O70" s="202"/>
      <c r="P70" s="202"/>
    </row>
    <row r="71" spans="1:16" s="266" customFormat="1" x14ac:dyDescent="0.2">
      <c r="A71" s="254"/>
      <c r="B71" s="897"/>
      <c r="C71" s="897"/>
      <c r="D71" s="897"/>
      <c r="E71" s="897"/>
      <c r="F71" s="897"/>
      <c r="G71" s="897"/>
      <c r="H71" s="897"/>
      <c r="I71" s="202"/>
      <c r="J71" s="202"/>
      <c r="K71" s="202"/>
      <c r="L71" s="202"/>
      <c r="M71" s="202"/>
      <c r="N71" s="202"/>
      <c r="O71" s="202"/>
      <c r="P71" s="202"/>
    </row>
    <row r="72" spans="1:16" s="266" customFormat="1" x14ac:dyDescent="0.2">
      <c r="A72" s="202"/>
      <c r="B72" s="158" t="s">
        <v>163</v>
      </c>
      <c r="C72" s="159">
        <v>77.400000000000006</v>
      </c>
      <c r="D72" s="317" t="s">
        <v>12</v>
      </c>
      <c r="E72" s="202"/>
      <c r="F72" s="202"/>
      <c r="G72" s="202"/>
      <c r="H72" s="202"/>
      <c r="I72" s="202"/>
      <c r="J72" s="202"/>
      <c r="K72" s="202"/>
      <c r="L72" s="202"/>
      <c r="M72" s="202"/>
      <c r="N72" s="202"/>
      <c r="O72" s="202"/>
      <c r="P72" s="202"/>
    </row>
    <row r="73" spans="1:16" s="266" customFormat="1" ht="15" customHeight="1" x14ac:dyDescent="0.2">
      <c r="A73" s="202"/>
      <c r="B73" s="202"/>
      <c r="C73" s="202"/>
      <c r="D73" s="202"/>
      <c r="E73" s="202"/>
      <c r="F73" s="202"/>
      <c r="G73" s="202"/>
      <c r="H73" s="202"/>
      <c r="I73" s="202"/>
      <c r="J73" s="202"/>
      <c r="K73" s="202"/>
      <c r="L73" s="202"/>
      <c r="M73" s="202"/>
      <c r="N73" s="202"/>
      <c r="O73" s="202"/>
      <c r="P73" s="202"/>
    </row>
    <row r="74" spans="1:16" s="266" customFormat="1" ht="34.5" customHeight="1" x14ac:dyDescent="0.2">
      <c r="A74" s="254" t="str">
        <f>ORÇ!A315</f>
        <v>13.2.3</v>
      </c>
      <c r="B74" s="1850" t="str">
        <f>ORÇ!D315</f>
        <v>TUBO, PVC, SOLDÁVEL, DN 32MM, INSTALADO EM RAMAL DE DISTRIBUIÇÃO DE ÁGUA - FORNECIMENTO E INSTALAÇÃO. AF_12/2014</v>
      </c>
      <c r="C74" s="1850"/>
      <c r="D74" s="1850"/>
      <c r="E74" s="1850"/>
      <c r="F74" s="1850"/>
      <c r="G74" s="1850"/>
      <c r="H74" s="1850"/>
      <c r="I74" s="1850"/>
      <c r="J74" s="1850"/>
      <c r="K74" s="1850"/>
      <c r="L74" s="1850"/>
      <c r="M74" s="1850"/>
      <c r="N74" s="202"/>
      <c r="O74" s="202"/>
      <c r="P74" s="202"/>
    </row>
    <row r="75" spans="1:16" s="266" customFormat="1" x14ac:dyDescent="0.2">
      <c r="A75" s="254"/>
      <c r="B75" s="897"/>
      <c r="C75" s="897"/>
      <c r="D75" s="897"/>
      <c r="E75" s="897"/>
      <c r="F75" s="897"/>
      <c r="G75" s="897"/>
      <c r="H75" s="897"/>
      <c r="I75" s="202"/>
      <c r="J75" s="202"/>
      <c r="K75" s="202"/>
      <c r="L75" s="202"/>
      <c r="M75" s="202"/>
      <c r="N75" s="202"/>
      <c r="O75" s="202"/>
      <c r="P75" s="202"/>
    </row>
    <row r="76" spans="1:16" s="266" customFormat="1" x14ac:dyDescent="0.2">
      <c r="A76" s="202"/>
      <c r="B76" s="158" t="s">
        <v>163</v>
      </c>
      <c r="C76" s="159">
        <v>51.3</v>
      </c>
      <c r="D76" s="317" t="s">
        <v>12</v>
      </c>
      <c r="E76" s="202"/>
      <c r="F76" s="202"/>
      <c r="G76" s="202"/>
      <c r="H76" s="202"/>
      <c r="I76" s="202"/>
      <c r="J76" s="202"/>
      <c r="K76" s="202"/>
      <c r="L76" s="202"/>
      <c r="M76" s="202"/>
      <c r="N76" s="202"/>
      <c r="O76" s="202"/>
      <c r="P76" s="202"/>
    </row>
    <row r="77" spans="1:16" s="266" customFormat="1" ht="15" customHeight="1" x14ac:dyDescent="0.2">
      <c r="A77" s="202"/>
      <c r="B77" s="202"/>
      <c r="C77" s="202"/>
      <c r="D77" s="202"/>
      <c r="E77" s="202"/>
      <c r="F77" s="202"/>
      <c r="G77" s="202"/>
      <c r="H77" s="202"/>
      <c r="I77" s="202"/>
      <c r="J77" s="202"/>
      <c r="K77" s="202"/>
      <c r="L77" s="202"/>
      <c r="M77" s="202"/>
      <c r="N77" s="202"/>
      <c r="O77" s="202"/>
      <c r="P77" s="202"/>
    </row>
    <row r="78" spans="1:16" s="266" customFormat="1" ht="23.25" customHeight="1" x14ac:dyDescent="0.2">
      <c r="A78" s="254" t="str">
        <f>ORÇ!A316</f>
        <v>13.2.4</v>
      </c>
      <c r="B78" s="1850" t="str">
        <f>ORÇ!D316</f>
        <v>JOELHO/COTOVELO 90º PVC SRM - 20MM X 1/2" (LH)</v>
      </c>
      <c r="C78" s="1850"/>
      <c r="D78" s="1850"/>
      <c r="E78" s="1850"/>
      <c r="F78" s="1850"/>
      <c r="G78" s="1850"/>
      <c r="H78" s="1850"/>
      <c r="I78" s="1850"/>
      <c r="J78" s="1850"/>
      <c r="K78" s="1850"/>
      <c r="L78" s="1850"/>
      <c r="M78" s="1850"/>
      <c r="N78" s="202"/>
      <c r="O78" s="202"/>
      <c r="P78" s="202"/>
    </row>
    <row r="79" spans="1:16" s="266" customFormat="1" x14ac:dyDescent="0.2">
      <c r="A79" s="254"/>
      <c r="B79" s="897"/>
      <c r="C79" s="897"/>
      <c r="D79" s="897"/>
      <c r="E79" s="897"/>
      <c r="F79" s="897"/>
      <c r="G79" s="897"/>
      <c r="H79" s="897"/>
      <c r="I79" s="202"/>
      <c r="J79" s="202"/>
      <c r="K79" s="202"/>
      <c r="L79" s="202"/>
      <c r="M79" s="202"/>
      <c r="N79" s="202"/>
      <c r="O79" s="202"/>
      <c r="P79" s="202"/>
    </row>
    <row r="80" spans="1:16" s="266" customFormat="1" x14ac:dyDescent="0.2">
      <c r="A80" s="202"/>
      <c r="B80" s="158" t="s">
        <v>163</v>
      </c>
      <c r="C80" s="159">
        <v>25</v>
      </c>
      <c r="D80" s="317" t="s">
        <v>1821</v>
      </c>
      <c r="E80" s="202"/>
      <c r="F80" s="202"/>
      <c r="G80" s="202"/>
      <c r="H80" s="202"/>
      <c r="I80" s="202"/>
      <c r="J80" s="202"/>
      <c r="K80" s="202"/>
      <c r="L80" s="202"/>
      <c r="M80" s="202"/>
      <c r="N80" s="202"/>
      <c r="O80" s="202"/>
      <c r="P80" s="202"/>
    </row>
    <row r="81" spans="1:16" s="266" customFormat="1" ht="15" customHeight="1" x14ac:dyDescent="0.2">
      <c r="A81" s="202"/>
      <c r="B81" s="202"/>
      <c r="C81" s="202"/>
      <c r="D81" s="202"/>
      <c r="E81" s="202"/>
      <c r="F81" s="202"/>
      <c r="G81" s="202"/>
      <c r="H81" s="202"/>
      <c r="I81" s="202"/>
      <c r="J81" s="202"/>
      <c r="K81" s="202"/>
      <c r="L81" s="202"/>
      <c r="M81" s="202"/>
      <c r="N81" s="202"/>
      <c r="O81" s="202"/>
      <c r="P81" s="202"/>
    </row>
    <row r="82" spans="1:16" s="266" customFormat="1" ht="34.5" customHeight="1" x14ac:dyDescent="0.2">
      <c r="A82" s="254" t="str">
        <f>ORÇ!A317</f>
        <v>13.2.5</v>
      </c>
      <c r="B82" s="1850" t="str">
        <f>ORÇ!D317</f>
        <v>JOELHO 90 GRAUS, PVC, SOLDÁVEL, DN 20MM, INSTALADO EM RAMAL DE DISTRIBUIÇÃO DE ÁGUA - FORNECIMENTO E INSTALAÇÃO. AF_12/2014</v>
      </c>
      <c r="C82" s="1850"/>
      <c r="D82" s="1850"/>
      <c r="E82" s="1850"/>
      <c r="F82" s="1850"/>
      <c r="G82" s="1850"/>
      <c r="H82" s="1850"/>
      <c r="I82" s="1850"/>
      <c r="J82" s="1850"/>
      <c r="K82" s="1850"/>
      <c r="L82" s="1850"/>
      <c r="M82" s="1850"/>
      <c r="N82" s="202"/>
      <c r="O82" s="202"/>
      <c r="P82" s="202"/>
    </row>
    <row r="83" spans="1:16" s="266" customFormat="1" x14ac:dyDescent="0.2">
      <c r="A83" s="254"/>
      <c r="B83" s="897"/>
      <c r="C83" s="897"/>
      <c r="D83" s="897"/>
      <c r="E83" s="897"/>
      <c r="F83" s="897"/>
      <c r="G83" s="897"/>
      <c r="H83" s="897"/>
      <c r="I83" s="202"/>
      <c r="J83" s="202"/>
      <c r="K83" s="202"/>
      <c r="L83" s="202"/>
      <c r="M83" s="202"/>
      <c r="N83" s="202"/>
      <c r="O83" s="202"/>
      <c r="P83" s="202"/>
    </row>
    <row r="84" spans="1:16" s="266" customFormat="1" x14ac:dyDescent="0.2">
      <c r="A84" s="202"/>
      <c r="B84" s="158" t="s">
        <v>163</v>
      </c>
      <c r="C84" s="159">
        <v>12</v>
      </c>
      <c r="D84" s="317" t="s">
        <v>1821</v>
      </c>
      <c r="E84" s="202"/>
      <c r="F84" s="202"/>
      <c r="G84" s="202"/>
      <c r="H84" s="202"/>
      <c r="I84" s="202"/>
      <c r="J84" s="202"/>
      <c r="K84" s="202"/>
      <c r="L84" s="202"/>
      <c r="M84" s="202"/>
      <c r="N84" s="202"/>
      <c r="O84" s="202"/>
      <c r="P84" s="202"/>
    </row>
    <row r="85" spans="1:16" s="266" customFormat="1" ht="15" customHeight="1" x14ac:dyDescent="0.2">
      <c r="A85" s="202"/>
      <c r="B85" s="202"/>
      <c r="C85" s="202"/>
      <c r="D85" s="202"/>
      <c r="E85" s="202"/>
      <c r="F85" s="202"/>
      <c r="G85" s="202"/>
      <c r="H85" s="202"/>
      <c r="I85" s="202"/>
      <c r="J85" s="202"/>
      <c r="K85" s="202"/>
      <c r="L85" s="202"/>
      <c r="M85" s="202"/>
      <c r="N85" s="202"/>
      <c r="O85" s="202"/>
      <c r="P85" s="202"/>
    </row>
    <row r="86" spans="1:16" s="266" customFormat="1" ht="34.5" customHeight="1" x14ac:dyDescent="0.2">
      <c r="A86" s="254" t="str">
        <f>ORÇ!A318</f>
        <v>13.2.6</v>
      </c>
      <c r="B86" s="1850" t="str">
        <f>ORÇ!D318</f>
        <v>JOELHO 90 GRAUS, PVC, SOLDÁVEL, DN 25MM, INSTALADO EM RAMAL DE DISTRIBUIÇÃO DE ÁGUA - FORNECIMENTO E INSTALAÇÃO. AF_12/2014</v>
      </c>
      <c r="C86" s="1850"/>
      <c r="D86" s="1850"/>
      <c r="E86" s="1850"/>
      <c r="F86" s="1850"/>
      <c r="G86" s="1850"/>
      <c r="H86" s="1850"/>
      <c r="I86" s="1850"/>
      <c r="J86" s="1850"/>
      <c r="K86" s="1850"/>
      <c r="L86" s="1850"/>
      <c r="M86" s="1850"/>
      <c r="N86" s="202"/>
      <c r="O86" s="202"/>
      <c r="P86" s="202"/>
    </row>
    <row r="87" spans="1:16" s="266" customFormat="1" x14ac:dyDescent="0.2">
      <c r="A87" s="254"/>
      <c r="B87" s="897"/>
      <c r="C87" s="897"/>
      <c r="D87" s="897"/>
      <c r="E87" s="897"/>
      <c r="F87" s="897"/>
      <c r="G87" s="897"/>
      <c r="H87" s="897"/>
      <c r="I87" s="202"/>
      <c r="J87" s="202"/>
      <c r="K87" s="202"/>
      <c r="L87" s="202"/>
      <c r="M87" s="202"/>
      <c r="N87" s="202"/>
      <c r="O87" s="202"/>
      <c r="P87" s="202"/>
    </row>
    <row r="88" spans="1:16" s="266" customFormat="1" x14ac:dyDescent="0.2">
      <c r="A88" s="202"/>
      <c r="B88" s="158" t="s">
        <v>163</v>
      </c>
      <c r="C88" s="159">
        <v>11</v>
      </c>
      <c r="D88" s="317" t="s">
        <v>1821</v>
      </c>
      <c r="E88" s="202"/>
      <c r="F88" s="202"/>
      <c r="G88" s="202"/>
      <c r="H88" s="202"/>
      <c r="I88" s="202"/>
      <c r="J88" s="202"/>
      <c r="K88" s="202"/>
      <c r="L88" s="202"/>
      <c r="M88" s="202"/>
      <c r="N88" s="202"/>
      <c r="O88" s="202"/>
      <c r="P88" s="202"/>
    </row>
    <row r="89" spans="1:16" s="266" customFormat="1" ht="15" customHeight="1" x14ac:dyDescent="0.2">
      <c r="A89" s="202"/>
      <c r="B89" s="202"/>
      <c r="C89" s="202"/>
      <c r="D89" s="202"/>
      <c r="E89" s="202"/>
      <c r="F89" s="202"/>
      <c r="G89" s="202"/>
      <c r="H89" s="202"/>
      <c r="I89" s="202"/>
      <c r="J89" s="202"/>
      <c r="K89" s="202"/>
      <c r="L89" s="202"/>
      <c r="M89" s="202"/>
      <c r="N89" s="202"/>
      <c r="O89" s="202"/>
      <c r="P89" s="202"/>
    </row>
    <row r="90" spans="1:16" s="266" customFormat="1" ht="34.5" customHeight="1" x14ac:dyDescent="0.2">
      <c r="A90" s="254" t="str">
        <f>ORÇ!A319</f>
        <v>13.2.7</v>
      </c>
      <c r="B90" s="1850" t="str">
        <f>ORÇ!D319</f>
        <v>JOELHO 90 GRAUS, PVC, SOLDÁVEL, DN 32MM, INSTALADO EM RAMAL DE DISTRIBUIÇÃO DE ÁGUA - FORNECIMENTO E INSTALAÇÃO. AF_12/2014</v>
      </c>
      <c r="C90" s="1850"/>
      <c r="D90" s="1850"/>
      <c r="E90" s="1850"/>
      <c r="F90" s="1850"/>
      <c r="G90" s="1850"/>
      <c r="H90" s="1850"/>
      <c r="I90" s="1850"/>
      <c r="J90" s="1850"/>
      <c r="K90" s="1850"/>
      <c r="L90" s="1850"/>
      <c r="M90" s="1850"/>
      <c r="N90" s="202"/>
      <c r="O90" s="202"/>
      <c r="P90" s="202"/>
    </row>
    <row r="91" spans="1:16" s="266" customFormat="1" x14ac:dyDescent="0.2">
      <c r="A91" s="254"/>
      <c r="B91" s="897"/>
      <c r="C91" s="897"/>
      <c r="D91" s="897"/>
      <c r="E91" s="897"/>
      <c r="F91" s="897"/>
      <c r="G91" s="897"/>
      <c r="H91" s="897"/>
      <c r="I91" s="202"/>
      <c r="J91" s="202"/>
      <c r="K91" s="202"/>
      <c r="L91" s="202"/>
      <c r="M91" s="202"/>
      <c r="N91" s="202"/>
      <c r="O91" s="202"/>
      <c r="P91" s="202"/>
    </row>
    <row r="92" spans="1:16" s="266" customFormat="1" x14ac:dyDescent="0.2">
      <c r="A92" s="202"/>
      <c r="B92" s="158" t="s">
        <v>163</v>
      </c>
      <c r="C92" s="159">
        <v>14</v>
      </c>
      <c r="D92" s="317" t="s">
        <v>1821</v>
      </c>
      <c r="E92" s="202"/>
      <c r="F92" s="202"/>
      <c r="G92" s="202"/>
      <c r="H92" s="202"/>
      <c r="I92" s="202"/>
      <c r="J92" s="202"/>
      <c r="K92" s="202"/>
      <c r="L92" s="202"/>
      <c r="M92" s="202"/>
      <c r="N92" s="202"/>
      <c r="O92" s="202"/>
      <c r="P92" s="202"/>
    </row>
    <row r="93" spans="1:16" s="266" customFormat="1" ht="15" customHeight="1" x14ac:dyDescent="0.2">
      <c r="A93" s="202"/>
      <c r="B93" s="202"/>
      <c r="C93" s="202"/>
      <c r="D93" s="202"/>
      <c r="E93" s="202"/>
      <c r="F93" s="202"/>
      <c r="G93" s="202"/>
      <c r="H93" s="202"/>
      <c r="I93" s="202"/>
      <c r="J93" s="202"/>
      <c r="K93" s="202"/>
      <c r="L93" s="202"/>
      <c r="M93" s="202"/>
      <c r="N93" s="202"/>
      <c r="O93" s="202"/>
      <c r="P93" s="202"/>
    </row>
    <row r="94" spans="1:16" s="266" customFormat="1" ht="34.5" customHeight="1" x14ac:dyDescent="0.2">
      <c r="A94" s="254" t="str">
        <f>ORÇ!A320</f>
        <v>13.2.8</v>
      </c>
      <c r="B94" s="1850" t="str">
        <f>ORÇ!D320</f>
        <v>JOELHO/COTOVELO DE REDUÇÃO 90° PVC JS - 32MM X 25MM (LH)</v>
      </c>
      <c r="C94" s="1850"/>
      <c r="D94" s="1850"/>
      <c r="E94" s="1850"/>
      <c r="F94" s="1850"/>
      <c r="G94" s="1850"/>
      <c r="H94" s="1850"/>
      <c r="I94" s="1850"/>
      <c r="J94" s="1850"/>
      <c r="K94" s="1850"/>
      <c r="L94" s="1850"/>
      <c r="M94" s="1850"/>
      <c r="N94" s="202"/>
      <c r="O94" s="202"/>
      <c r="P94" s="202"/>
    </row>
    <row r="95" spans="1:16" s="266" customFormat="1" x14ac:dyDescent="0.2">
      <c r="A95" s="254"/>
      <c r="B95" s="897"/>
      <c r="C95" s="897"/>
      <c r="D95" s="897"/>
      <c r="E95" s="897"/>
      <c r="F95" s="897"/>
      <c r="G95" s="897"/>
      <c r="H95" s="897"/>
      <c r="I95" s="202"/>
      <c r="J95" s="202"/>
      <c r="K95" s="202"/>
      <c r="L95" s="202"/>
      <c r="M95" s="202"/>
      <c r="N95" s="202"/>
      <c r="O95" s="202"/>
      <c r="P95" s="202"/>
    </row>
    <row r="96" spans="1:16" s="266" customFormat="1" x14ac:dyDescent="0.2">
      <c r="A96" s="202"/>
      <c r="B96" s="158" t="s">
        <v>163</v>
      </c>
      <c r="C96" s="159">
        <v>1</v>
      </c>
      <c r="D96" s="317" t="s">
        <v>1821</v>
      </c>
      <c r="E96" s="202"/>
      <c r="F96" s="202"/>
      <c r="G96" s="202"/>
      <c r="H96" s="202"/>
      <c r="I96" s="202"/>
      <c r="J96" s="202"/>
      <c r="K96" s="202"/>
      <c r="L96" s="202"/>
      <c r="M96" s="202"/>
      <c r="N96" s="202"/>
      <c r="O96" s="202"/>
      <c r="P96" s="202"/>
    </row>
    <row r="97" spans="1:16" s="266" customFormat="1" ht="15" customHeight="1" x14ac:dyDescent="0.2">
      <c r="A97" s="202"/>
      <c r="B97" s="202"/>
      <c r="C97" s="202"/>
      <c r="D97" s="202"/>
      <c r="E97" s="202"/>
      <c r="F97" s="202"/>
      <c r="G97" s="202"/>
      <c r="H97" s="202"/>
      <c r="I97" s="202"/>
      <c r="J97" s="202"/>
      <c r="K97" s="202"/>
      <c r="L97" s="202"/>
      <c r="M97" s="202"/>
      <c r="N97" s="202"/>
      <c r="O97" s="202"/>
      <c r="P97" s="202"/>
    </row>
    <row r="98" spans="1:16" s="266" customFormat="1" ht="34.5" customHeight="1" x14ac:dyDescent="0.2">
      <c r="A98" s="254" t="str">
        <f>ORÇ!A321</f>
        <v>13.2.9</v>
      </c>
      <c r="B98" s="1850" t="str">
        <f>ORÇ!D321</f>
        <v>LUVA DE CORRER, PVC, SOLDÁVEL, DN 32MM, INSTALADO EM RAMAL DE DISTRIBUIÇÃO DE ÁGUA   FORNECIMENTO E INSTALAÇÃO. AF_12/2014</v>
      </c>
      <c r="C98" s="1850"/>
      <c r="D98" s="1850"/>
      <c r="E98" s="1850"/>
      <c r="F98" s="1850"/>
      <c r="G98" s="1850"/>
      <c r="H98" s="1850"/>
      <c r="I98" s="1850"/>
      <c r="J98" s="1850"/>
      <c r="K98" s="1850"/>
      <c r="L98" s="1850"/>
      <c r="M98" s="1850"/>
      <c r="N98" s="202"/>
      <c r="O98" s="202"/>
      <c r="P98" s="202"/>
    </row>
    <row r="99" spans="1:16" s="266" customFormat="1" x14ac:dyDescent="0.2">
      <c r="A99" s="254"/>
      <c r="B99" s="897"/>
      <c r="C99" s="897"/>
      <c r="D99" s="897"/>
      <c r="E99" s="897"/>
      <c r="F99" s="897"/>
      <c r="G99" s="897"/>
      <c r="H99" s="897"/>
      <c r="I99" s="202"/>
      <c r="J99" s="202"/>
      <c r="K99" s="202"/>
      <c r="L99" s="202"/>
      <c r="M99" s="202"/>
      <c r="N99" s="202"/>
      <c r="O99" s="202"/>
      <c r="P99" s="202"/>
    </row>
    <row r="100" spans="1:16" s="266" customFormat="1" x14ac:dyDescent="0.2">
      <c r="A100" s="202"/>
      <c r="B100" s="158" t="s">
        <v>163</v>
      </c>
      <c r="C100" s="159">
        <v>3</v>
      </c>
      <c r="D100" s="317" t="s">
        <v>1821</v>
      </c>
      <c r="E100" s="202"/>
      <c r="F100" s="202"/>
      <c r="G100" s="202"/>
      <c r="H100" s="202"/>
      <c r="I100" s="202"/>
      <c r="J100" s="202"/>
      <c r="K100" s="202"/>
      <c r="L100" s="202"/>
      <c r="M100" s="202"/>
      <c r="N100" s="202"/>
      <c r="O100" s="202"/>
      <c r="P100" s="202"/>
    </row>
    <row r="101" spans="1:16" s="266" customFormat="1" ht="15" customHeight="1" x14ac:dyDescent="0.2">
      <c r="A101" s="202"/>
      <c r="B101" s="202"/>
      <c r="C101" s="202"/>
      <c r="D101" s="202"/>
      <c r="E101" s="202"/>
      <c r="F101" s="202"/>
      <c r="G101" s="202"/>
      <c r="H101" s="202"/>
      <c r="I101" s="202"/>
      <c r="J101" s="202"/>
      <c r="K101" s="202"/>
      <c r="L101" s="202"/>
      <c r="M101" s="202"/>
      <c r="N101" s="202"/>
      <c r="O101" s="202"/>
      <c r="P101" s="202"/>
    </row>
    <row r="102" spans="1:16" s="266" customFormat="1" ht="34.5" customHeight="1" x14ac:dyDescent="0.2">
      <c r="A102" s="254" t="str">
        <f>ORÇ!A322</f>
        <v>13.2.10</v>
      </c>
      <c r="B102" s="1850" t="str">
        <f>ORÇ!D322</f>
        <v>TÊ SOLDÁVEL E COM ROSCA NA BOLSA CENTRAL, PVC, SOLDÁVEL, DN 20MM X 1/2, INSTALADO EM RAMAL DE DISTRIBUIÇÃO DE ÁGUA - FORNECIMENTO E INSTALAÇÃO. AF_12/2014</v>
      </c>
      <c r="C102" s="1850"/>
      <c r="D102" s="1850"/>
      <c r="E102" s="1850"/>
      <c r="F102" s="1850"/>
      <c r="G102" s="1850"/>
      <c r="H102" s="1850"/>
      <c r="I102" s="1850"/>
      <c r="J102" s="1850"/>
      <c r="K102" s="1850"/>
      <c r="L102" s="1850"/>
      <c r="M102" s="1850"/>
      <c r="N102" s="202"/>
      <c r="O102" s="202"/>
      <c r="P102" s="202"/>
    </row>
    <row r="103" spans="1:16" s="266" customFormat="1" x14ac:dyDescent="0.2">
      <c r="A103" s="254"/>
      <c r="B103" s="897"/>
      <c r="C103" s="897"/>
      <c r="D103" s="897"/>
      <c r="E103" s="897"/>
      <c r="F103" s="897"/>
      <c r="G103" s="897"/>
      <c r="H103" s="897"/>
      <c r="I103" s="202"/>
      <c r="J103" s="202"/>
      <c r="K103" s="202"/>
      <c r="L103" s="202"/>
      <c r="M103" s="202"/>
      <c r="N103" s="202"/>
      <c r="O103" s="202"/>
      <c r="P103" s="202"/>
    </row>
    <row r="104" spans="1:16" s="266" customFormat="1" x14ac:dyDescent="0.2">
      <c r="A104" s="202"/>
      <c r="B104" s="158" t="s">
        <v>163</v>
      </c>
      <c r="C104" s="159">
        <v>5</v>
      </c>
      <c r="D104" s="317" t="s">
        <v>1821</v>
      </c>
      <c r="E104" s="202"/>
      <c r="F104" s="202"/>
      <c r="G104" s="202"/>
      <c r="H104" s="202"/>
      <c r="I104" s="202"/>
      <c r="J104" s="202"/>
      <c r="K104" s="202"/>
      <c r="L104" s="202"/>
      <c r="M104" s="202"/>
      <c r="N104" s="202"/>
      <c r="O104" s="202"/>
      <c r="P104" s="202"/>
    </row>
    <row r="105" spans="1:16" s="266" customFormat="1" ht="15" customHeight="1" x14ac:dyDescent="0.2">
      <c r="A105" s="202"/>
      <c r="B105" s="202"/>
      <c r="C105" s="202"/>
      <c r="D105" s="202"/>
      <c r="E105" s="202"/>
      <c r="F105" s="202"/>
      <c r="G105" s="202"/>
      <c r="H105" s="202"/>
      <c r="I105" s="202"/>
      <c r="J105" s="202"/>
      <c r="K105" s="202"/>
      <c r="L105" s="202"/>
      <c r="M105" s="202"/>
      <c r="N105" s="202"/>
      <c r="O105" s="202"/>
      <c r="P105" s="202"/>
    </row>
    <row r="106" spans="1:16" s="266" customFormat="1" ht="34.5" customHeight="1" x14ac:dyDescent="0.2">
      <c r="A106" s="254" t="str">
        <f>ORÇ!A323</f>
        <v>13.2.11</v>
      </c>
      <c r="B106" s="1850" t="str">
        <f>ORÇ!D323</f>
        <v>TE, PVC, SOLDÁVEL, DN 20MM, INSTALADO EM RAMAL DE DISTRIBUIÇÃO DE ÁGUA - FORNECIMENTO E INSTALAÇÃO. AF_12/2014</v>
      </c>
      <c r="C106" s="1850"/>
      <c r="D106" s="1850"/>
      <c r="E106" s="1850"/>
      <c r="F106" s="1850"/>
      <c r="G106" s="1850"/>
      <c r="H106" s="1850"/>
      <c r="I106" s="1850"/>
      <c r="J106" s="1850"/>
      <c r="K106" s="1850"/>
      <c r="L106" s="1850"/>
      <c r="M106" s="1850"/>
      <c r="N106" s="202"/>
      <c r="O106" s="202"/>
      <c r="P106" s="202"/>
    </row>
    <row r="107" spans="1:16" s="266" customFormat="1" x14ac:dyDescent="0.2">
      <c r="A107" s="254"/>
      <c r="B107" s="897"/>
      <c r="C107" s="897"/>
      <c r="D107" s="897"/>
      <c r="E107" s="897"/>
      <c r="F107" s="897"/>
      <c r="G107" s="897"/>
      <c r="H107" s="897"/>
      <c r="I107" s="202"/>
      <c r="J107" s="202"/>
      <c r="K107" s="202"/>
      <c r="L107" s="202"/>
      <c r="M107" s="202"/>
      <c r="N107" s="202"/>
      <c r="O107" s="202"/>
      <c r="P107" s="202"/>
    </row>
    <row r="108" spans="1:16" s="266" customFormat="1" x14ac:dyDescent="0.2">
      <c r="A108" s="202"/>
      <c r="B108" s="158" t="s">
        <v>163</v>
      </c>
      <c r="C108" s="159">
        <v>8</v>
      </c>
      <c r="D108" s="317" t="s">
        <v>1821</v>
      </c>
      <c r="E108" s="202"/>
      <c r="F108" s="202"/>
      <c r="G108" s="202"/>
      <c r="H108" s="202"/>
      <c r="I108" s="202"/>
      <c r="J108" s="202"/>
      <c r="K108" s="202"/>
      <c r="L108" s="202"/>
      <c r="M108" s="202"/>
      <c r="N108" s="202"/>
      <c r="O108" s="202"/>
      <c r="P108" s="202"/>
    </row>
    <row r="109" spans="1:16" s="266" customFormat="1" ht="15" customHeight="1" x14ac:dyDescent="0.2">
      <c r="A109" s="202"/>
      <c r="B109" s="202"/>
      <c r="C109" s="202"/>
      <c r="D109" s="202"/>
      <c r="E109" s="202"/>
      <c r="F109" s="202"/>
      <c r="G109" s="202"/>
      <c r="H109" s="202"/>
      <c r="I109" s="202"/>
      <c r="J109" s="202"/>
      <c r="K109" s="202"/>
      <c r="L109" s="202"/>
      <c r="M109" s="202"/>
      <c r="N109" s="202"/>
      <c r="O109" s="202"/>
      <c r="P109" s="202"/>
    </row>
    <row r="110" spans="1:16" s="266" customFormat="1" ht="34.5" customHeight="1" x14ac:dyDescent="0.2">
      <c r="A110" s="254" t="str">
        <f>ORÇ!A324</f>
        <v>13.2.12</v>
      </c>
      <c r="B110" s="1850" t="str">
        <f>ORÇ!D324</f>
        <v>TE, PVC, SOLDÁVEL, DN 25MM, INSTALADO EM RAMAL DE DISTRIBUIÇÃO DE ÁGUA - FORNECIMENTO E INSTALAÇÃO. AF_12/2014</v>
      </c>
      <c r="C110" s="1850"/>
      <c r="D110" s="1850"/>
      <c r="E110" s="1850"/>
      <c r="F110" s="1850"/>
      <c r="G110" s="1850"/>
      <c r="H110" s="1850"/>
      <c r="I110" s="1850"/>
      <c r="J110" s="1850"/>
      <c r="K110" s="1850"/>
      <c r="L110" s="1850"/>
      <c r="M110" s="1850"/>
      <c r="N110" s="202"/>
      <c r="O110" s="202"/>
      <c r="P110" s="202"/>
    </row>
    <row r="111" spans="1:16" s="266" customFormat="1" x14ac:dyDescent="0.2">
      <c r="A111" s="254"/>
      <c r="B111" s="897"/>
      <c r="C111" s="897"/>
      <c r="D111" s="897"/>
      <c r="E111" s="897"/>
      <c r="F111" s="897"/>
      <c r="G111" s="897"/>
      <c r="H111" s="897"/>
      <c r="I111" s="202"/>
      <c r="J111" s="202"/>
      <c r="K111" s="202"/>
      <c r="L111" s="202"/>
      <c r="M111" s="202"/>
      <c r="N111" s="202"/>
      <c r="O111" s="202"/>
      <c r="P111" s="202"/>
    </row>
    <row r="112" spans="1:16" s="266" customFormat="1" x14ac:dyDescent="0.2">
      <c r="A112" s="202"/>
      <c r="B112" s="158" t="s">
        <v>163</v>
      </c>
      <c r="C112" s="159">
        <v>15</v>
      </c>
      <c r="D112" s="317" t="s">
        <v>1821</v>
      </c>
      <c r="E112" s="202"/>
      <c r="F112" s="202"/>
      <c r="G112" s="202"/>
      <c r="H112" s="202"/>
      <c r="I112" s="202"/>
      <c r="J112" s="202"/>
      <c r="K112" s="202"/>
      <c r="L112" s="202"/>
      <c r="M112" s="202"/>
      <c r="N112" s="202"/>
      <c r="O112" s="202"/>
      <c r="P112" s="202"/>
    </row>
    <row r="113" spans="1:16" s="266" customFormat="1" ht="15" customHeight="1" x14ac:dyDescent="0.2">
      <c r="A113" s="202"/>
      <c r="B113" s="202"/>
      <c r="C113" s="202"/>
      <c r="D113" s="202"/>
      <c r="E113" s="202"/>
      <c r="F113" s="202"/>
      <c r="G113" s="202"/>
      <c r="H113" s="202"/>
      <c r="I113" s="202"/>
      <c r="J113" s="202"/>
      <c r="K113" s="202"/>
      <c r="L113" s="202"/>
      <c r="M113" s="202"/>
      <c r="N113" s="202"/>
      <c r="O113" s="202"/>
      <c r="P113" s="202"/>
    </row>
    <row r="114" spans="1:16" s="266" customFormat="1" ht="34.5" customHeight="1" x14ac:dyDescent="0.2">
      <c r="A114" s="254" t="str">
        <f>ORÇ!A325</f>
        <v>13.2.13</v>
      </c>
      <c r="B114" s="1850" t="str">
        <f>ORÇ!D325</f>
        <v>KIT CAVALETE PARA MEDIÇÃO DE ÁGUA - ENTRADA INDIVIDUALIZADA, EM PVC DN 32 (1), PARA 1 MEDIDOR  FORNECIMENTO E INSTALAÇÃO (EXCLUSIVE HIDRÔMETRO). AF_11/2016</v>
      </c>
      <c r="C114" s="1850"/>
      <c r="D114" s="1850"/>
      <c r="E114" s="1850"/>
      <c r="F114" s="1850"/>
      <c r="G114" s="1850"/>
      <c r="H114" s="1850"/>
      <c r="I114" s="1850"/>
      <c r="J114" s="1850"/>
      <c r="K114" s="1850"/>
      <c r="L114" s="1850"/>
      <c r="M114" s="1850"/>
      <c r="N114" s="202"/>
      <c r="O114" s="202"/>
      <c r="P114" s="202"/>
    </row>
    <row r="115" spans="1:16" s="266" customFormat="1" x14ac:dyDescent="0.2">
      <c r="A115" s="254"/>
      <c r="B115" s="897"/>
      <c r="C115" s="897"/>
      <c r="D115" s="897"/>
      <c r="E115" s="897"/>
      <c r="F115" s="897"/>
      <c r="G115" s="897"/>
      <c r="H115" s="897"/>
      <c r="I115" s="202"/>
      <c r="J115" s="202"/>
      <c r="K115" s="202"/>
      <c r="L115" s="202"/>
      <c r="M115" s="202"/>
      <c r="N115" s="202"/>
      <c r="O115" s="202"/>
      <c r="P115" s="202"/>
    </row>
    <row r="116" spans="1:16" s="629" customFormat="1" ht="15" customHeight="1" x14ac:dyDescent="0.2">
      <c r="A116" s="633"/>
      <c r="B116" s="864" t="s">
        <v>163</v>
      </c>
      <c r="C116" s="865">
        <v>1</v>
      </c>
      <c r="D116" s="317" t="s">
        <v>1821</v>
      </c>
      <c r="E116" s="633"/>
      <c r="F116" s="1851" t="s">
        <v>1820</v>
      </c>
      <c r="G116" s="1851"/>
      <c r="H116" s="1851"/>
      <c r="I116" s="1851"/>
      <c r="J116" s="1851"/>
      <c r="K116" s="1851"/>
      <c r="L116" s="1851"/>
      <c r="M116" s="1851"/>
      <c r="N116" s="633"/>
      <c r="O116" s="633"/>
      <c r="P116" s="633"/>
    </row>
    <row r="117" spans="1:16" s="266" customFormat="1" ht="15" customHeight="1" x14ac:dyDescent="0.2">
      <c r="A117" s="202"/>
      <c r="B117" s="202"/>
      <c r="C117" s="202"/>
      <c r="D117" s="202"/>
      <c r="E117" s="202"/>
      <c r="F117" s="1851"/>
      <c r="G117" s="1851"/>
      <c r="H117" s="1851"/>
      <c r="I117" s="1851"/>
      <c r="J117" s="1851"/>
      <c r="K117" s="1851"/>
      <c r="L117" s="1851"/>
      <c r="M117" s="1851"/>
      <c r="N117" s="202"/>
      <c r="O117" s="202"/>
      <c r="P117" s="202"/>
    </row>
    <row r="118" spans="1:16" s="266" customFormat="1" ht="34.5" customHeight="1" x14ac:dyDescent="0.2">
      <c r="A118" s="254" t="str">
        <f>ORÇ!A326</f>
        <v>13.2.14</v>
      </c>
      <c r="B118" s="1850" t="str">
        <f>ORÇ!D326</f>
        <v>HIDRÔMETRO DN 25 (¾ ), 5,0 M³/H FORNECIMENTO E INSTALAÇÃO. AF_11/2016</v>
      </c>
      <c r="C118" s="1850"/>
      <c r="D118" s="1850"/>
      <c r="E118" s="1850"/>
      <c r="F118" s="1850"/>
      <c r="G118" s="1850"/>
      <c r="H118" s="1850"/>
      <c r="I118" s="1850"/>
      <c r="J118" s="1850"/>
      <c r="K118" s="1850"/>
      <c r="L118" s="1850"/>
      <c r="M118" s="1850"/>
      <c r="N118" s="202"/>
      <c r="O118" s="202"/>
      <c r="P118" s="202"/>
    </row>
    <row r="119" spans="1:16" s="266" customFormat="1" x14ac:dyDescent="0.2">
      <c r="A119" s="254"/>
      <c r="B119" s="897"/>
      <c r="C119" s="897"/>
      <c r="D119" s="897"/>
      <c r="E119" s="897"/>
      <c r="F119" s="897"/>
      <c r="G119" s="897"/>
      <c r="H119" s="897"/>
      <c r="I119" s="202"/>
      <c r="J119" s="202"/>
      <c r="K119" s="202"/>
      <c r="L119" s="202"/>
      <c r="M119" s="202"/>
      <c r="N119" s="202"/>
      <c r="O119" s="202"/>
      <c r="P119" s="202"/>
    </row>
    <row r="120" spans="1:16" s="266" customFormat="1" x14ac:dyDescent="0.2">
      <c r="A120" s="202"/>
      <c r="B120" s="158" t="s">
        <v>163</v>
      </c>
      <c r="C120" s="159">
        <v>1</v>
      </c>
      <c r="D120" s="317" t="s">
        <v>1821</v>
      </c>
      <c r="E120" s="202"/>
      <c r="F120" s="202"/>
      <c r="G120" s="202"/>
      <c r="H120" s="202"/>
      <c r="I120" s="202"/>
      <c r="J120" s="202"/>
      <c r="K120" s="202"/>
      <c r="L120" s="202"/>
      <c r="M120" s="202"/>
      <c r="N120" s="202"/>
      <c r="O120" s="202"/>
      <c r="P120" s="202"/>
    </row>
    <row r="121" spans="1:16" s="266" customFormat="1" ht="15" customHeight="1" x14ac:dyDescent="0.2">
      <c r="A121" s="202"/>
      <c r="B121" s="202"/>
      <c r="C121" s="202"/>
      <c r="D121" s="202"/>
      <c r="E121" s="202"/>
      <c r="F121" s="202"/>
      <c r="G121" s="202"/>
      <c r="H121" s="202"/>
      <c r="I121" s="202"/>
      <c r="J121" s="202"/>
      <c r="K121" s="202"/>
      <c r="L121" s="202"/>
      <c r="M121" s="202"/>
      <c r="N121" s="202"/>
      <c r="O121" s="202"/>
      <c r="P121" s="202"/>
    </row>
    <row r="122" spans="1:16" s="266" customFormat="1" ht="34.5" customHeight="1" x14ac:dyDescent="0.2">
      <c r="A122" s="254" t="str">
        <f>ORÇ!A327</f>
        <v>13.2.15</v>
      </c>
      <c r="B122" s="1850" t="str">
        <f>ORÇ!D327</f>
        <v>CAIXA DE PROTEÇÃO PARA HIDRÔMETRO - PASSEIO TAF. FORNECIMENTO E INSTALAÇÃO.</v>
      </c>
      <c r="C122" s="1850"/>
      <c r="D122" s="1850"/>
      <c r="E122" s="1850"/>
      <c r="F122" s="1850"/>
      <c r="G122" s="1850"/>
      <c r="H122" s="1850"/>
      <c r="I122" s="1850"/>
      <c r="J122" s="1850"/>
      <c r="K122" s="1850"/>
      <c r="L122" s="1850"/>
      <c r="M122" s="1850"/>
      <c r="N122" s="202"/>
      <c r="O122" s="202"/>
      <c r="P122" s="202"/>
    </row>
    <row r="123" spans="1:16" s="266" customFormat="1" x14ac:dyDescent="0.2">
      <c r="A123" s="254"/>
      <c r="B123" s="897"/>
      <c r="C123" s="897"/>
      <c r="D123" s="897"/>
      <c r="E123" s="897"/>
      <c r="F123" s="897"/>
      <c r="G123" s="897"/>
      <c r="H123" s="897"/>
      <c r="I123" s="202"/>
      <c r="J123" s="202"/>
      <c r="K123" s="202"/>
      <c r="L123" s="202"/>
      <c r="M123" s="202"/>
      <c r="N123" s="202"/>
      <c r="O123" s="202"/>
      <c r="P123" s="202"/>
    </row>
    <row r="124" spans="1:16" s="266" customFormat="1" x14ac:dyDescent="0.2">
      <c r="A124" s="202"/>
      <c r="B124" s="158" t="s">
        <v>163</v>
      </c>
      <c r="C124" s="159">
        <v>1</v>
      </c>
      <c r="D124" s="317" t="s">
        <v>1821</v>
      </c>
      <c r="E124" s="202"/>
      <c r="F124" s="202"/>
      <c r="G124" s="202"/>
      <c r="H124" s="202"/>
      <c r="I124" s="202"/>
      <c r="J124" s="202"/>
      <c r="K124" s="202"/>
      <c r="L124" s="202"/>
      <c r="M124" s="202"/>
      <c r="N124" s="202"/>
      <c r="O124" s="202"/>
      <c r="P124" s="202"/>
    </row>
    <row r="125" spans="1:16" s="266" customFormat="1" ht="15" customHeight="1" x14ac:dyDescent="0.2">
      <c r="A125" s="202"/>
      <c r="B125" s="202"/>
      <c r="C125" s="202"/>
      <c r="D125" s="202"/>
      <c r="E125" s="202"/>
      <c r="F125" s="202"/>
      <c r="G125" s="202"/>
      <c r="H125" s="202"/>
      <c r="I125" s="202"/>
      <c r="J125" s="202"/>
      <c r="K125" s="202"/>
      <c r="L125" s="202"/>
      <c r="M125" s="202"/>
      <c r="N125" s="202"/>
      <c r="O125" s="202"/>
      <c r="P125" s="202"/>
    </row>
    <row r="126" spans="1:16" s="266" customFormat="1" ht="34.5" customHeight="1" x14ac:dyDescent="0.2">
      <c r="A126" s="254" t="str">
        <f>ORÇ!A328</f>
        <v>13.2.16</v>
      </c>
      <c r="B126" s="1850" t="str">
        <f>ORÇ!D328</f>
        <v>REGISTRO DE PRESSÃO BRUTO, LATÃO, ROSCÁVEL, 1/2", COM ACABAMENTO E CANOPLA CROMADOS - FORNECIMENTO E INSTALAÇÃO. AF_08/2021</v>
      </c>
      <c r="C126" s="1850"/>
      <c r="D126" s="1850"/>
      <c r="E126" s="1850"/>
      <c r="F126" s="1850"/>
      <c r="G126" s="1850"/>
      <c r="H126" s="1850"/>
      <c r="I126" s="1850"/>
      <c r="J126" s="1850"/>
      <c r="K126" s="1850"/>
      <c r="L126" s="1850"/>
      <c r="M126" s="1850"/>
      <c r="N126" s="202"/>
      <c r="O126" s="202"/>
      <c r="P126" s="202"/>
    </row>
    <row r="127" spans="1:16" s="266" customFormat="1" x14ac:dyDescent="0.2">
      <c r="A127" s="254"/>
      <c r="B127" s="897"/>
      <c r="C127" s="897"/>
      <c r="D127" s="897"/>
      <c r="E127" s="897"/>
      <c r="F127" s="897"/>
      <c r="G127" s="897"/>
      <c r="H127" s="897"/>
      <c r="I127" s="202"/>
      <c r="J127" s="202"/>
      <c r="K127" s="202"/>
      <c r="L127" s="202"/>
      <c r="M127" s="202"/>
      <c r="N127" s="202"/>
      <c r="O127" s="202"/>
      <c r="P127" s="202"/>
    </row>
    <row r="128" spans="1:16" s="266" customFormat="1" x14ac:dyDescent="0.2">
      <c r="A128" s="202"/>
      <c r="B128" s="158" t="s">
        <v>163</v>
      </c>
      <c r="C128" s="159">
        <v>3</v>
      </c>
      <c r="D128" s="317" t="s">
        <v>1821</v>
      </c>
      <c r="E128" s="202"/>
      <c r="F128" s="202"/>
      <c r="G128" s="202"/>
      <c r="H128" s="202"/>
      <c r="I128" s="202"/>
      <c r="J128" s="202"/>
      <c r="K128" s="202"/>
      <c r="L128" s="202"/>
      <c r="M128" s="202"/>
      <c r="N128" s="202"/>
      <c r="O128" s="202"/>
      <c r="P128" s="202"/>
    </row>
    <row r="129" spans="1:16" s="266" customFormat="1" ht="15" customHeight="1" x14ac:dyDescent="0.2">
      <c r="A129" s="202"/>
      <c r="B129" s="202"/>
      <c r="C129" s="202"/>
      <c r="D129" s="202"/>
      <c r="E129" s="202"/>
      <c r="F129" s="202"/>
      <c r="G129" s="202"/>
      <c r="H129" s="202"/>
      <c r="I129" s="202"/>
      <c r="J129" s="202"/>
      <c r="K129" s="202"/>
      <c r="L129" s="202"/>
      <c r="M129" s="202"/>
      <c r="N129" s="202"/>
      <c r="O129" s="202"/>
      <c r="P129" s="202"/>
    </row>
    <row r="130" spans="1:16" s="266" customFormat="1" ht="34.5" customHeight="1" x14ac:dyDescent="0.2">
      <c r="A130" s="254" t="str">
        <f>ORÇ!A329</f>
        <v>13.2.17</v>
      </c>
      <c r="B130" s="1850" t="str">
        <f>ORÇ!D329</f>
        <v>REGISTRO DE GAVETA BRUTO, LATÃO, ROSCÁVEL, 3/4", COM ACABAMENTO E CANOPLA CROMADOS - FORNECIMENTO E INSTALAÇÃO. AF_08/2021</v>
      </c>
      <c r="C130" s="1850"/>
      <c r="D130" s="1850"/>
      <c r="E130" s="1850"/>
      <c r="F130" s="1850"/>
      <c r="G130" s="1850"/>
      <c r="H130" s="1850"/>
      <c r="I130" s="1850"/>
      <c r="J130" s="1850"/>
      <c r="K130" s="1850"/>
      <c r="L130" s="1850"/>
      <c r="M130" s="1850"/>
      <c r="N130" s="202"/>
      <c r="O130" s="202"/>
      <c r="P130" s="202"/>
    </row>
    <row r="131" spans="1:16" s="266" customFormat="1" x14ac:dyDescent="0.2">
      <c r="A131" s="254"/>
      <c r="B131" s="897"/>
      <c r="C131" s="897"/>
      <c r="D131" s="897"/>
      <c r="E131" s="897"/>
      <c r="F131" s="897"/>
      <c r="G131" s="897"/>
      <c r="H131" s="897"/>
      <c r="I131" s="202"/>
      <c r="J131" s="202"/>
      <c r="K131" s="202"/>
      <c r="L131" s="202"/>
      <c r="M131" s="202"/>
      <c r="N131" s="202"/>
      <c r="O131" s="202"/>
      <c r="P131" s="202"/>
    </row>
    <row r="132" spans="1:16" s="266" customFormat="1" x14ac:dyDescent="0.2">
      <c r="A132" s="202"/>
      <c r="B132" s="158" t="s">
        <v>163</v>
      </c>
      <c r="C132" s="159">
        <v>17</v>
      </c>
      <c r="D132" s="317" t="s">
        <v>1821</v>
      </c>
      <c r="E132" s="202"/>
      <c r="F132" s="202"/>
      <c r="G132" s="202"/>
      <c r="H132" s="202"/>
      <c r="I132" s="202"/>
      <c r="J132" s="202"/>
      <c r="K132" s="202"/>
      <c r="L132" s="202"/>
      <c r="M132" s="202"/>
      <c r="N132" s="202"/>
      <c r="O132" s="202"/>
      <c r="P132" s="202"/>
    </row>
    <row r="133" spans="1:16" s="266" customFormat="1" ht="15" customHeight="1" x14ac:dyDescent="0.2">
      <c r="A133" s="202"/>
      <c r="B133" s="202"/>
      <c r="C133" s="202"/>
      <c r="D133" s="202"/>
      <c r="E133" s="202"/>
      <c r="F133" s="202"/>
      <c r="G133" s="202"/>
      <c r="H133" s="202"/>
      <c r="I133" s="202"/>
      <c r="J133" s="202"/>
      <c r="K133" s="202"/>
      <c r="L133" s="202"/>
      <c r="M133" s="202"/>
      <c r="N133" s="202"/>
      <c r="O133" s="202"/>
      <c r="P133" s="202"/>
    </row>
    <row r="134" spans="1:16" ht="15" customHeight="1" x14ac:dyDescent="0.2">
      <c r="A134" s="202"/>
      <c r="B134" s="202"/>
      <c r="C134" s="202"/>
      <c r="D134" s="202"/>
      <c r="E134" s="202"/>
      <c r="F134" s="202"/>
      <c r="G134" s="202"/>
      <c r="H134" s="202"/>
      <c r="I134" s="202"/>
      <c r="J134" s="202"/>
      <c r="K134" s="202"/>
      <c r="L134" s="202"/>
      <c r="M134" s="202"/>
      <c r="N134" s="202"/>
      <c r="O134" s="202"/>
      <c r="P134" s="202"/>
    </row>
    <row r="135" spans="1:16" x14ac:dyDescent="0.2">
      <c r="A135" s="254" t="str">
        <f>ORÇ!A330</f>
        <v>13.3</v>
      </c>
      <c r="B135" s="1850" t="str">
        <f>ORÇ!D330</f>
        <v>Esgoto</v>
      </c>
      <c r="C135" s="1850"/>
      <c r="D135" s="1850"/>
      <c r="E135" s="1850"/>
      <c r="F135" s="1850"/>
      <c r="G135" s="1850"/>
      <c r="H135" s="1850"/>
      <c r="I135" s="202"/>
      <c r="J135" s="202"/>
      <c r="K135" s="202"/>
      <c r="L135" s="202"/>
      <c r="M135" s="202"/>
      <c r="N135" s="202"/>
      <c r="O135" s="202"/>
      <c r="P135" s="202"/>
    </row>
    <row r="136" spans="1:16" ht="27" customHeight="1" x14ac:dyDescent="0.2">
      <c r="A136" s="254" t="str">
        <f>ORÇ!A331</f>
        <v>13.3.1</v>
      </c>
      <c r="B136" s="1850" t="str">
        <f>ORÇ!D331</f>
        <v>TUBO PVC, SERIE NORMAL, ESGOTO PREDIAL, DN 40 MM, FORNECIDO E INSTALADO EM RAMAL DE DESCARGA OU RAMAL DE ESGOTO SANITÁRIO. AF_12/2014</v>
      </c>
      <c r="C136" s="1850"/>
      <c r="D136" s="1850"/>
      <c r="E136" s="1850"/>
      <c r="F136" s="1850"/>
      <c r="G136" s="1850"/>
      <c r="H136" s="1850"/>
      <c r="I136" s="1850"/>
      <c r="J136" s="1850"/>
      <c r="K136" s="1850"/>
      <c r="L136" s="1850"/>
      <c r="M136" s="1850"/>
      <c r="N136" s="202"/>
      <c r="O136" s="202"/>
      <c r="P136" s="202"/>
    </row>
    <row r="137" spans="1:16" x14ac:dyDescent="0.2">
      <c r="A137" s="254"/>
      <c r="B137" s="272"/>
      <c r="C137" s="272"/>
      <c r="D137" s="272"/>
      <c r="E137" s="272"/>
      <c r="F137" s="272"/>
      <c r="G137" s="272"/>
      <c r="H137" s="272"/>
      <c r="I137" s="202"/>
      <c r="J137" s="202"/>
      <c r="K137" s="202"/>
      <c r="L137" s="202"/>
      <c r="M137" s="202"/>
      <c r="N137" s="202"/>
      <c r="O137" s="202"/>
      <c r="P137" s="202"/>
    </row>
    <row r="138" spans="1:16" x14ac:dyDescent="0.2">
      <c r="A138" s="633"/>
      <c r="B138" s="158" t="s">
        <v>163</v>
      </c>
      <c r="C138" s="159">
        <v>30</v>
      </c>
      <c r="D138" s="160" t="s">
        <v>12</v>
      </c>
      <c r="H138" s="202"/>
      <c r="I138" s="202"/>
      <c r="J138" s="202"/>
      <c r="K138" s="202"/>
      <c r="L138" s="202"/>
      <c r="M138" s="202"/>
      <c r="N138" s="202"/>
      <c r="O138" s="202"/>
      <c r="P138" s="202"/>
    </row>
    <row r="139" spans="1:16" x14ac:dyDescent="0.2">
      <c r="A139" s="633"/>
      <c r="B139" s="202"/>
      <c r="C139" s="202"/>
      <c r="D139" s="202"/>
      <c r="E139" s="202"/>
      <c r="F139" s="202"/>
      <c r="G139" s="202"/>
      <c r="H139" s="202"/>
      <c r="I139" s="202"/>
      <c r="J139" s="202"/>
      <c r="K139" s="202"/>
      <c r="L139" s="202"/>
      <c r="M139" s="202"/>
      <c r="N139" s="202"/>
      <c r="O139" s="202"/>
      <c r="P139" s="202"/>
    </row>
    <row r="140" spans="1:16" ht="27.75" customHeight="1" x14ac:dyDescent="0.2">
      <c r="A140" s="254" t="str">
        <f>ORÇ!A332</f>
        <v>13.3.2</v>
      </c>
      <c r="B140" s="1863" t="str">
        <f>ORÇ!D332</f>
        <v>TUBO PVC, SERIE NORMAL, ESGOTO PREDIAL, DN 50 MM, FORNECIDO E INSTALADO EM PRUMADA DE ESGOTO SANITÁRIO OU VENTILAÇÃO. AF_12/2014</v>
      </c>
      <c r="C140" s="1863"/>
      <c r="D140" s="1863"/>
      <c r="E140" s="1863"/>
      <c r="F140" s="1863"/>
      <c r="G140" s="1863"/>
      <c r="H140" s="1863"/>
      <c r="I140" s="1863"/>
      <c r="J140" s="1863"/>
      <c r="K140" s="1863"/>
      <c r="L140" s="1863"/>
      <c r="M140" s="1863"/>
      <c r="N140" s="202"/>
      <c r="O140" s="202"/>
      <c r="P140" s="202"/>
    </row>
    <row r="141" spans="1:16" x14ac:dyDescent="0.2">
      <c r="A141" s="633"/>
      <c r="B141" s="202"/>
      <c r="C141" s="202"/>
      <c r="D141" s="202"/>
      <c r="E141" s="202"/>
      <c r="F141" s="202"/>
      <c r="G141" s="202"/>
      <c r="H141" s="202"/>
      <c r="I141" s="202"/>
      <c r="J141" s="202"/>
      <c r="K141" s="202"/>
      <c r="L141" s="202"/>
      <c r="M141" s="202"/>
      <c r="N141" s="202"/>
      <c r="O141" s="202"/>
      <c r="P141" s="202"/>
    </row>
    <row r="142" spans="1:16" x14ac:dyDescent="0.2">
      <c r="A142" s="633"/>
      <c r="B142" s="158" t="s">
        <v>163</v>
      </c>
      <c r="C142" s="159">
        <v>52.3</v>
      </c>
      <c r="D142" s="160" t="s">
        <v>12</v>
      </c>
      <c r="E142" s="202"/>
      <c r="F142" s="202"/>
      <c r="G142" s="202"/>
      <c r="H142" s="202"/>
      <c r="I142" s="202"/>
      <c r="J142" s="202"/>
      <c r="K142" s="202"/>
      <c r="L142" s="202"/>
      <c r="M142" s="202"/>
      <c r="N142" s="202"/>
      <c r="O142" s="202"/>
      <c r="P142" s="202"/>
    </row>
    <row r="143" spans="1:16" x14ac:dyDescent="0.2">
      <c r="A143" s="633"/>
      <c r="B143" s="202"/>
      <c r="C143" s="202"/>
      <c r="D143" s="202"/>
      <c r="E143" s="202"/>
      <c r="F143" s="202"/>
      <c r="G143" s="202"/>
      <c r="H143" s="202"/>
      <c r="I143" s="202"/>
      <c r="J143" s="202"/>
      <c r="K143" s="202"/>
      <c r="L143" s="202"/>
      <c r="M143" s="202"/>
      <c r="N143" s="202"/>
      <c r="O143" s="202"/>
      <c r="P143" s="202"/>
    </row>
    <row r="144" spans="1:16" ht="31.5" customHeight="1" x14ac:dyDescent="0.2">
      <c r="A144" s="254" t="str">
        <f>ORÇ!A333</f>
        <v>13.3.3</v>
      </c>
      <c r="B144" s="1850" t="str">
        <f>ORÇ!D333</f>
        <v>TUBO PVC, SERIE NORMAL, ESGOTO PREDIAL, DN 75 MM, FORNECIDO E INSTALADO EM PRUMADA DE ESGOTO SANITÁRIO OU VENTILAÇÃO. AF_12/2014</v>
      </c>
      <c r="C144" s="1850"/>
      <c r="D144" s="1850"/>
      <c r="E144" s="1850"/>
      <c r="F144" s="1850"/>
      <c r="G144" s="1850"/>
      <c r="H144" s="1850"/>
      <c r="I144" s="1850"/>
      <c r="J144" s="1850"/>
      <c r="K144" s="1850"/>
      <c r="L144" s="1850"/>
      <c r="M144" s="1850"/>
      <c r="N144" s="202"/>
      <c r="O144" s="202"/>
      <c r="P144" s="202"/>
    </row>
    <row r="145" spans="1:16" x14ac:dyDescent="0.2">
      <c r="A145" s="633"/>
      <c r="B145" s="202"/>
      <c r="C145" s="202"/>
      <c r="D145" s="202"/>
      <c r="E145" s="202"/>
      <c r="F145" s="202"/>
      <c r="G145" s="202"/>
      <c r="H145" s="202"/>
      <c r="I145" s="202"/>
      <c r="J145" s="202"/>
      <c r="K145" s="202"/>
      <c r="L145" s="202"/>
      <c r="M145" s="202"/>
      <c r="N145" s="202"/>
      <c r="O145" s="202"/>
      <c r="P145" s="202"/>
    </row>
    <row r="146" spans="1:16" x14ac:dyDescent="0.2">
      <c r="A146" s="633"/>
      <c r="B146" s="158" t="s">
        <v>163</v>
      </c>
      <c r="C146" s="159">
        <v>43.2</v>
      </c>
      <c r="D146" s="160" t="s">
        <v>12</v>
      </c>
      <c r="E146" s="202"/>
      <c r="F146" s="202"/>
      <c r="G146" s="202"/>
      <c r="H146" s="202"/>
      <c r="I146" s="202"/>
      <c r="J146" s="202"/>
      <c r="K146" s="202"/>
      <c r="L146" s="202"/>
      <c r="M146" s="202"/>
      <c r="N146" s="202"/>
      <c r="O146" s="202"/>
      <c r="P146" s="202"/>
    </row>
    <row r="147" spans="1:16" x14ac:dyDescent="0.2">
      <c r="A147" s="633"/>
      <c r="B147" s="202"/>
      <c r="C147" s="202"/>
      <c r="D147" s="202"/>
      <c r="E147" s="202"/>
      <c r="F147" s="202"/>
      <c r="G147" s="202"/>
      <c r="H147" s="202"/>
      <c r="I147" s="202"/>
      <c r="J147" s="202"/>
      <c r="K147" s="202"/>
      <c r="L147" s="202"/>
      <c r="M147" s="202"/>
      <c r="N147" s="202"/>
      <c r="O147" s="202"/>
      <c r="P147" s="202"/>
    </row>
    <row r="148" spans="1:16" ht="30" customHeight="1" x14ac:dyDescent="0.2">
      <c r="A148" s="254" t="str">
        <f>ORÇ!A334</f>
        <v>13.3.4</v>
      </c>
      <c r="B148" s="1850" t="str">
        <f>ORÇ!D334</f>
        <v>TUBO PVC, SERIE NORMAL, ESGOTO PREDIAL, DN 100 MM, FORNECIDO E INSTALADO EM PRUMADA DE ESGOTO SANITÁRIO OU VENTILAÇÃO. AF_12/2014</v>
      </c>
      <c r="C148" s="1850"/>
      <c r="D148" s="1850"/>
      <c r="E148" s="1850"/>
      <c r="F148" s="1850"/>
      <c r="G148" s="1850"/>
      <c r="H148" s="1850"/>
      <c r="I148" s="1850"/>
      <c r="J148" s="1850"/>
      <c r="K148" s="1850"/>
      <c r="L148" s="1850"/>
      <c r="M148" s="1850"/>
      <c r="N148" s="202"/>
      <c r="O148" s="202"/>
      <c r="P148" s="202"/>
    </row>
    <row r="149" spans="1:16" ht="12.75" customHeight="1" x14ac:dyDescent="0.2">
      <c r="A149" s="254"/>
      <c r="B149" s="272"/>
      <c r="C149" s="272"/>
      <c r="D149" s="272"/>
      <c r="E149" s="272"/>
      <c r="F149" s="272"/>
      <c r="G149" s="272"/>
      <c r="H149" s="272"/>
      <c r="I149" s="202"/>
      <c r="J149" s="202"/>
      <c r="K149" s="202"/>
      <c r="L149" s="202"/>
      <c r="M149" s="202"/>
      <c r="N149" s="202"/>
      <c r="O149" s="202"/>
      <c r="P149" s="202"/>
    </row>
    <row r="150" spans="1:16" x14ac:dyDescent="0.2">
      <c r="A150" s="633"/>
      <c r="B150" s="158" t="s">
        <v>163</v>
      </c>
      <c r="C150" s="159">
        <v>53.95</v>
      </c>
      <c r="D150" s="160" t="s">
        <v>12</v>
      </c>
      <c r="E150" s="202"/>
      <c r="F150" s="202"/>
      <c r="G150" s="202"/>
      <c r="H150" s="202"/>
      <c r="I150" s="202"/>
      <c r="J150" s="202"/>
      <c r="K150" s="202"/>
      <c r="L150" s="202"/>
      <c r="M150" s="202"/>
      <c r="N150" s="202"/>
      <c r="O150" s="202"/>
      <c r="P150" s="202"/>
    </row>
    <row r="151" spans="1:16" x14ac:dyDescent="0.2">
      <c r="A151" s="633"/>
      <c r="B151" s="202"/>
      <c r="C151" s="202"/>
      <c r="D151" s="202"/>
      <c r="E151" s="202"/>
      <c r="F151" s="202"/>
      <c r="G151" s="202"/>
      <c r="H151" s="202"/>
      <c r="I151" s="202"/>
      <c r="J151" s="202"/>
      <c r="K151" s="202"/>
      <c r="L151" s="202"/>
      <c r="M151" s="202"/>
      <c r="N151" s="202"/>
      <c r="O151" s="202"/>
      <c r="P151" s="202"/>
    </row>
    <row r="152" spans="1:16" ht="28.5" customHeight="1" x14ac:dyDescent="0.2">
      <c r="A152" s="254" t="str">
        <f>ORÇ!A335</f>
        <v>13.3.5</v>
      </c>
      <c r="B152" s="1850" t="str">
        <f>ORÇ!D335</f>
        <v>JUNÇÃO SIMPLES PVC JS -  40 X 40MM - LS</v>
      </c>
      <c r="C152" s="1850"/>
      <c r="D152" s="1850"/>
      <c r="E152" s="1850"/>
      <c r="F152" s="1850"/>
      <c r="G152" s="1850"/>
      <c r="H152" s="1850"/>
      <c r="I152" s="1850"/>
      <c r="J152" s="1850"/>
      <c r="K152" s="1850"/>
      <c r="L152" s="1850"/>
      <c r="M152" s="202"/>
      <c r="N152" s="202"/>
      <c r="O152" s="202"/>
      <c r="P152" s="202"/>
    </row>
    <row r="153" spans="1:16" x14ac:dyDescent="0.2">
      <c r="A153" s="633"/>
      <c r="B153" s="296"/>
      <c r="C153" s="296"/>
      <c r="D153" s="296"/>
      <c r="E153" s="296"/>
      <c r="F153" s="296"/>
      <c r="G153" s="296"/>
      <c r="H153" s="296"/>
      <c r="I153" s="202"/>
      <c r="J153" s="202"/>
      <c r="K153" s="202"/>
      <c r="L153" s="202"/>
      <c r="M153" s="202"/>
      <c r="N153" s="202"/>
      <c r="O153" s="202"/>
      <c r="P153" s="202"/>
    </row>
    <row r="154" spans="1:16" x14ac:dyDescent="0.2">
      <c r="A154" s="633"/>
      <c r="B154" s="158" t="s">
        <v>163</v>
      </c>
      <c r="C154" s="159">
        <v>1</v>
      </c>
      <c r="D154" s="160" t="s">
        <v>834</v>
      </c>
      <c r="E154" s="202"/>
      <c r="F154" s="202"/>
      <c r="G154" s="202"/>
      <c r="H154" s="202"/>
      <c r="I154" s="202"/>
      <c r="J154" s="202"/>
      <c r="K154" s="202"/>
      <c r="L154" s="202"/>
      <c r="M154" s="202"/>
      <c r="N154" s="202"/>
      <c r="O154" s="202"/>
      <c r="P154" s="202"/>
    </row>
    <row r="155" spans="1:16" x14ac:dyDescent="0.2">
      <c r="A155" s="633"/>
      <c r="B155" s="202"/>
      <c r="C155" s="202"/>
      <c r="D155" s="202"/>
      <c r="E155" s="202"/>
      <c r="F155" s="202"/>
      <c r="G155" s="202"/>
      <c r="H155" s="202"/>
      <c r="I155" s="202"/>
      <c r="J155" s="202"/>
      <c r="K155" s="202"/>
      <c r="L155" s="202"/>
      <c r="M155" s="202"/>
      <c r="N155" s="202"/>
      <c r="O155" s="202"/>
      <c r="P155" s="202"/>
    </row>
    <row r="156" spans="1:16" ht="25.5" customHeight="1" x14ac:dyDescent="0.2">
      <c r="A156" s="254" t="str">
        <f>ORÇ!A336</f>
        <v>13.3.6</v>
      </c>
      <c r="B156" s="1850" t="str">
        <f>ORÇ!D336</f>
        <v>JUNÇÃO SIMPLES DE PVC, 45 GRAUS, SÉRIE NORMAL, PARA ESGOTO PREDIAL, DN 100 MM, INSTALADA EM DRENO - FORNECIMENTO E INSTALAÇÃO. AF_07/2021</v>
      </c>
      <c r="C156" s="1850"/>
      <c r="D156" s="1850"/>
      <c r="E156" s="1850"/>
      <c r="F156" s="1850"/>
      <c r="G156" s="1850"/>
      <c r="H156" s="1850"/>
      <c r="I156" s="1850"/>
      <c r="J156" s="1850"/>
      <c r="K156" s="1850"/>
      <c r="L156" s="1850"/>
      <c r="M156" s="1850"/>
      <c r="N156" s="202"/>
      <c r="O156" s="202"/>
      <c r="P156" s="202"/>
    </row>
    <row r="157" spans="1:16" ht="15" customHeight="1" x14ac:dyDescent="0.2">
      <c r="A157" s="633"/>
      <c r="B157" s="296"/>
      <c r="C157" s="296"/>
      <c r="D157" s="296"/>
      <c r="E157" s="296"/>
      <c r="F157" s="296"/>
      <c r="G157" s="296"/>
      <c r="H157" s="296"/>
      <c r="I157" s="202"/>
      <c r="J157" s="202"/>
      <c r="K157" s="202"/>
      <c r="L157" s="202"/>
      <c r="M157" s="202"/>
      <c r="N157" s="202"/>
      <c r="O157" s="202"/>
      <c r="P157" s="202"/>
    </row>
    <row r="158" spans="1:16" s="615" customFormat="1" ht="15" customHeight="1" x14ac:dyDescent="0.2">
      <c r="A158" s="633"/>
      <c r="B158" s="864" t="s">
        <v>163</v>
      </c>
      <c r="C158" s="865">
        <v>2</v>
      </c>
      <c r="D158" s="866" t="s">
        <v>668</v>
      </c>
      <c r="E158" s="633"/>
      <c r="F158" s="633"/>
      <c r="G158" s="633"/>
      <c r="H158" s="633"/>
      <c r="I158" s="633"/>
      <c r="J158" s="633"/>
      <c r="K158" s="633"/>
      <c r="L158" s="633"/>
      <c r="M158" s="633"/>
      <c r="N158" s="633"/>
      <c r="O158" s="633"/>
      <c r="P158" s="633"/>
    </row>
    <row r="159" spans="1:16" ht="15" customHeight="1" x14ac:dyDescent="0.2">
      <c r="A159" s="633"/>
      <c r="B159" s="202"/>
      <c r="C159" s="202"/>
      <c r="D159" s="202"/>
      <c r="E159" s="202"/>
      <c r="F159" s="202"/>
      <c r="G159" s="202"/>
      <c r="H159" s="202"/>
      <c r="I159" s="202"/>
      <c r="J159" s="202"/>
      <c r="K159" s="202"/>
      <c r="L159" s="202"/>
      <c r="M159" s="202"/>
      <c r="N159" s="202"/>
      <c r="O159" s="202"/>
      <c r="P159" s="202"/>
    </row>
    <row r="160" spans="1:16" ht="28.5" customHeight="1" x14ac:dyDescent="0.2">
      <c r="A160" s="254" t="str">
        <f>ORÇ!A337</f>
        <v>13.3.7</v>
      </c>
      <c r="B160" s="1850" t="str">
        <f>ORÇ!D337</f>
        <v>JOELHO/COTOVELO 90º  PVC - JS - 40MM-LH</v>
      </c>
      <c r="C160" s="1850"/>
      <c r="D160" s="1850"/>
      <c r="E160" s="1850"/>
      <c r="F160" s="1850"/>
      <c r="G160" s="1850"/>
      <c r="H160" s="1850"/>
      <c r="I160" s="1850"/>
      <c r="J160" s="1850"/>
      <c r="K160" s="1850"/>
      <c r="L160" s="1850"/>
      <c r="M160" s="1850"/>
      <c r="N160" s="202"/>
      <c r="O160" s="202"/>
      <c r="P160" s="202"/>
    </row>
    <row r="161" spans="1:16" x14ac:dyDescent="0.2">
      <c r="A161" s="633"/>
      <c r="B161" s="202"/>
      <c r="C161" s="202"/>
      <c r="D161" s="202"/>
      <c r="E161" s="202"/>
      <c r="F161" s="202"/>
      <c r="G161" s="202"/>
      <c r="H161" s="202"/>
      <c r="I161" s="202"/>
      <c r="J161" s="202"/>
      <c r="K161" s="202"/>
      <c r="L161" s="202"/>
      <c r="M161" s="202"/>
      <c r="N161" s="202"/>
      <c r="O161" s="202"/>
      <c r="P161" s="202"/>
    </row>
    <row r="162" spans="1:16" s="615" customFormat="1" x14ac:dyDescent="0.2">
      <c r="A162" s="633"/>
      <c r="B162" s="864" t="s">
        <v>163</v>
      </c>
      <c r="C162" s="865">
        <v>10</v>
      </c>
      <c r="D162" s="866" t="s">
        <v>668</v>
      </c>
      <c r="E162" s="633"/>
      <c r="F162" s="633"/>
      <c r="G162" s="633"/>
      <c r="H162" s="633"/>
      <c r="I162" s="633"/>
      <c r="J162" s="633"/>
      <c r="K162" s="633"/>
      <c r="L162" s="633"/>
      <c r="M162" s="633"/>
      <c r="N162" s="633"/>
      <c r="O162" s="633"/>
      <c r="P162" s="633"/>
    </row>
    <row r="163" spans="1:16" x14ac:dyDescent="0.2">
      <c r="A163" s="633"/>
      <c r="B163" s="202"/>
      <c r="C163" s="202"/>
      <c r="D163" s="202"/>
      <c r="E163" s="202"/>
      <c r="F163" s="202"/>
      <c r="G163" s="202"/>
      <c r="H163" s="202"/>
      <c r="I163" s="202"/>
      <c r="J163" s="202"/>
      <c r="K163" s="202"/>
      <c r="L163" s="202"/>
      <c r="M163" s="202"/>
      <c r="N163" s="202"/>
      <c r="O163" s="202"/>
      <c r="P163" s="202"/>
    </row>
    <row r="164" spans="1:16" ht="30.75" customHeight="1" x14ac:dyDescent="0.2">
      <c r="A164" s="254" t="str">
        <f>ORÇ!A338</f>
        <v>13.3.8</v>
      </c>
      <c r="B164" s="1850" t="str">
        <f>ORÇ!D338</f>
        <v>JOELHO 90 GRAUS, PVC, SERIE NORMAL, ESGOTO PREDIAL, DN 50 MM, JUNTA ELÁSTICA, FORNECIDO E INSTALADO EM RAMAL DE DESCARGA OU RAMAL DE ESGOTO SANITÁRIO. AF_12/2014</v>
      </c>
      <c r="C164" s="1850"/>
      <c r="D164" s="1850"/>
      <c r="E164" s="1850"/>
      <c r="F164" s="1850"/>
      <c r="G164" s="1850"/>
      <c r="H164" s="1850"/>
      <c r="I164" s="1850"/>
      <c r="J164" s="1850"/>
      <c r="K164" s="1850"/>
      <c r="L164" s="1850"/>
      <c r="M164" s="1850"/>
      <c r="N164" s="202"/>
      <c r="O164" s="202"/>
      <c r="P164" s="202"/>
    </row>
    <row r="165" spans="1:16" x14ac:dyDescent="0.2">
      <c r="A165" s="254"/>
      <c r="B165" s="296"/>
      <c r="C165" s="296"/>
      <c r="D165" s="296"/>
      <c r="E165" s="296"/>
      <c r="F165" s="296"/>
      <c r="G165" s="296"/>
      <c r="H165" s="296"/>
      <c r="I165" s="202"/>
      <c r="J165" s="202"/>
      <c r="K165" s="202"/>
      <c r="L165" s="202"/>
      <c r="M165" s="202"/>
      <c r="N165" s="202"/>
      <c r="O165" s="202"/>
      <c r="P165" s="202"/>
    </row>
    <row r="166" spans="1:16" x14ac:dyDescent="0.2">
      <c r="A166" s="633"/>
      <c r="B166" s="158" t="s">
        <v>163</v>
      </c>
      <c r="C166" s="159">
        <v>22</v>
      </c>
      <c r="D166" s="160" t="s">
        <v>668</v>
      </c>
      <c r="E166" s="202"/>
      <c r="F166" s="202"/>
      <c r="G166" s="202"/>
      <c r="H166" s="202"/>
      <c r="I166" s="202"/>
      <c r="J166" s="202"/>
      <c r="K166" s="202"/>
      <c r="L166" s="202"/>
      <c r="M166" s="202"/>
      <c r="N166" s="202"/>
      <c r="O166" s="202"/>
      <c r="P166" s="202"/>
    </row>
    <row r="167" spans="1:16" x14ac:dyDescent="0.2">
      <c r="A167" s="633"/>
      <c r="B167" s="202"/>
      <c r="C167" s="202"/>
      <c r="D167" s="202"/>
      <c r="E167" s="202"/>
      <c r="F167" s="202"/>
      <c r="G167" s="202"/>
      <c r="H167" s="202"/>
      <c r="I167" s="202"/>
      <c r="J167" s="202"/>
      <c r="K167" s="202"/>
      <c r="L167" s="202"/>
      <c r="M167" s="202"/>
      <c r="N167" s="202"/>
      <c r="O167" s="202"/>
      <c r="P167" s="202"/>
    </row>
    <row r="168" spans="1:16" ht="30" customHeight="1" x14ac:dyDescent="0.2">
      <c r="A168" s="254" t="str">
        <f>ORÇ!A339</f>
        <v>13.3.9</v>
      </c>
      <c r="B168" s="1850" t="str">
        <f>ORÇ!D339</f>
        <v>CURVA CURTA 90 GRAUS, PVC, SERIE NORMAL, ESGOTO PREDIAL, DN 40 MM, JUNTA SOLDÁVEL, FORNECIDO E INSTALADO EM RAMAL DE DESCARGA OU RAMAL DE ESGOTO SANITÁRIO. AF_12/2014</v>
      </c>
      <c r="C168" s="1850"/>
      <c r="D168" s="1850"/>
      <c r="E168" s="1850"/>
      <c r="F168" s="1850"/>
      <c r="G168" s="1850"/>
      <c r="H168" s="1850"/>
      <c r="I168" s="1850"/>
      <c r="J168" s="1850"/>
      <c r="K168" s="1850"/>
      <c r="L168" s="1850"/>
      <c r="M168" s="1850"/>
      <c r="N168" s="202"/>
      <c r="O168" s="202"/>
      <c r="P168" s="202"/>
    </row>
    <row r="169" spans="1:16" x14ac:dyDescent="0.2">
      <c r="A169" s="254"/>
      <c r="B169" s="296"/>
      <c r="C169" s="296"/>
      <c r="D169" s="296"/>
      <c r="E169" s="296"/>
      <c r="F169" s="296"/>
      <c r="G169" s="296"/>
      <c r="H169" s="296"/>
      <c r="I169" s="202"/>
      <c r="J169" s="202"/>
      <c r="K169" s="202"/>
      <c r="L169" s="202"/>
      <c r="M169" s="202"/>
      <c r="N169" s="202"/>
      <c r="O169" s="202"/>
      <c r="P169" s="202"/>
    </row>
    <row r="170" spans="1:16" x14ac:dyDescent="0.2">
      <c r="A170" s="633"/>
      <c r="B170" s="158" t="s">
        <v>163</v>
      </c>
      <c r="C170" s="159">
        <v>10</v>
      </c>
      <c r="D170" s="160" t="s">
        <v>668</v>
      </c>
      <c r="E170" s="202"/>
      <c r="F170" s="202"/>
      <c r="G170" s="202"/>
      <c r="H170" s="202"/>
      <c r="I170" s="202"/>
      <c r="J170" s="202"/>
      <c r="K170" s="202"/>
      <c r="L170" s="202"/>
      <c r="M170" s="202"/>
      <c r="N170" s="202"/>
      <c r="O170" s="202"/>
      <c r="P170" s="202"/>
    </row>
    <row r="171" spans="1:16" x14ac:dyDescent="0.2">
      <c r="A171" s="633"/>
      <c r="B171" s="202"/>
      <c r="C171" s="202"/>
      <c r="D171" s="202"/>
      <c r="E171" s="202"/>
      <c r="F171" s="202"/>
      <c r="G171" s="202"/>
      <c r="H171" s="202"/>
      <c r="I171" s="202"/>
      <c r="J171" s="202"/>
      <c r="K171" s="202"/>
      <c r="L171" s="202"/>
      <c r="M171" s="202"/>
      <c r="N171" s="202"/>
      <c r="O171" s="202"/>
      <c r="P171" s="202"/>
    </row>
    <row r="172" spans="1:16" ht="27" customHeight="1" x14ac:dyDescent="0.2">
      <c r="A172" s="254" t="str">
        <f>ORÇ!A340</f>
        <v>13.3.10</v>
      </c>
      <c r="B172" s="1850" t="str">
        <f>ORÇ!D340</f>
        <v>CURVA CURTA 90 GRAUS, PVC, SERIE NORMAL, ESGOTO PREDIAL, DN 50 MM, JUNTA ELÁSTICA, FORNECIDO E INSTALADO EM RAMAL DE DESCARGA OU RAMAL DE ESGOTO SANITÁRIO. AF_12/2014</v>
      </c>
      <c r="C172" s="1850"/>
      <c r="D172" s="1850"/>
      <c r="E172" s="1850"/>
      <c r="F172" s="1850"/>
      <c r="G172" s="1850"/>
      <c r="H172" s="1850"/>
      <c r="I172" s="1850"/>
      <c r="J172" s="1850"/>
      <c r="K172" s="1850"/>
      <c r="L172" s="1850"/>
      <c r="M172" s="1850"/>
      <c r="N172" s="202"/>
      <c r="O172" s="202"/>
      <c r="P172" s="202"/>
    </row>
    <row r="173" spans="1:16" x14ac:dyDescent="0.2">
      <c r="A173" s="254"/>
      <c r="B173" s="852"/>
      <c r="C173" s="852"/>
      <c r="D173" s="852"/>
      <c r="E173" s="852"/>
      <c r="F173" s="852"/>
      <c r="G173" s="852"/>
      <c r="H173" s="852"/>
      <c r="I173" s="202"/>
      <c r="J173" s="202"/>
      <c r="K173" s="202"/>
      <c r="L173" s="202"/>
      <c r="M173" s="202"/>
      <c r="N173" s="202"/>
      <c r="O173" s="202"/>
      <c r="P173" s="202"/>
    </row>
    <row r="174" spans="1:16" x14ac:dyDescent="0.2">
      <c r="A174" s="633"/>
      <c r="B174" s="158" t="s">
        <v>163</v>
      </c>
      <c r="C174" s="159">
        <v>2</v>
      </c>
      <c r="D174" s="317" t="s">
        <v>668</v>
      </c>
      <c r="H174" s="202"/>
      <c r="I174" s="202"/>
      <c r="J174" s="202"/>
      <c r="K174" s="202"/>
      <c r="L174" s="202"/>
      <c r="M174" s="202"/>
      <c r="N174" s="202"/>
      <c r="O174" s="202"/>
      <c r="P174" s="202"/>
    </row>
    <row r="175" spans="1:16" x14ac:dyDescent="0.2">
      <c r="A175" s="633"/>
      <c r="B175" s="202"/>
      <c r="C175" s="202"/>
      <c r="D175" s="202"/>
      <c r="E175" s="202"/>
      <c r="F175" s="202"/>
      <c r="G175" s="202"/>
      <c r="H175" s="202"/>
      <c r="I175" s="202"/>
      <c r="J175" s="202"/>
      <c r="K175" s="202"/>
      <c r="L175" s="202"/>
      <c r="M175" s="202"/>
      <c r="N175" s="202"/>
      <c r="O175" s="202"/>
      <c r="P175" s="202"/>
    </row>
    <row r="176" spans="1:16" ht="27.75" customHeight="1" x14ac:dyDescent="0.2">
      <c r="A176" s="254" t="str">
        <f>ORÇ!A341</f>
        <v>13.3.11</v>
      </c>
      <c r="B176" s="1863" t="str">
        <f>ORÇ!D341</f>
        <v>CURVA CURTA 90 GRAUS, PVC, SERIE NORMAL, ESGOTO PREDIAL, DN 100 MM, JUNTA ELÁSTICA, FORNECIDO E INSTALADO EM RAMAL DE DESCARGA OU RAMAL DE ESGOTO SANITÁRIO. AF_12/2014</v>
      </c>
      <c r="C176" s="1863"/>
      <c r="D176" s="1863"/>
      <c r="E176" s="1863"/>
      <c r="F176" s="1863"/>
      <c r="G176" s="1863"/>
      <c r="H176" s="1863"/>
      <c r="I176" s="1863"/>
      <c r="J176" s="1863"/>
      <c r="K176" s="1863"/>
      <c r="L176" s="1863"/>
      <c r="M176" s="1863"/>
      <c r="N176" s="202"/>
      <c r="O176" s="202"/>
      <c r="P176" s="202"/>
    </row>
    <row r="177" spans="1:16" x14ac:dyDescent="0.2">
      <c r="A177" s="633"/>
      <c r="B177" s="202"/>
      <c r="C177" s="202"/>
      <c r="D177" s="202"/>
      <c r="E177" s="202"/>
      <c r="F177" s="202"/>
      <c r="G177" s="202"/>
      <c r="H177" s="202"/>
      <c r="I177" s="202"/>
      <c r="J177" s="202"/>
      <c r="K177" s="202"/>
      <c r="L177" s="202"/>
      <c r="M177" s="202"/>
      <c r="N177" s="202"/>
      <c r="O177" s="202"/>
      <c r="P177" s="202"/>
    </row>
    <row r="178" spans="1:16" x14ac:dyDescent="0.2">
      <c r="A178" s="633"/>
      <c r="B178" s="158" t="s">
        <v>163</v>
      </c>
      <c r="C178" s="159">
        <v>7</v>
      </c>
      <c r="D178" s="317" t="s">
        <v>668</v>
      </c>
      <c r="E178" s="202"/>
      <c r="F178" s="202"/>
      <c r="G178" s="202"/>
      <c r="H178" s="202"/>
      <c r="I178" s="202"/>
      <c r="J178" s="202"/>
      <c r="K178" s="202"/>
      <c r="L178" s="202"/>
      <c r="M178" s="202"/>
      <c r="N178" s="202"/>
      <c r="O178" s="202"/>
      <c r="P178" s="202"/>
    </row>
    <row r="179" spans="1:16" x14ac:dyDescent="0.2">
      <c r="A179" s="633"/>
      <c r="B179" s="202"/>
      <c r="C179" s="202"/>
      <c r="D179" s="202"/>
      <c r="E179" s="202"/>
      <c r="F179" s="202"/>
      <c r="G179" s="202"/>
      <c r="H179" s="202"/>
      <c r="I179" s="202"/>
      <c r="J179" s="202"/>
      <c r="K179" s="202"/>
      <c r="L179" s="202"/>
      <c r="M179" s="202"/>
      <c r="N179" s="202"/>
      <c r="O179" s="202"/>
      <c r="P179" s="202"/>
    </row>
    <row r="180" spans="1:16" ht="31.5" customHeight="1" x14ac:dyDescent="0.2">
      <c r="A180" s="254" t="str">
        <f>ORÇ!A342</f>
        <v>13.3.12</v>
      </c>
      <c r="B180" s="1850" t="str">
        <f>ORÇ!D342</f>
        <v>JOELHO 45 GRAUS, PVC, SERIE NORMAL, ESGOTO PREDIAL, DN 40 MM, JUNTA SOLDÁVEL, FORNECIDO E INSTALADO EM RAMAL DE DESCARGA OU RAMAL DE ESGOTO SANITÁRIO. AF_12/2014</v>
      </c>
      <c r="C180" s="1850"/>
      <c r="D180" s="1850"/>
      <c r="E180" s="1850"/>
      <c r="F180" s="1850"/>
      <c r="G180" s="1850"/>
      <c r="H180" s="1850"/>
      <c r="I180" s="1850"/>
      <c r="J180" s="1850"/>
      <c r="K180" s="1850"/>
      <c r="L180" s="1850"/>
      <c r="M180" s="1850"/>
      <c r="N180" s="202"/>
      <c r="O180" s="202"/>
      <c r="P180" s="202"/>
    </row>
    <row r="181" spans="1:16" x14ac:dyDescent="0.2">
      <c r="A181" s="633"/>
      <c r="B181" s="202"/>
      <c r="C181" s="202"/>
      <c r="D181" s="202"/>
      <c r="E181" s="202"/>
      <c r="F181" s="202"/>
      <c r="G181" s="202"/>
      <c r="H181" s="202"/>
      <c r="I181" s="202"/>
      <c r="J181" s="202"/>
      <c r="K181" s="202"/>
      <c r="L181" s="202"/>
      <c r="M181" s="202"/>
      <c r="N181" s="202"/>
      <c r="O181" s="202"/>
      <c r="P181" s="202"/>
    </row>
    <row r="182" spans="1:16" x14ac:dyDescent="0.2">
      <c r="A182" s="633"/>
      <c r="B182" s="158" t="s">
        <v>163</v>
      </c>
      <c r="C182" s="159">
        <v>6</v>
      </c>
      <c r="D182" s="317" t="s">
        <v>668</v>
      </c>
      <c r="E182" s="202"/>
      <c r="F182" s="202"/>
      <c r="G182" s="202"/>
      <c r="H182" s="202"/>
      <c r="I182" s="202"/>
      <c r="J182" s="202"/>
      <c r="K182" s="202"/>
      <c r="L182" s="202"/>
      <c r="M182" s="202"/>
      <c r="N182" s="202"/>
      <c r="O182" s="202"/>
      <c r="P182" s="202"/>
    </row>
    <row r="183" spans="1:16" x14ac:dyDescent="0.2">
      <c r="A183" s="633"/>
      <c r="B183" s="202"/>
      <c r="C183" s="202"/>
      <c r="D183" s="202"/>
      <c r="E183" s="202"/>
      <c r="F183" s="202"/>
      <c r="G183" s="202"/>
      <c r="H183" s="202"/>
      <c r="I183" s="202"/>
      <c r="J183" s="202"/>
      <c r="K183" s="202"/>
      <c r="L183" s="202"/>
      <c r="M183" s="202"/>
      <c r="N183" s="202"/>
      <c r="O183" s="202"/>
      <c r="P183" s="202"/>
    </row>
    <row r="184" spans="1:16" ht="30" customHeight="1" x14ac:dyDescent="0.2">
      <c r="A184" s="254" t="str">
        <f>ORÇ!A343</f>
        <v>13.3.13</v>
      </c>
      <c r="B184" s="1850" t="str">
        <f>ORÇ!D343</f>
        <v>JOELHO 45 GRAUS, PVC, SERIE NORMAL, ESGOTO PREDIAL, DN 50 MM, JUNTA ELÁSTICA, FORNECIDO E INSTALADO EM RAMAL DE DESCARGA OU RAMAL DE ESGOTO SANITÁRIO. AF_12/2014</v>
      </c>
      <c r="C184" s="1850"/>
      <c r="D184" s="1850"/>
      <c r="E184" s="1850"/>
      <c r="F184" s="1850"/>
      <c r="G184" s="1850"/>
      <c r="H184" s="1850"/>
      <c r="I184" s="1850"/>
      <c r="J184" s="1850"/>
      <c r="K184" s="1850"/>
      <c r="L184" s="1850"/>
      <c r="M184" s="1850"/>
      <c r="N184" s="202"/>
      <c r="O184" s="202"/>
      <c r="P184" s="202"/>
    </row>
    <row r="185" spans="1:16" ht="12.75" customHeight="1" x14ac:dyDescent="0.2">
      <c r="A185" s="254"/>
      <c r="B185" s="852"/>
      <c r="C185" s="852"/>
      <c r="D185" s="852"/>
      <c r="E185" s="852"/>
      <c r="F185" s="852"/>
      <c r="G185" s="852"/>
      <c r="H185" s="852"/>
      <c r="I185" s="202"/>
      <c r="J185" s="202"/>
      <c r="K185" s="202"/>
      <c r="L185" s="202"/>
      <c r="M185" s="202"/>
      <c r="N185" s="202"/>
      <c r="O185" s="202"/>
      <c r="P185" s="202"/>
    </row>
    <row r="186" spans="1:16" x14ac:dyDescent="0.2">
      <c r="A186" s="633"/>
      <c r="B186" s="158" t="s">
        <v>163</v>
      </c>
      <c r="C186" s="159">
        <v>4</v>
      </c>
      <c r="D186" s="317" t="s">
        <v>668</v>
      </c>
      <c r="E186" s="202"/>
      <c r="F186" s="202"/>
      <c r="G186" s="202"/>
      <c r="H186" s="202"/>
      <c r="I186" s="202"/>
      <c r="J186" s="202"/>
      <c r="K186" s="202"/>
      <c r="L186" s="202"/>
      <c r="M186" s="202"/>
      <c r="N186" s="202"/>
      <c r="O186" s="202"/>
      <c r="P186" s="202"/>
    </row>
    <row r="187" spans="1:16" x14ac:dyDescent="0.2">
      <c r="A187" s="633"/>
      <c r="B187" s="202"/>
      <c r="C187" s="202"/>
      <c r="D187" s="202"/>
      <c r="E187" s="202"/>
      <c r="F187" s="202"/>
      <c r="G187" s="202"/>
      <c r="H187" s="202"/>
      <c r="I187" s="202"/>
      <c r="J187" s="202"/>
      <c r="K187" s="202"/>
      <c r="L187" s="202"/>
      <c r="M187" s="202"/>
      <c r="N187" s="202"/>
      <c r="O187" s="202"/>
      <c r="P187" s="202"/>
    </row>
    <row r="188" spans="1:16" ht="28.5" customHeight="1" x14ac:dyDescent="0.2">
      <c r="A188" s="254" t="str">
        <f>ORÇ!A344</f>
        <v>13.3.14</v>
      </c>
      <c r="B188" s="1850" t="str">
        <f>ORÇ!D344</f>
        <v>JOELHO 45 GRAUS, PVC, SERIE NORMAL, ESGOTO PREDIAL, DN 100 MM, JUNTA ELÁSTICA, FORNECIDO E INSTALADO EM PRUMADA DE ESGOTO SANITÁRIO OU VENTILAÇÃO. AF_12/2014</v>
      </c>
      <c r="C188" s="1850"/>
      <c r="D188" s="1850"/>
      <c r="E188" s="1850"/>
      <c r="F188" s="1850"/>
      <c r="G188" s="1850"/>
      <c r="H188" s="1850"/>
      <c r="I188" s="1850"/>
      <c r="J188" s="1850"/>
      <c r="K188" s="1850"/>
      <c r="L188" s="1850"/>
      <c r="M188" s="1850"/>
      <c r="N188" s="202"/>
      <c r="O188" s="202"/>
      <c r="P188" s="202"/>
    </row>
    <row r="189" spans="1:16" x14ac:dyDescent="0.2">
      <c r="A189" s="633"/>
      <c r="B189" s="852"/>
      <c r="C189" s="852"/>
      <c r="D189" s="852"/>
      <c r="E189" s="852"/>
      <c r="F189" s="852"/>
      <c r="G189" s="852"/>
      <c r="H189" s="852"/>
      <c r="I189" s="202"/>
      <c r="J189" s="202"/>
      <c r="K189" s="202"/>
      <c r="L189" s="202"/>
      <c r="M189" s="202"/>
      <c r="N189" s="202"/>
      <c r="O189" s="202"/>
      <c r="P189" s="202"/>
    </row>
    <row r="190" spans="1:16" x14ac:dyDescent="0.2">
      <c r="A190" s="633"/>
      <c r="B190" s="158" t="s">
        <v>163</v>
      </c>
      <c r="C190" s="159">
        <v>3</v>
      </c>
      <c r="D190" s="317" t="s">
        <v>668</v>
      </c>
      <c r="E190" s="202"/>
      <c r="F190" s="202"/>
      <c r="G190" s="202"/>
      <c r="H190" s="202"/>
      <c r="I190" s="202"/>
      <c r="J190" s="202"/>
      <c r="K190" s="202"/>
      <c r="L190" s="202"/>
      <c r="M190" s="202"/>
      <c r="N190" s="202"/>
      <c r="O190" s="202"/>
      <c r="P190" s="202"/>
    </row>
    <row r="191" spans="1:16" x14ac:dyDescent="0.2">
      <c r="A191" s="633"/>
      <c r="B191" s="202"/>
      <c r="C191" s="202"/>
      <c r="D191" s="202"/>
      <c r="E191" s="202"/>
      <c r="F191" s="202"/>
      <c r="G191" s="202"/>
      <c r="H191" s="202"/>
      <c r="I191" s="202"/>
      <c r="J191" s="202"/>
      <c r="K191" s="202"/>
      <c r="L191" s="202"/>
      <c r="M191" s="202"/>
      <c r="N191" s="202"/>
      <c r="O191" s="202"/>
      <c r="P191" s="202"/>
    </row>
    <row r="192" spans="1:16" ht="25.5" customHeight="1" x14ac:dyDescent="0.2">
      <c r="A192" s="254" t="str">
        <f>ORÇ!A345</f>
        <v>13.3.15</v>
      </c>
      <c r="B192" s="1850" t="str">
        <f>ORÇ!D345</f>
        <v>TÊ DE REDUÇÃO, PVC, SOLDÁVEL, DN 100 MM X 50 MM, FORNECIMENTO E INSTALAÇÃO</v>
      </c>
      <c r="C192" s="1850"/>
      <c r="D192" s="1850"/>
      <c r="E192" s="1850"/>
      <c r="F192" s="1850"/>
      <c r="G192" s="1850"/>
      <c r="H192" s="1850"/>
      <c r="I192" s="1850"/>
      <c r="J192" s="1850"/>
      <c r="K192" s="1850"/>
      <c r="L192" s="1850"/>
      <c r="M192" s="1850"/>
      <c r="N192" s="202"/>
      <c r="O192" s="202"/>
      <c r="P192" s="202"/>
    </row>
    <row r="193" spans="1:16" x14ac:dyDescent="0.2">
      <c r="A193" s="633"/>
      <c r="B193" s="852"/>
      <c r="C193" s="852"/>
      <c r="D193" s="852"/>
      <c r="E193" s="852"/>
      <c r="F193" s="852"/>
      <c r="G193" s="852"/>
      <c r="H193" s="852"/>
      <c r="I193" s="202"/>
      <c r="J193" s="202"/>
      <c r="K193" s="202"/>
      <c r="L193" s="202"/>
      <c r="M193" s="202"/>
      <c r="N193" s="202"/>
      <c r="O193" s="202"/>
      <c r="P193" s="202"/>
    </row>
    <row r="194" spans="1:16" x14ac:dyDescent="0.2">
      <c r="A194" s="633"/>
      <c r="B194" s="158" t="s">
        <v>163</v>
      </c>
      <c r="C194" s="159">
        <v>4</v>
      </c>
      <c r="D194" s="317" t="s">
        <v>668</v>
      </c>
      <c r="E194" s="202"/>
      <c r="F194" s="202"/>
      <c r="G194" s="202"/>
      <c r="H194" s="202"/>
      <c r="I194" s="202"/>
      <c r="J194" s="202"/>
      <c r="K194" s="202"/>
      <c r="L194" s="202"/>
      <c r="M194" s="202"/>
      <c r="N194" s="202"/>
      <c r="O194" s="202"/>
      <c r="P194" s="202"/>
    </row>
    <row r="195" spans="1:16" x14ac:dyDescent="0.2">
      <c r="A195" s="633"/>
      <c r="B195" s="202"/>
      <c r="C195" s="202"/>
      <c r="D195" s="202"/>
      <c r="E195" s="202"/>
      <c r="F195" s="202"/>
      <c r="G195" s="202"/>
      <c r="H195" s="202"/>
      <c r="I195" s="202"/>
      <c r="J195" s="202"/>
      <c r="K195" s="202"/>
      <c r="L195" s="202"/>
      <c r="M195" s="202"/>
      <c r="N195" s="202"/>
      <c r="O195" s="202"/>
      <c r="P195" s="202"/>
    </row>
    <row r="196" spans="1:16" ht="28.5" customHeight="1" x14ac:dyDescent="0.2">
      <c r="A196" s="254" t="str">
        <f>ORÇ!A346</f>
        <v>13.3.16</v>
      </c>
      <c r="B196" s="1850" t="str">
        <f>ORÇ!D346</f>
        <v>TERMINAL DE VENTILACAO, 50 MM, SERIE NORMAL, ESGOTO PREDIAL. FORNECIMENTO E INSTALAÇÃO.</v>
      </c>
      <c r="C196" s="1850"/>
      <c r="D196" s="1850"/>
      <c r="E196" s="1850"/>
      <c r="F196" s="1850"/>
      <c r="G196" s="1850"/>
      <c r="H196" s="1850"/>
      <c r="I196" s="1850"/>
      <c r="J196" s="1850"/>
      <c r="K196" s="1850"/>
      <c r="L196" s="1850"/>
      <c r="M196" s="1850"/>
      <c r="N196" s="202"/>
      <c r="O196" s="202"/>
      <c r="P196" s="202"/>
    </row>
    <row r="197" spans="1:16" x14ac:dyDescent="0.2">
      <c r="A197" s="633"/>
      <c r="B197" s="202"/>
      <c r="C197" s="202"/>
      <c r="D197" s="202"/>
      <c r="E197" s="202"/>
      <c r="F197" s="202"/>
      <c r="G197" s="202"/>
      <c r="H197" s="202"/>
      <c r="I197" s="202"/>
      <c r="J197" s="202"/>
      <c r="K197" s="202"/>
      <c r="L197" s="202"/>
      <c r="M197" s="202"/>
      <c r="N197" s="202"/>
      <c r="O197" s="202"/>
      <c r="P197" s="202"/>
    </row>
    <row r="198" spans="1:16" x14ac:dyDescent="0.2">
      <c r="A198" s="633"/>
      <c r="B198" s="158" t="s">
        <v>163</v>
      </c>
      <c r="C198" s="159">
        <v>4</v>
      </c>
      <c r="D198" s="317" t="s">
        <v>668</v>
      </c>
      <c r="E198" s="202"/>
      <c r="F198" s="202"/>
      <c r="G198" s="202"/>
      <c r="H198" s="202"/>
      <c r="I198" s="202"/>
      <c r="J198" s="202"/>
      <c r="K198" s="202"/>
      <c r="L198" s="202"/>
      <c r="M198" s="202"/>
      <c r="N198" s="202"/>
      <c r="O198" s="202"/>
      <c r="P198" s="202"/>
    </row>
    <row r="199" spans="1:16" x14ac:dyDescent="0.2">
      <c r="A199" s="633"/>
      <c r="B199" s="202"/>
      <c r="C199" s="202"/>
      <c r="D199" s="202"/>
      <c r="E199" s="202"/>
      <c r="F199" s="202"/>
      <c r="G199" s="202"/>
      <c r="H199" s="202"/>
      <c r="I199" s="202"/>
      <c r="J199" s="202"/>
      <c r="K199" s="202"/>
      <c r="L199" s="202"/>
      <c r="M199" s="202"/>
      <c r="N199" s="202"/>
      <c r="O199" s="202"/>
      <c r="P199" s="202"/>
    </row>
    <row r="200" spans="1:16" ht="30.75" customHeight="1" x14ac:dyDescent="0.2">
      <c r="A200" s="254" t="str">
        <f>ORÇ!A347</f>
        <v>13.3.17</v>
      </c>
      <c r="B200" s="1850" t="str">
        <f>ORÇ!D347</f>
        <v>RALO SECO, PVC, DN 100 X 40 MM, JUNTA SOLDÁVEL, FORNECIDO E INSTALADO EM RAMAL DE DESCARGA OU EM RAMAL DE ESGOTO SANITÁRIO. AF_12/2014</v>
      </c>
      <c r="C200" s="1850"/>
      <c r="D200" s="1850"/>
      <c r="E200" s="1850"/>
      <c r="F200" s="1850"/>
      <c r="G200" s="1850"/>
      <c r="H200" s="1850"/>
      <c r="I200" s="1850"/>
      <c r="J200" s="1850"/>
      <c r="K200" s="1850"/>
      <c r="L200" s="1850"/>
      <c r="M200" s="1850"/>
      <c r="N200" s="202"/>
      <c r="O200" s="202"/>
      <c r="P200" s="202"/>
    </row>
    <row r="201" spans="1:16" x14ac:dyDescent="0.2">
      <c r="A201" s="254"/>
      <c r="B201" s="852"/>
      <c r="C201" s="852"/>
      <c r="D201" s="852"/>
      <c r="E201" s="852"/>
      <c r="F201" s="852"/>
      <c r="G201" s="852"/>
      <c r="H201" s="852"/>
      <c r="I201" s="202"/>
      <c r="J201" s="202"/>
      <c r="K201" s="202"/>
      <c r="L201" s="202"/>
      <c r="M201" s="202"/>
      <c r="N201" s="202"/>
      <c r="O201" s="202"/>
      <c r="P201" s="202"/>
    </row>
    <row r="202" spans="1:16" x14ac:dyDescent="0.2">
      <c r="A202" s="202"/>
      <c r="B202" s="158" t="s">
        <v>163</v>
      </c>
      <c r="C202" s="159">
        <v>2</v>
      </c>
      <c r="D202" s="317" t="s">
        <v>668</v>
      </c>
      <c r="E202" s="202"/>
      <c r="F202" s="202"/>
      <c r="G202" s="202"/>
      <c r="H202" s="202"/>
      <c r="I202" s="202"/>
      <c r="J202" s="202"/>
      <c r="K202" s="202"/>
      <c r="L202" s="202"/>
      <c r="M202" s="202"/>
      <c r="N202" s="202"/>
      <c r="O202" s="202"/>
      <c r="P202" s="202"/>
    </row>
    <row r="203" spans="1:16" x14ac:dyDescent="0.2">
      <c r="A203" s="202"/>
      <c r="B203" s="202"/>
      <c r="C203" s="202"/>
      <c r="D203" s="202"/>
      <c r="E203" s="202"/>
      <c r="F203" s="202"/>
      <c r="G203" s="202"/>
      <c r="H203" s="202"/>
      <c r="I203" s="202"/>
      <c r="J203" s="202"/>
      <c r="K203" s="202"/>
      <c r="L203" s="202"/>
      <c r="M203" s="202"/>
      <c r="N203" s="202"/>
      <c r="O203" s="202"/>
      <c r="P203" s="202"/>
    </row>
    <row r="204" spans="1:16" s="266" customFormat="1" ht="30.75" customHeight="1" x14ac:dyDescent="0.2">
      <c r="A204" s="254" t="str">
        <f>ORÇ!A348</f>
        <v>13.3.18</v>
      </c>
      <c r="B204" s="1850" t="str">
        <f>ORÇ!D348</f>
        <v>CAIXA SIFONADA, PVC, DN 100 X 100 X 50 MM, JUNTA ELÁSTICA, FORNECIDA E INSTALADA EM RAMAL DE DESCARGA OU EM RAMAL DE ESGOTO SANITÁRIO. AF_12/2014</v>
      </c>
      <c r="C204" s="1850"/>
      <c r="D204" s="1850"/>
      <c r="E204" s="1850"/>
      <c r="F204" s="1850"/>
      <c r="G204" s="1850"/>
      <c r="H204" s="1850"/>
      <c r="I204" s="1850"/>
      <c r="J204" s="1850"/>
      <c r="K204" s="1850"/>
      <c r="L204" s="1850"/>
      <c r="M204" s="1850"/>
      <c r="N204" s="202"/>
      <c r="O204" s="202"/>
      <c r="P204" s="202"/>
    </row>
    <row r="205" spans="1:16" s="266" customFormat="1" x14ac:dyDescent="0.2">
      <c r="A205" s="254"/>
      <c r="B205" s="852"/>
      <c r="C205" s="852"/>
      <c r="D205" s="852"/>
      <c r="E205" s="852"/>
      <c r="F205" s="852"/>
      <c r="G205" s="852"/>
      <c r="H205" s="852"/>
      <c r="I205" s="202"/>
      <c r="J205" s="202"/>
      <c r="K205" s="202"/>
      <c r="L205" s="202"/>
      <c r="M205" s="202"/>
      <c r="N205" s="202"/>
      <c r="O205" s="202"/>
      <c r="P205" s="202"/>
    </row>
    <row r="206" spans="1:16" s="266" customFormat="1" x14ac:dyDescent="0.2">
      <c r="A206" s="202"/>
      <c r="B206" s="158" t="s">
        <v>163</v>
      </c>
      <c r="C206" s="159">
        <v>11</v>
      </c>
      <c r="D206" s="317" t="s">
        <v>668</v>
      </c>
      <c r="E206" s="202"/>
      <c r="F206" s="202"/>
      <c r="G206" s="202"/>
      <c r="H206" s="202"/>
      <c r="I206" s="202"/>
      <c r="J206" s="202"/>
      <c r="K206" s="202"/>
      <c r="L206" s="202"/>
      <c r="M206" s="202"/>
      <c r="N206" s="202"/>
      <c r="O206" s="202"/>
      <c r="P206" s="202"/>
    </row>
    <row r="207" spans="1:16" s="266" customFormat="1" x14ac:dyDescent="0.2">
      <c r="A207" s="202"/>
      <c r="B207" s="202"/>
      <c r="C207" s="202"/>
      <c r="D207" s="202"/>
      <c r="E207" s="202"/>
      <c r="F207" s="202"/>
      <c r="G207" s="202"/>
      <c r="H207" s="202"/>
      <c r="I207" s="202"/>
      <c r="J207" s="202"/>
      <c r="K207" s="202"/>
      <c r="L207" s="202"/>
      <c r="M207" s="202"/>
      <c r="N207" s="202"/>
      <c r="O207" s="202"/>
      <c r="P207" s="202"/>
    </row>
    <row r="208" spans="1:16" s="266" customFormat="1" x14ac:dyDescent="0.2">
      <c r="A208" s="202"/>
      <c r="B208" s="202"/>
      <c r="C208" s="202"/>
      <c r="D208" s="202"/>
      <c r="E208" s="202"/>
      <c r="F208" s="202"/>
      <c r="G208" s="202"/>
      <c r="H208" s="202"/>
      <c r="I208" s="202"/>
      <c r="J208" s="202"/>
      <c r="K208" s="202"/>
      <c r="L208" s="202"/>
      <c r="M208" s="202"/>
      <c r="N208" s="202"/>
      <c r="O208" s="202"/>
      <c r="P208" s="202"/>
    </row>
    <row r="209" spans="1:16" ht="16.5" customHeight="1" x14ac:dyDescent="0.2">
      <c r="A209" s="254" t="str">
        <f>ORÇ!A349</f>
        <v>13.4</v>
      </c>
      <c r="B209" s="1850" t="str">
        <f>ORÇ!D349</f>
        <v>Caixas e Acessórios</v>
      </c>
      <c r="C209" s="1850"/>
      <c r="D209" s="1850"/>
      <c r="E209" s="1850"/>
      <c r="F209" s="1850"/>
      <c r="G209" s="1850"/>
      <c r="H209" s="1850"/>
      <c r="I209" s="1850"/>
      <c r="J209" s="1850"/>
      <c r="K209" s="1850"/>
      <c r="L209" s="1850"/>
      <c r="M209" s="202"/>
      <c r="N209" s="202"/>
      <c r="O209" s="202"/>
      <c r="P209" s="202"/>
    </row>
    <row r="210" spans="1:16" ht="21" customHeight="1" x14ac:dyDescent="0.2">
      <c r="A210" s="254" t="str">
        <f>ORÇ!A350</f>
        <v>13.4.1</v>
      </c>
      <c r="B210" s="1850" t="str">
        <f>ORÇ!D350</f>
        <v>CAIXA EM ALVENARIA DE  30X30X30CM C/ TPO. CONCRETO</v>
      </c>
      <c r="C210" s="1850"/>
      <c r="D210" s="1850"/>
      <c r="E210" s="1850"/>
      <c r="F210" s="1850"/>
      <c r="G210" s="1850"/>
      <c r="H210" s="1850"/>
      <c r="I210" s="1850"/>
      <c r="J210" s="1850"/>
      <c r="K210" s="1850"/>
      <c r="L210" s="1850"/>
      <c r="M210" s="202"/>
      <c r="N210" s="202"/>
      <c r="O210" s="202"/>
      <c r="P210" s="202"/>
    </row>
    <row r="211" spans="1:16" x14ac:dyDescent="0.2">
      <c r="A211" s="254"/>
      <c r="B211" s="296"/>
      <c r="C211" s="296"/>
      <c r="D211" s="296"/>
      <c r="E211" s="296"/>
      <c r="F211" s="296"/>
      <c r="G211" s="296"/>
      <c r="H211" s="296"/>
      <c r="I211" s="202"/>
      <c r="J211" s="202"/>
      <c r="K211" s="202"/>
      <c r="L211" s="202"/>
      <c r="M211" s="202"/>
      <c r="N211" s="202"/>
      <c r="O211" s="202"/>
      <c r="P211" s="202"/>
    </row>
    <row r="212" spans="1:16" x14ac:dyDescent="0.2">
      <c r="A212" s="254"/>
      <c r="B212" s="868" t="s">
        <v>616</v>
      </c>
      <c r="C212" s="868" t="s">
        <v>469</v>
      </c>
      <c r="D212" s="852"/>
      <c r="E212" s="852"/>
      <c r="F212" s="852"/>
      <c r="G212" s="852"/>
      <c r="H212" s="852"/>
      <c r="I212" s="202"/>
      <c r="J212" s="202"/>
      <c r="K212" s="202"/>
      <c r="L212" s="202"/>
      <c r="M212" s="202"/>
      <c r="N212" s="202"/>
      <c r="O212" s="202"/>
      <c r="P212" s="202"/>
    </row>
    <row r="213" spans="1:16" ht="25.5" x14ac:dyDescent="0.2">
      <c r="A213" s="254"/>
      <c r="B213" s="869" t="s">
        <v>1528</v>
      </c>
      <c r="C213" s="868">
        <v>9</v>
      </c>
      <c r="D213" s="852"/>
      <c r="E213" s="852"/>
      <c r="F213" s="852"/>
      <c r="G213" s="852"/>
      <c r="H213" s="852"/>
      <c r="I213" s="202"/>
      <c r="J213" s="202"/>
      <c r="K213" s="202"/>
      <c r="L213" s="202"/>
      <c r="M213" s="202"/>
      <c r="N213" s="202"/>
      <c r="O213" s="202"/>
      <c r="P213" s="202"/>
    </row>
    <row r="214" spans="1:16" ht="25.5" x14ac:dyDescent="0.2">
      <c r="A214" s="254"/>
      <c r="B214" s="869" t="s">
        <v>1529</v>
      </c>
      <c r="C214" s="868">
        <v>6</v>
      </c>
      <c r="D214" s="852"/>
      <c r="E214" s="852"/>
      <c r="F214" s="852"/>
      <c r="G214" s="852"/>
      <c r="H214" s="852"/>
      <c r="I214" s="202"/>
      <c r="J214" s="202"/>
      <c r="K214" s="202"/>
      <c r="L214" s="202"/>
      <c r="M214" s="202"/>
      <c r="N214" s="202"/>
      <c r="O214" s="202"/>
      <c r="P214" s="202"/>
    </row>
    <row r="215" spans="1:16" ht="25.5" x14ac:dyDescent="0.2">
      <c r="A215" s="254"/>
      <c r="B215" s="869" t="s">
        <v>1530</v>
      </c>
      <c r="C215" s="868">
        <v>1</v>
      </c>
      <c r="D215" s="852"/>
      <c r="E215" s="852"/>
      <c r="F215" s="852"/>
      <c r="G215" s="852"/>
      <c r="H215" s="852"/>
      <c r="I215" s="202"/>
      <c r="J215" s="202"/>
      <c r="K215" s="202"/>
      <c r="L215" s="202"/>
      <c r="M215" s="202"/>
      <c r="N215" s="202"/>
      <c r="O215" s="202"/>
      <c r="P215" s="202"/>
    </row>
    <row r="216" spans="1:16" x14ac:dyDescent="0.2">
      <c r="A216" s="254"/>
      <c r="B216" s="867"/>
      <c r="C216" s="867"/>
      <c r="D216" s="852"/>
      <c r="E216" s="852"/>
      <c r="F216" s="852"/>
      <c r="G216" s="852"/>
      <c r="H216" s="852"/>
      <c r="I216" s="202"/>
      <c r="J216" s="202"/>
      <c r="K216" s="202"/>
      <c r="L216" s="202"/>
      <c r="M216" s="202"/>
      <c r="N216" s="202"/>
      <c r="O216" s="202"/>
      <c r="P216" s="202"/>
    </row>
    <row r="217" spans="1:16" x14ac:dyDescent="0.2">
      <c r="A217" s="202"/>
      <c r="B217" s="158" t="s">
        <v>163</v>
      </c>
      <c r="C217" s="159">
        <f>ROUND(SUM(C213:C215),2)</f>
        <v>16</v>
      </c>
      <c r="D217" s="160" t="s">
        <v>52</v>
      </c>
      <c r="E217" s="202"/>
      <c r="F217" s="202"/>
      <c r="G217" s="202"/>
      <c r="H217" s="202"/>
      <c r="I217" s="202"/>
      <c r="J217" s="202"/>
      <c r="K217" s="202"/>
      <c r="L217" s="202"/>
      <c r="M217" s="202"/>
      <c r="N217" s="202"/>
      <c r="O217" s="202"/>
      <c r="P217" s="202"/>
    </row>
    <row r="218" spans="1:16" x14ac:dyDescent="0.2">
      <c r="A218" s="202"/>
      <c r="B218" s="202"/>
      <c r="C218" s="202"/>
      <c r="D218" s="202"/>
      <c r="E218" s="202"/>
      <c r="F218" s="202"/>
      <c r="G218" s="202"/>
      <c r="H218" s="202"/>
      <c r="I218" s="202"/>
      <c r="J218" s="202"/>
      <c r="K218" s="202"/>
      <c r="L218" s="202"/>
      <c r="M218" s="202"/>
      <c r="N218" s="202"/>
      <c r="O218" s="202"/>
      <c r="P218" s="202"/>
    </row>
    <row r="219" spans="1:16" ht="30.75" customHeight="1" x14ac:dyDescent="0.2">
      <c r="A219" s="254" t="str">
        <f>ORÇ!A351</f>
        <v>13.4.2</v>
      </c>
      <c r="B219" s="1850" t="str">
        <f>ORÇ!D351</f>
        <v>SUMIDOURO CIRCULAR, EM CONCRETO PRÉ-MOLDADO, DIÂMETRO INTERNO = 2,38 M, ALTURA INTERNA = 2,50 M, ÁREA DE INFILTRAÇÃO: 21,3 M² (PARA 8 CONTRIBUINTES). AF_12/2020</v>
      </c>
      <c r="C219" s="1850"/>
      <c r="D219" s="1850"/>
      <c r="E219" s="1850"/>
      <c r="F219" s="1850"/>
      <c r="G219" s="1850"/>
      <c r="H219" s="1850"/>
      <c r="I219" s="1850"/>
      <c r="J219" s="1850"/>
      <c r="K219" s="1850"/>
      <c r="L219" s="1850"/>
      <c r="M219" s="1850"/>
      <c r="N219" s="202"/>
      <c r="O219" s="202"/>
      <c r="P219" s="202"/>
    </row>
    <row r="220" spans="1:16" x14ac:dyDescent="0.2">
      <c r="A220" s="254"/>
      <c r="B220" s="272"/>
      <c r="C220" s="272"/>
      <c r="D220" s="272"/>
      <c r="E220" s="272"/>
      <c r="F220" s="272"/>
      <c r="G220" s="272"/>
      <c r="H220" s="272"/>
      <c r="I220" s="202"/>
      <c r="J220" s="202"/>
      <c r="K220" s="202"/>
      <c r="L220" s="202"/>
      <c r="M220" s="202"/>
      <c r="N220" s="202"/>
      <c r="O220" s="202"/>
      <c r="P220" s="202"/>
    </row>
    <row r="221" spans="1:16" x14ac:dyDescent="0.2">
      <c r="A221" s="202"/>
      <c r="B221" s="158" t="s">
        <v>163</v>
      </c>
      <c r="C221" s="159">
        <v>1</v>
      </c>
      <c r="D221" s="160" t="s">
        <v>52</v>
      </c>
      <c r="E221" s="202"/>
      <c r="F221" s="202"/>
      <c r="G221" s="202"/>
      <c r="H221" s="202"/>
      <c r="I221" s="202"/>
      <c r="J221" s="202"/>
      <c r="K221" s="202"/>
      <c r="L221" s="202"/>
      <c r="M221" s="202"/>
      <c r="N221" s="202"/>
      <c r="O221" s="202"/>
      <c r="P221" s="202"/>
    </row>
    <row r="222" spans="1:16" x14ac:dyDescent="0.2">
      <c r="A222" s="202"/>
      <c r="B222" s="202"/>
      <c r="C222" s="202"/>
      <c r="D222" s="202"/>
      <c r="E222" s="202"/>
      <c r="F222" s="202"/>
      <c r="G222" s="202"/>
      <c r="H222" s="202"/>
      <c r="I222" s="202"/>
      <c r="J222" s="202"/>
      <c r="K222" s="202"/>
      <c r="L222" s="202"/>
      <c r="M222" s="202"/>
      <c r="N222" s="202"/>
      <c r="O222" s="202"/>
      <c r="P222" s="202"/>
    </row>
    <row r="223" spans="1:16" ht="34.5" customHeight="1" x14ac:dyDescent="0.2">
      <c r="A223" s="254" t="str">
        <f>ORÇ!A352</f>
        <v>13.4.3</v>
      </c>
      <c r="B223" s="1850" t="str">
        <f>ORÇ!D352</f>
        <v>FILTRO ANAERÓBIO CIRCULAR, EM CONCRETO PRÉ-MOLDADO, DIÂMETRO INTERNO = 1,88 M, ALTURA INTERNA = 1,50 M, VOLUME ÚTIL: 3331,1 L (PARA 19 CONTRIBUINTES). AF_12/2020</v>
      </c>
      <c r="C223" s="1850"/>
      <c r="D223" s="1850"/>
      <c r="E223" s="1850"/>
      <c r="F223" s="1850"/>
      <c r="G223" s="1850"/>
      <c r="H223" s="1850"/>
      <c r="I223" s="1850"/>
      <c r="J223" s="1850"/>
      <c r="K223" s="1850"/>
      <c r="L223" s="1850"/>
      <c r="M223" s="1850"/>
      <c r="N223" s="202"/>
      <c r="O223" s="202"/>
      <c r="P223" s="202"/>
    </row>
    <row r="224" spans="1:16" x14ac:dyDescent="0.2">
      <c r="A224" s="254"/>
      <c r="B224" s="272"/>
      <c r="C224" s="272"/>
      <c r="D224" s="272"/>
      <c r="E224" s="272"/>
      <c r="F224" s="272"/>
      <c r="G224" s="272"/>
      <c r="H224" s="272"/>
      <c r="I224" s="202"/>
      <c r="J224" s="202"/>
      <c r="K224" s="202"/>
      <c r="L224" s="202"/>
      <c r="M224" s="202"/>
      <c r="N224" s="202"/>
      <c r="O224" s="202"/>
      <c r="P224" s="202"/>
    </row>
    <row r="225" spans="1:16" x14ac:dyDescent="0.2">
      <c r="A225" s="202"/>
      <c r="B225" s="158" t="s">
        <v>163</v>
      </c>
      <c r="C225" s="159">
        <v>1</v>
      </c>
      <c r="D225" s="160" t="s">
        <v>52</v>
      </c>
      <c r="E225" s="202"/>
      <c r="F225" s="202"/>
      <c r="G225" s="202"/>
      <c r="H225" s="202"/>
      <c r="I225" s="202"/>
      <c r="J225" s="202"/>
      <c r="K225" s="202"/>
      <c r="L225" s="202"/>
      <c r="M225" s="202"/>
      <c r="N225" s="202"/>
      <c r="O225" s="202"/>
      <c r="P225" s="202"/>
    </row>
    <row r="226" spans="1:16" ht="17.25" customHeight="1" x14ac:dyDescent="0.2">
      <c r="A226" s="202"/>
      <c r="B226" s="202"/>
      <c r="C226" s="202"/>
      <c r="D226" s="202"/>
      <c r="E226" s="202"/>
      <c r="F226" s="202"/>
      <c r="G226" s="202"/>
      <c r="H226" s="202"/>
      <c r="I226" s="202"/>
      <c r="J226" s="202"/>
      <c r="K226" s="202"/>
      <c r="L226" s="202"/>
      <c r="M226" s="202"/>
      <c r="N226" s="202"/>
      <c r="O226" s="202"/>
      <c r="P226" s="202"/>
    </row>
    <row r="227" spans="1:16" ht="31.5" customHeight="1" x14ac:dyDescent="0.2">
      <c r="A227" s="254" t="str">
        <f>ORÇ!A353</f>
        <v>13.4.4</v>
      </c>
      <c r="B227" s="1850" t="str">
        <f>ORÇ!D353</f>
        <v>TANQUE SÉPTICO CIRCULAR, EM CONCRETO PRÉ-MOLDADO, DIÂMETRO INTERNO = 1,40 M, ALTURA INTERNA = 2,50 M, VOLUME ÚTIL: 3463,6 L (PARA 13 CONTRIBUINTES). AF_12/2020</v>
      </c>
      <c r="C227" s="1850"/>
      <c r="D227" s="1850"/>
      <c r="E227" s="1850"/>
      <c r="F227" s="1850"/>
      <c r="G227" s="1850"/>
      <c r="H227" s="1850"/>
      <c r="I227" s="1850"/>
      <c r="J227" s="1850"/>
      <c r="K227" s="1850"/>
      <c r="L227" s="1850"/>
      <c r="M227" s="1850"/>
      <c r="N227" s="202"/>
      <c r="O227" s="202"/>
      <c r="P227" s="202"/>
    </row>
    <row r="228" spans="1:16" x14ac:dyDescent="0.2">
      <c r="A228" s="254"/>
      <c r="B228" s="272"/>
      <c r="C228" s="272"/>
      <c r="D228" s="272"/>
      <c r="E228" s="272"/>
      <c r="F228" s="272"/>
      <c r="G228" s="272"/>
      <c r="H228" s="272"/>
      <c r="I228" s="202"/>
      <c r="J228" s="202"/>
      <c r="K228" s="202"/>
      <c r="L228" s="202"/>
      <c r="M228" s="202"/>
      <c r="N228" s="202"/>
      <c r="O228" s="202"/>
      <c r="P228" s="202"/>
    </row>
    <row r="229" spans="1:16" x14ac:dyDescent="0.2">
      <c r="A229" s="202"/>
      <c r="B229" s="158" t="s">
        <v>163</v>
      </c>
      <c r="C229" s="159">
        <v>1</v>
      </c>
      <c r="D229" s="160" t="s">
        <v>52</v>
      </c>
      <c r="E229" s="202"/>
      <c r="F229" s="202"/>
      <c r="G229" s="202"/>
      <c r="H229" s="202"/>
      <c r="I229" s="202"/>
      <c r="J229" s="202"/>
      <c r="K229" s="202"/>
      <c r="L229" s="202"/>
      <c r="M229" s="202"/>
      <c r="N229" s="202"/>
      <c r="O229" s="202"/>
      <c r="P229" s="202"/>
    </row>
    <row r="230" spans="1:16" x14ac:dyDescent="0.2">
      <c r="A230" s="202"/>
      <c r="B230" s="202"/>
      <c r="C230" s="202"/>
      <c r="D230" s="202"/>
      <c r="E230" s="202"/>
      <c r="F230" s="202"/>
      <c r="G230" s="202"/>
      <c r="H230" s="202"/>
      <c r="I230" s="202"/>
      <c r="J230" s="202"/>
      <c r="K230" s="202"/>
      <c r="L230" s="202"/>
      <c r="M230" s="202"/>
      <c r="N230" s="202"/>
      <c r="O230" s="202"/>
      <c r="P230" s="202"/>
    </row>
    <row r="231" spans="1:16" x14ac:dyDescent="0.2">
      <c r="A231" s="202"/>
      <c r="B231" s="202"/>
      <c r="C231" s="202"/>
      <c r="D231" s="202"/>
      <c r="E231" s="202"/>
      <c r="F231" s="202"/>
      <c r="G231" s="202"/>
      <c r="H231" s="202"/>
      <c r="I231" s="202"/>
      <c r="J231" s="202"/>
      <c r="K231" s="202"/>
      <c r="L231" s="202"/>
      <c r="M231" s="202"/>
      <c r="N231" s="202"/>
      <c r="O231" s="202"/>
      <c r="P231" s="202"/>
    </row>
    <row r="232" spans="1:16" x14ac:dyDescent="0.2">
      <c r="A232" s="254" t="str">
        <f>ORÇ!A354</f>
        <v>13.5</v>
      </c>
      <c r="B232" s="1850" t="str">
        <f>ORÇ!D354</f>
        <v>Torre de Caixa D'água</v>
      </c>
      <c r="C232" s="1850"/>
      <c r="D232" s="1850"/>
      <c r="E232" s="1850"/>
      <c r="F232" s="1850"/>
      <c r="G232" s="1850"/>
      <c r="H232" s="1850"/>
      <c r="I232" s="202"/>
      <c r="J232" s="202"/>
      <c r="K232" s="202"/>
      <c r="L232" s="202"/>
      <c r="M232" s="202"/>
      <c r="N232" s="202"/>
      <c r="O232" s="202"/>
      <c r="P232" s="202"/>
    </row>
    <row r="233" spans="1:16" ht="12.75" customHeight="1" x14ac:dyDescent="0.2">
      <c r="A233" s="254" t="str">
        <f>ORÇ!A356</f>
        <v>13.5.1.1</v>
      </c>
      <c r="B233" s="1850" t="str">
        <f>ORÇ!D356</f>
        <v>ESCAVAÇÃO MANUAL ATE 1.50M DE PROFUNDIDADE</v>
      </c>
      <c r="C233" s="1850"/>
      <c r="D233" s="1850"/>
      <c r="E233" s="1850"/>
      <c r="F233" s="1850"/>
      <c r="G233" s="1850"/>
      <c r="H233" s="1850"/>
      <c r="I233" s="1850"/>
      <c r="J233" s="1850"/>
      <c r="K233" s="1850"/>
      <c r="L233" s="1850"/>
      <c r="M233" s="1850"/>
      <c r="N233" s="202"/>
      <c r="O233" s="202"/>
      <c r="P233" s="202"/>
    </row>
    <row r="234" spans="1:16" s="266" customFormat="1" ht="15.75" customHeight="1" x14ac:dyDescent="0.2">
      <c r="A234" s="885"/>
      <c r="B234" s="888"/>
      <c r="C234" s="888"/>
      <c r="D234" s="888"/>
      <c r="E234" s="888"/>
      <c r="F234" s="888"/>
      <c r="G234" s="888"/>
      <c r="H234" s="888"/>
      <c r="I234" s="887"/>
      <c r="J234" s="887"/>
      <c r="K234" s="887"/>
      <c r="L234" s="887"/>
      <c r="M234" s="887"/>
      <c r="N234" s="887"/>
      <c r="O234" s="887"/>
      <c r="P234" s="887"/>
    </row>
    <row r="235" spans="1:16" s="269" customFormat="1" ht="38.25" x14ac:dyDescent="0.2">
      <c r="A235" s="885"/>
      <c r="B235" s="868" t="s">
        <v>1636</v>
      </c>
      <c r="C235" s="868"/>
      <c r="D235" s="868" t="s">
        <v>987</v>
      </c>
      <c r="E235" s="868"/>
      <c r="F235" s="868" t="s">
        <v>1637</v>
      </c>
      <c r="G235" s="868"/>
      <c r="H235" s="890" t="s">
        <v>312</v>
      </c>
      <c r="I235" s="889"/>
      <c r="J235" s="889"/>
      <c r="K235" s="889"/>
      <c r="L235" s="889"/>
      <c r="M235" s="889"/>
      <c r="N235" s="889"/>
      <c r="O235" s="889"/>
      <c r="P235" s="889"/>
    </row>
    <row r="236" spans="1:16" s="266" customFormat="1" ht="14.25" customHeight="1" x14ac:dyDescent="0.2">
      <c r="A236" s="887"/>
      <c r="B236" s="868">
        <v>3.35</v>
      </c>
      <c r="C236" s="868" t="s">
        <v>45</v>
      </c>
      <c r="D236" s="868">
        <v>3.1</v>
      </c>
      <c r="E236" s="868" t="s">
        <v>45</v>
      </c>
      <c r="F236" s="868">
        <v>2.0499999999999998</v>
      </c>
      <c r="G236" s="868" t="s">
        <v>46</v>
      </c>
      <c r="H236" s="890">
        <f>ROUND(B236*D236*F236,2)</f>
        <v>21.29</v>
      </c>
      <c r="I236" s="887"/>
      <c r="J236" s="887"/>
      <c r="K236" s="887"/>
      <c r="L236" s="887"/>
      <c r="M236" s="887"/>
      <c r="N236" s="887"/>
      <c r="O236" s="887"/>
      <c r="P236" s="887"/>
    </row>
    <row r="237" spans="1:16" s="266" customFormat="1" ht="14.25" customHeight="1" x14ac:dyDescent="0.2">
      <c r="A237" s="887"/>
      <c r="B237" s="887"/>
      <c r="C237" s="887"/>
      <c r="D237" s="887"/>
      <c r="E237" s="887"/>
      <c r="F237" s="887"/>
      <c r="G237" s="887"/>
      <c r="H237" s="887"/>
      <c r="I237" s="887"/>
      <c r="J237" s="887"/>
      <c r="K237" s="887"/>
      <c r="L237" s="887"/>
      <c r="M237" s="887"/>
      <c r="N237" s="887"/>
      <c r="O237" s="887"/>
      <c r="P237" s="887"/>
    </row>
    <row r="238" spans="1:16" ht="12.75" customHeight="1" x14ac:dyDescent="0.2">
      <c r="A238" s="254" t="str">
        <f>ORÇ!A357</f>
        <v>13.5.1.2</v>
      </c>
      <c r="B238" s="1850" t="str">
        <f>ORÇ!D357</f>
        <v>LASTRO DE CONCRETO MAGRO, APLICADO EM BLOCOS DE COROAMENTO OU SAPATAS, ESPESSURA DE 5 CM. AF_08/2017</v>
      </c>
      <c r="C238" s="1850"/>
      <c r="D238" s="1850"/>
      <c r="E238" s="1850"/>
      <c r="F238" s="1850"/>
      <c r="G238" s="1850"/>
      <c r="H238" s="1850"/>
      <c r="I238" s="1850"/>
      <c r="J238" s="1850"/>
      <c r="K238" s="1850"/>
      <c r="L238" s="1850"/>
      <c r="M238" s="1850"/>
      <c r="N238" s="202"/>
      <c r="O238" s="202"/>
      <c r="P238" s="202"/>
    </row>
    <row r="239" spans="1:16" s="266" customFormat="1" ht="15.75" customHeight="1" x14ac:dyDescent="0.2">
      <c r="A239" s="885"/>
      <c r="B239" s="1852"/>
      <c r="C239" s="1852"/>
      <c r="D239" s="1852"/>
      <c r="E239" s="1852"/>
      <c r="F239" s="1852"/>
      <c r="G239" s="1852"/>
      <c r="H239" s="1852"/>
      <c r="I239" s="887"/>
      <c r="J239" s="887"/>
      <c r="K239" s="887"/>
      <c r="L239" s="887"/>
      <c r="M239" s="887"/>
      <c r="N239" s="887"/>
      <c r="O239" s="887"/>
      <c r="P239" s="887"/>
    </row>
    <row r="240" spans="1:16" s="266" customFormat="1" ht="29.25" customHeight="1" x14ac:dyDescent="0.2">
      <c r="A240" s="885"/>
      <c r="B240" s="868" t="s">
        <v>1636</v>
      </c>
      <c r="C240" s="868"/>
      <c r="D240" s="868" t="s">
        <v>987</v>
      </c>
      <c r="E240" s="868"/>
      <c r="F240" s="890" t="s">
        <v>213</v>
      </c>
      <c r="G240" s="888"/>
      <c r="H240" s="888"/>
      <c r="I240" s="887"/>
      <c r="J240" s="887"/>
      <c r="K240" s="887"/>
      <c r="L240" s="887"/>
      <c r="M240" s="887"/>
      <c r="N240" s="887"/>
      <c r="O240" s="887"/>
      <c r="P240" s="887"/>
    </row>
    <row r="241" spans="1:16" s="266" customFormat="1" ht="14.25" customHeight="1" x14ac:dyDescent="0.2">
      <c r="A241" s="887"/>
      <c r="B241" s="868">
        <v>3.35</v>
      </c>
      <c r="C241" s="868" t="s">
        <v>45</v>
      </c>
      <c r="D241" s="868">
        <v>3.1</v>
      </c>
      <c r="E241" s="868" t="s">
        <v>46</v>
      </c>
      <c r="F241" s="890">
        <f>ROUND(B241*D241,2)</f>
        <v>10.39</v>
      </c>
      <c r="G241" s="887"/>
      <c r="H241" s="887"/>
      <c r="I241" s="887"/>
      <c r="J241" s="887"/>
      <c r="K241" s="887"/>
      <c r="L241" s="887"/>
      <c r="M241" s="887"/>
      <c r="N241" s="887"/>
      <c r="O241" s="887"/>
      <c r="P241" s="887"/>
    </row>
    <row r="242" spans="1:16" s="266" customFormat="1" ht="14.25" customHeight="1" x14ac:dyDescent="0.2">
      <c r="A242" s="887"/>
      <c r="B242" s="887"/>
      <c r="C242" s="887"/>
      <c r="D242" s="887"/>
      <c r="E242" s="887"/>
      <c r="F242" s="887"/>
      <c r="G242" s="887"/>
      <c r="H242" s="887"/>
      <c r="I242" s="887"/>
      <c r="J242" s="887"/>
      <c r="K242" s="887"/>
      <c r="L242" s="887"/>
      <c r="M242" s="887"/>
      <c r="N242" s="887"/>
      <c r="O242" s="887"/>
      <c r="P242" s="887"/>
    </row>
    <row r="243" spans="1:16" ht="17.25" customHeight="1" x14ac:dyDescent="0.2">
      <c r="A243" s="254" t="str">
        <f>ORÇ!A358</f>
        <v>13.5.1.3</v>
      </c>
      <c r="B243" s="1850" t="str">
        <f>ORÇ!D358</f>
        <v>FORMAS PARA CONCRETO EM CHAPA DE MADEIRA COMPENSADA RESINADA E=15MM (REAP 2X)</v>
      </c>
      <c r="C243" s="1850"/>
      <c r="D243" s="1850"/>
      <c r="E243" s="1850"/>
      <c r="F243" s="1850"/>
      <c r="G243" s="1850"/>
      <c r="H243" s="1850"/>
      <c r="I243" s="1850"/>
      <c r="J243" s="1850"/>
      <c r="K243" s="1850"/>
      <c r="L243" s="1850"/>
      <c r="M243" s="1850"/>
      <c r="N243" s="202"/>
      <c r="O243" s="202"/>
      <c r="P243" s="202"/>
    </row>
    <row r="244" spans="1:16" s="266" customFormat="1" ht="15.75" customHeight="1" x14ac:dyDescent="0.2">
      <c r="A244" s="885"/>
      <c r="B244" s="1852"/>
      <c r="C244" s="1852"/>
      <c r="D244" s="1852"/>
      <c r="E244" s="1852"/>
      <c r="F244" s="1852"/>
      <c r="G244" s="1852"/>
      <c r="H244" s="1852"/>
      <c r="I244" s="887"/>
      <c r="J244" s="887"/>
      <c r="K244" s="887"/>
      <c r="L244" s="887"/>
      <c r="M244" s="887"/>
      <c r="N244" s="887"/>
      <c r="O244" s="887"/>
      <c r="P244" s="887"/>
    </row>
    <row r="245" spans="1:16" s="266" customFormat="1" ht="15.75" customHeight="1" x14ac:dyDescent="0.2">
      <c r="A245" s="885"/>
      <c r="B245" s="867" t="s">
        <v>1647</v>
      </c>
      <c r="C245" s="867"/>
      <c r="D245" s="867"/>
      <c r="E245" s="867"/>
      <c r="F245" s="867"/>
      <c r="G245" s="867"/>
      <c r="H245" s="867"/>
      <c r="I245" s="887"/>
      <c r="J245" s="887"/>
      <c r="K245" s="887"/>
      <c r="L245" s="887"/>
      <c r="M245" s="887"/>
      <c r="N245" s="887"/>
      <c r="O245" s="887"/>
      <c r="P245" s="887"/>
    </row>
    <row r="246" spans="1:16" s="635" customFormat="1" ht="18" customHeight="1" x14ac:dyDescent="0.2">
      <c r="A246" s="885"/>
      <c r="B246" s="868" t="s">
        <v>216</v>
      </c>
      <c r="C246" s="868"/>
      <c r="D246" s="868" t="s">
        <v>405</v>
      </c>
      <c r="E246" s="868"/>
      <c r="F246" s="868" t="s">
        <v>469</v>
      </c>
      <c r="G246" s="868"/>
      <c r="H246" s="868" t="s">
        <v>213</v>
      </c>
      <c r="I246" s="885"/>
      <c r="J246" s="885"/>
      <c r="K246" s="885"/>
      <c r="L246" s="885"/>
      <c r="M246" s="885"/>
      <c r="N246" s="885"/>
      <c r="O246" s="885"/>
      <c r="P246" s="885"/>
    </row>
    <row r="247" spans="1:16" s="266" customFormat="1" ht="14.25" customHeight="1" x14ac:dyDescent="0.2">
      <c r="A247" s="887"/>
      <c r="B247" s="891">
        <v>3.25</v>
      </c>
      <c r="C247" s="891" t="s">
        <v>45</v>
      </c>
      <c r="D247" s="891">
        <v>1.05</v>
      </c>
      <c r="E247" s="891" t="s">
        <v>45</v>
      </c>
      <c r="F247" s="891">
        <v>2</v>
      </c>
      <c r="G247" s="891" t="s">
        <v>46</v>
      </c>
      <c r="H247" s="891">
        <f>ROUND(B247*D247*F247,2)</f>
        <v>6.83</v>
      </c>
      <c r="I247" s="887"/>
      <c r="J247" s="887"/>
      <c r="K247" s="887"/>
      <c r="L247" s="887"/>
      <c r="M247" s="887"/>
      <c r="N247" s="887"/>
      <c r="O247" s="887"/>
      <c r="P247" s="887"/>
    </row>
    <row r="248" spans="1:16" s="266" customFormat="1" ht="14.25" customHeight="1" x14ac:dyDescent="0.2">
      <c r="A248" s="887"/>
      <c r="B248" s="891">
        <v>3</v>
      </c>
      <c r="C248" s="891" t="s">
        <v>45</v>
      </c>
      <c r="D248" s="891">
        <v>1.05</v>
      </c>
      <c r="E248" s="891" t="s">
        <v>45</v>
      </c>
      <c r="F248" s="891">
        <v>2</v>
      </c>
      <c r="G248" s="891" t="s">
        <v>46</v>
      </c>
      <c r="H248" s="891">
        <f>ROUND(B248*D248*F248,2)</f>
        <v>6.3</v>
      </c>
      <c r="I248" s="887"/>
      <c r="J248" s="887"/>
      <c r="K248" s="887"/>
      <c r="L248" s="887"/>
      <c r="M248" s="887"/>
      <c r="N248" s="887"/>
      <c r="O248" s="887"/>
      <c r="P248" s="887"/>
    </row>
    <row r="249" spans="1:16" s="266" customFormat="1" ht="14.25" customHeight="1" x14ac:dyDescent="0.2">
      <c r="A249" s="887"/>
      <c r="B249" s="887"/>
      <c r="C249" s="887"/>
      <c r="D249" s="887"/>
      <c r="E249" s="887"/>
      <c r="F249" s="887"/>
      <c r="G249" s="887"/>
      <c r="H249" s="887"/>
      <c r="I249" s="887"/>
      <c r="J249" s="887"/>
      <c r="K249" s="887"/>
      <c r="L249" s="887"/>
      <c r="M249" s="887"/>
      <c r="N249" s="887"/>
      <c r="O249" s="887"/>
      <c r="P249" s="887"/>
    </row>
    <row r="250" spans="1:16" s="266" customFormat="1" ht="14.25" customHeight="1" x14ac:dyDescent="0.2">
      <c r="A250" s="887"/>
      <c r="B250" s="892" t="s">
        <v>47</v>
      </c>
      <c r="C250" s="893">
        <f>ROUND(SUM(H247:H248),2)</f>
        <v>13.13</v>
      </c>
      <c r="D250" s="894" t="s">
        <v>4</v>
      </c>
      <c r="E250" s="887"/>
      <c r="F250" s="887"/>
      <c r="G250" s="887"/>
      <c r="H250" s="887"/>
      <c r="I250" s="887"/>
      <c r="J250" s="887"/>
      <c r="K250" s="887"/>
      <c r="L250" s="887"/>
      <c r="M250" s="887"/>
      <c r="N250" s="887"/>
      <c r="O250" s="887"/>
      <c r="P250" s="887"/>
    </row>
    <row r="251" spans="1:16" s="266" customFormat="1" ht="14.25" customHeight="1" x14ac:dyDescent="0.2">
      <c r="A251" s="887"/>
      <c r="B251" s="887"/>
      <c r="C251" s="887"/>
      <c r="D251" s="887"/>
      <c r="E251" s="887"/>
      <c r="F251" s="887"/>
      <c r="G251" s="887"/>
      <c r="H251" s="887"/>
      <c r="I251" s="887"/>
      <c r="J251" s="887"/>
      <c r="K251" s="887"/>
      <c r="L251" s="887"/>
      <c r="M251" s="887"/>
      <c r="N251" s="887"/>
      <c r="O251" s="887"/>
      <c r="P251" s="887"/>
    </row>
    <row r="252" spans="1:16" ht="29.25" customHeight="1" x14ac:dyDescent="0.2">
      <c r="A252" s="254" t="str">
        <f>ORÇ!A359</f>
        <v>13.5.1.4</v>
      </c>
      <c r="B252" s="1850" t="str">
        <f>ORÇ!D359</f>
        <v>MONTAGEM E DESMONTAGEM DE FÔRMA DE PILARES CIRCULARES, COM ÁREA MÉDIA DAS SEÇÕES MAIOR QUE 0,28 M², PÉ-DIREITO SIMPLES, EM MADEIRA, 2 UTILIZAÇÕES. AF_06/2017</v>
      </c>
      <c r="C252" s="1850"/>
      <c r="D252" s="1850"/>
      <c r="E252" s="1850"/>
      <c r="F252" s="1850"/>
      <c r="G252" s="1850"/>
      <c r="H252" s="1850"/>
      <c r="I252" s="1850"/>
      <c r="J252" s="1850"/>
      <c r="K252" s="1850"/>
      <c r="L252" s="1850"/>
      <c r="M252" s="1850"/>
      <c r="N252" s="202"/>
      <c r="O252" s="202"/>
      <c r="P252" s="202"/>
    </row>
    <row r="253" spans="1:16" s="266" customFormat="1" ht="15.75" customHeight="1" x14ac:dyDescent="0.2">
      <c r="A253" s="885"/>
      <c r="B253" s="1852"/>
      <c r="C253" s="1852"/>
      <c r="D253" s="1852"/>
      <c r="E253" s="1852"/>
      <c r="F253" s="1852"/>
      <c r="G253" s="1852"/>
      <c r="H253" s="1852"/>
      <c r="I253" s="887"/>
      <c r="J253" s="887"/>
      <c r="K253" s="887"/>
      <c r="L253" s="887"/>
      <c r="M253" s="887"/>
      <c r="N253" s="887"/>
      <c r="O253" s="887"/>
      <c r="P253" s="887"/>
    </row>
    <row r="254" spans="1:16" s="266" customFormat="1" ht="15.75" customHeight="1" x14ac:dyDescent="0.2">
      <c r="A254" s="885"/>
      <c r="B254" s="1858" t="s">
        <v>1646</v>
      </c>
      <c r="C254" s="1858"/>
      <c r="D254" s="1858"/>
      <c r="E254" s="1858"/>
      <c r="F254" s="1858"/>
      <c r="G254" s="1858"/>
      <c r="H254" s="1858"/>
      <c r="I254" s="1858"/>
      <c r="J254" s="1858"/>
      <c r="K254" s="887"/>
      <c r="L254" s="887"/>
      <c r="M254" s="887"/>
      <c r="N254" s="887"/>
      <c r="O254" s="887"/>
      <c r="P254" s="887"/>
    </row>
    <row r="255" spans="1:16" s="266" customFormat="1" ht="18.75" customHeight="1" x14ac:dyDescent="0.2">
      <c r="A255" s="885"/>
      <c r="B255" s="1856"/>
      <c r="C255" s="1856"/>
      <c r="D255" s="1856"/>
      <c r="E255" s="1856"/>
      <c r="F255" s="1856"/>
      <c r="G255" s="1856"/>
      <c r="H255" s="1856"/>
      <c r="I255" s="1856"/>
      <c r="J255" s="890" t="s">
        <v>213</v>
      </c>
      <c r="K255" s="887"/>
      <c r="L255" s="887"/>
      <c r="M255" s="887"/>
      <c r="N255" s="887"/>
      <c r="O255" s="887"/>
      <c r="P255" s="887"/>
    </row>
    <row r="256" spans="1:16" s="266" customFormat="1" ht="14.25" customHeight="1" x14ac:dyDescent="0.2">
      <c r="A256" s="887"/>
      <c r="B256" s="868">
        <v>2</v>
      </c>
      <c r="C256" s="891" t="s">
        <v>45</v>
      </c>
      <c r="D256" s="891">
        <v>3.14</v>
      </c>
      <c r="E256" s="891" t="s">
        <v>45</v>
      </c>
      <c r="F256" s="891">
        <v>0.25</v>
      </c>
      <c r="G256" s="891" t="s">
        <v>45</v>
      </c>
      <c r="H256" s="891">
        <v>0.85</v>
      </c>
      <c r="I256" s="891" t="s">
        <v>46</v>
      </c>
      <c r="J256" s="890">
        <f>ROUND(B256*D256*F256*H256,2)</f>
        <v>1.33</v>
      </c>
      <c r="K256" s="887"/>
      <c r="L256" s="887"/>
      <c r="M256" s="887"/>
      <c r="N256" s="887"/>
      <c r="O256" s="887"/>
      <c r="P256" s="887"/>
    </row>
    <row r="257" spans="1:16" s="266" customFormat="1" ht="14.25" customHeight="1" x14ac:dyDescent="0.2">
      <c r="A257" s="887"/>
      <c r="B257" s="887"/>
      <c r="C257" s="887"/>
      <c r="D257" s="887"/>
      <c r="E257" s="887"/>
      <c r="F257" s="887"/>
      <c r="G257" s="887"/>
      <c r="H257" s="887"/>
      <c r="I257" s="887"/>
      <c r="J257" s="887"/>
      <c r="K257" s="887"/>
      <c r="L257" s="887"/>
      <c r="M257" s="887"/>
      <c r="N257" s="887"/>
      <c r="O257" s="887"/>
      <c r="P257" s="887"/>
    </row>
    <row r="258" spans="1:16" ht="18" customHeight="1" x14ac:dyDescent="0.2">
      <c r="A258" s="254" t="str">
        <f>ORÇ!A360</f>
        <v>13.5.1.5</v>
      </c>
      <c r="B258" s="1850" t="str">
        <f>ORÇ!D360</f>
        <v>ARMAÇÃO DE BLOCO, VIGA BALDRAME OU SAPATA UTILIZANDO AÇO CA-50 DE 10 MM - MONTAGEM. AF_06/2017</v>
      </c>
      <c r="C258" s="1850"/>
      <c r="D258" s="1850"/>
      <c r="E258" s="1850"/>
      <c r="F258" s="1850"/>
      <c r="G258" s="1850"/>
      <c r="H258" s="1850"/>
      <c r="I258" s="1850"/>
      <c r="J258" s="1850"/>
      <c r="K258" s="1850"/>
      <c r="L258" s="1850"/>
      <c r="M258" s="1850"/>
      <c r="N258" s="202"/>
      <c r="O258" s="202"/>
      <c r="P258" s="202"/>
    </row>
    <row r="259" spans="1:16" s="266" customFormat="1" ht="15.75" customHeight="1" x14ac:dyDescent="0.2">
      <c r="A259" s="885"/>
      <c r="B259" s="1852"/>
      <c r="C259" s="1852"/>
      <c r="D259" s="1852"/>
      <c r="E259" s="1852"/>
      <c r="F259" s="1852"/>
      <c r="G259" s="1852"/>
      <c r="H259" s="1852"/>
      <c r="I259" s="887"/>
      <c r="J259" s="887"/>
      <c r="K259" s="887"/>
      <c r="L259" s="887"/>
      <c r="M259" s="887"/>
      <c r="N259" s="887"/>
      <c r="O259" s="887"/>
      <c r="P259" s="887"/>
    </row>
    <row r="260" spans="1:16" s="635" customFormat="1" ht="25.5" x14ac:dyDescent="0.2">
      <c r="A260" s="885"/>
      <c r="B260" s="868" t="s">
        <v>616</v>
      </c>
      <c r="C260" s="868" t="s">
        <v>1650</v>
      </c>
      <c r="D260" s="868"/>
      <c r="E260" s="868" t="s">
        <v>18</v>
      </c>
      <c r="F260" s="868"/>
      <c r="G260" s="868" t="s">
        <v>1648</v>
      </c>
      <c r="H260" s="868"/>
      <c r="I260" s="868" t="s">
        <v>967</v>
      </c>
      <c r="J260" s="885"/>
      <c r="K260" s="885"/>
      <c r="L260" s="885"/>
      <c r="M260" s="885"/>
      <c r="N260" s="885"/>
      <c r="O260" s="885"/>
      <c r="P260" s="885"/>
    </row>
    <row r="261" spans="1:16" s="266" customFormat="1" ht="14.25" customHeight="1" x14ac:dyDescent="0.2">
      <c r="A261" s="887"/>
      <c r="B261" s="900" t="s">
        <v>1647</v>
      </c>
      <c r="C261" s="868">
        <v>8.8000000000000007</v>
      </c>
      <c r="D261" s="868" t="s">
        <v>45</v>
      </c>
      <c r="E261" s="868">
        <v>24</v>
      </c>
      <c r="F261" s="868" t="s">
        <v>45</v>
      </c>
      <c r="G261" s="903">
        <v>0.61699999999999999</v>
      </c>
      <c r="H261" s="868" t="s">
        <v>46</v>
      </c>
      <c r="I261" s="868">
        <f>ROUND(C261*E261*G261,2)</f>
        <v>130.31</v>
      </c>
      <c r="J261" s="887"/>
      <c r="K261" s="887"/>
      <c r="L261" s="887"/>
      <c r="M261" s="887"/>
      <c r="N261" s="887"/>
      <c r="O261" s="887"/>
      <c r="P261" s="887"/>
    </row>
    <row r="262" spans="1:16" s="266" customFormat="1" ht="31.5" customHeight="1" x14ac:dyDescent="0.2">
      <c r="A262" s="887"/>
      <c r="B262" s="900" t="s">
        <v>1651</v>
      </c>
      <c r="C262" s="868">
        <v>2</v>
      </c>
      <c r="D262" s="868" t="s">
        <v>45</v>
      </c>
      <c r="E262" s="868">
        <v>14</v>
      </c>
      <c r="F262" s="868" t="s">
        <v>45</v>
      </c>
      <c r="G262" s="903">
        <v>0.61699999999999999</v>
      </c>
      <c r="H262" s="868" t="s">
        <v>46</v>
      </c>
      <c r="I262" s="868">
        <f t="shared" ref="I262" si="0">ROUND(C262*E262*G262,2)</f>
        <v>17.28</v>
      </c>
      <c r="J262" s="887"/>
      <c r="K262" s="887"/>
      <c r="L262" s="887"/>
      <c r="M262" s="887"/>
      <c r="N262" s="887"/>
      <c r="O262" s="887"/>
      <c r="P262" s="887"/>
    </row>
    <row r="263" spans="1:16" s="266" customFormat="1" ht="14.25" customHeight="1" x14ac:dyDescent="0.2">
      <c r="A263" s="887"/>
      <c r="B263" s="887"/>
      <c r="C263" s="887"/>
      <c r="D263" s="887"/>
      <c r="E263" s="887"/>
      <c r="F263" s="887"/>
      <c r="G263" s="887"/>
      <c r="H263" s="887"/>
      <c r="I263" s="887"/>
      <c r="J263" s="887"/>
      <c r="K263" s="887"/>
      <c r="L263" s="887"/>
      <c r="M263" s="887"/>
      <c r="N263" s="887"/>
      <c r="O263" s="887"/>
      <c r="P263" s="887"/>
    </row>
    <row r="264" spans="1:16" s="266" customFormat="1" ht="14.25" customHeight="1" x14ac:dyDescent="0.2">
      <c r="A264" s="887"/>
      <c r="B264" s="892" t="s">
        <v>47</v>
      </c>
      <c r="C264" s="893">
        <f>ROUND(SUM(I261:I263),2)</f>
        <v>147.59</v>
      </c>
      <c r="D264" s="902" t="s">
        <v>1649</v>
      </c>
      <c r="E264" s="887"/>
      <c r="F264" s="887"/>
      <c r="G264" s="887"/>
      <c r="H264" s="887"/>
      <c r="I264" s="887"/>
      <c r="J264" s="887"/>
      <c r="K264" s="887"/>
      <c r="L264" s="887"/>
      <c r="M264" s="887"/>
      <c r="N264" s="887"/>
      <c r="O264" s="887"/>
      <c r="P264" s="887"/>
    </row>
    <row r="265" spans="1:16" s="266" customFormat="1" ht="14.25" customHeight="1" x14ac:dyDescent="0.2">
      <c r="A265" s="887"/>
      <c r="B265" s="887"/>
      <c r="C265" s="887"/>
      <c r="D265" s="887"/>
      <c r="E265" s="887"/>
      <c r="F265" s="887"/>
      <c r="G265" s="887"/>
      <c r="H265" s="887"/>
      <c r="I265" s="887"/>
      <c r="J265" s="887"/>
      <c r="K265" s="887"/>
      <c r="L265" s="887"/>
      <c r="M265" s="887"/>
      <c r="N265" s="887"/>
      <c r="O265" s="887"/>
      <c r="P265" s="887"/>
    </row>
    <row r="266" spans="1:16" ht="31.5" customHeight="1" x14ac:dyDescent="0.2">
      <c r="A266" s="254" t="str">
        <f>ORÇ!A361</f>
        <v>13.5.1.6</v>
      </c>
      <c r="B266" s="1850" t="str">
        <f>ORÇ!D361</f>
        <v>ARMAÇÃO DE PILAR OU VIGA DE UMA ESTRUTURA CONVENCIONAL DE CONCRETO ARMADO EM UM EDIFÍCIO DE MÚLTIPLOS PAVIMENTOS UTILIZANDO AÇO CA-50 DE 6,3 MM - MONTAGEM. AF_12/2015</v>
      </c>
      <c r="C266" s="1850"/>
      <c r="D266" s="1850"/>
      <c r="E266" s="1850"/>
      <c r="F266" s="1850"/>
      <c r="G266" s="1850"/>
      <c r="H266" s="1850"/>
      <c r="I266" s="1850"/>
      <c r="J266" s="1850"/>
      <c r="K266" s="1850"/>
      <c r="L266" s="1850"/>
      <c r="M266" s="1850"/>
      <c r="N266" s="202"/>
      <c r="O266" s="202"/>
      <c r="P266" s="202"/>
    </row>
    <row r="267" spans="1:16" s="266" customFormat="1" ht="15.75" customHeight="1" x14ac:dyDescent="0.2">
      <c r="A267" s="885"/>
      <c r="B267" s="1852"/>
      <c r="C267" s="1852"/>
      <c r="D267" s="1852"/>
      <c r="E267" s="1852"/>
      <c r="F267" s="1852"/>
      <c r="G267" s="1852"/>
      <c r="H267" s="1852"/>
      <c r="I267" s="887"/>
      <c r="J267" s="887"/>
      <c r="K267" s="887"/>
      <c r="L267" s="887"/>
      <c r="M267" s="887"/>
      <c r="N267" s="887"/>
      <c r="O267" s="887"/>
      <c r="P267" s="887"/>
    </row>
    <row r="268" spans="1:16" s="635" customFormat="1" ht="25.5" x14ac:dyDescent="0.2">
      <c r="A268" s="885"/>
      <c r="B268" s="868" t="s">
        <v>616</v>
      </c>
      <c r="C268" s="868" t="s">
        <v>1650</v>
      </c>
      <c r="D268" s="868"/>
      <c r="E268" s="868" t="s">
        <v>18</v>
      </c>
      <c r="F268" s="868"/>
      <c r="G268" s="868" t="s">
        <v>1648</v>
      </c>
      <c r="H268" s="868"/>
      <c r="I268" s="868" t="s">
        <v>967</v>
      </c>
      <c r="J268" s="885"/>
      <c r="K268" s="885"/>
      <c r="L268" s="885"/>
      <c r="M268" s="885"/>
      <c r="N268" s="885"/>
      <c r="O268" s="885"/>
      <c r="P268" s="885"/>
    </row>
    <row r="269" spans="1:16" s="266" customFormat="1" ht="31.5" customHeight="1" x14ac:dyDescent="0.2">
      <c r="A269" s="887"/>
      <c r="B269" s="900" t="s">
        <v>1651</v>
      </c>
      <c r="C269" s="868">
        <v>1.41</v>
      </c>
      <c r="D269" s="868" t="s">
        <v>45</v>
      </c>
      <c r="E269" s="868">
        <v>12</v>
      </c>
      <c r="F269" s="868" t="s">
        <v>45</v>
      </c>
      <c r="G269" s="903">
        <v>0.245</v>
      </c>
      <c r="H269" s="868" t="s">
        <v>46</v>
      </c>
      <c r="I269" s="868">
        <f t="shared" ref="I269" si="1">ROUND(C269*E269*G269,2)</f>
        <v>4.1500000000000004</v>
      </c>
      <c r="J269" s="887"/>
      <c r="K269" s="887"/>
      <c r="L269" s="887"/>
      <c r="M269" s="887"/>
      <c r="N269" s="887"/>
      <c r="O269" s="887"/>
      <c r="P269" s="887"/>
    </row>
    <row r="270" spans="1:16" s="266" customFormat="1" ht="14.25" customHeight="1" x14ac:dyDescent="0.2">
      <c r="A270" s="887"/>
      <c r="B270" s="887"/>
      <c r="C270" s="887"/>
      <c r="D270" s="887"/>
      <c r="E270" s="887"/>
      <c r="F270" s="887"/>
      <c r="G270" s="887"/>
      <c r="H270" s="887"/>
      <c r="I270" s="887"/>
      <c r="J270" s="887"/>
      <c r="K270" s="887"/>
      <c r="L270" s="887"/>
      <c r="M270" s="887"/>
      <c r="N270" s="887"/>
      <c r="O270" s="887"/>
      <c r="P270" s="887"/>
    </row>
    <row r="271" spans="1:16" s="266" customFormat="1" ht="14.25" customHeight="1" x14ac:dyDescent="0.2">
      <c r="A271" s="887"/>
      <c r="B271" s="892" t="s">
        <v>47</v>
      </c>
      <c r="C271" s="893">
        <f>ROUND(SUM(I269:I270),2)</f>
        <v>4.1500000000000004</v>
      </c>
      <c r="D271" s="902" t="s">
        <v>1649</v>
      </c>
      <c r="E271" s="887"/>
      <c r="F271" s="887"/>
      <c r="G271" s="887"/>
      <c r="H271" s="887"/>
      <c r="I271" s="887"/>
      <c r="J271" s="887"/>
      <c r="K271" s="887"/>
      <c r="L271" s="887"/>
      <c r="M271" s="887"/>
      <c r="N271" s="887"/>
      <c r="O271" s="887"/>
      <c r="P271" s="887"/>
    </row>
    <row r="272" spans="1:16" s="266" customFormat="1" ht="14.25" customHeight="1" x14ac:dyDescent="0.2">
      <c r="A272" s="887"/>
      <c r="B272" s="887"/>
      <c r="C272" s="887"/>
      <c r="D272" s="887"/>
      <c r="E272" s="887"/>
      <c r="F272" s="887"/>
      <c r="G272" s="887"/>
      <c r="H272" s="887"/>
      <c r="I272" s="887"/>
      <c r="J272" s="887"/>
      <c r="K272" s="887"/>
      <c r="L272" s="887"/>
      <c r="M272" s="887"/>
      <c r="N272" s="887"/>
      <c r="O272" s="887"/>
      <c r="P272" s="887"/>
    </row>
    <row r="273" spans="1:16" s="615" customFormat="1" ht="21.75" customHeight="1" x14ac:dyDescent="0.2">
      <c r="A273" s="254" t="str">
        <f>ORÇ!A362</f>
        <v>13.5.1.7</v>
      </c>
      <c r="B273" s="1850" t="str">
        <f>ORÇ!D362</f>
        <v>CONCRETO C/ SEIXO FCK= 25MPA (INCL. LANÇAMENTO E ADENSAMENTO)</v>
      </c>
      <c r="C273" s="1850"/>
      <c r="D273" s="1850"/>
      <c r="E273" s="1850"/>
      <c r="F273" s="1850"/>
      <c r="G273" s="1850"/>
      <c r="H273" s="1850"/>
      <c r="I273" s="1850"/>
      <c r="J273" s="1850"/>
      <c r="K273" s="1850"/>
      <c r="L273" s="1850"/>
      <c r="M273" s="1850"/>
      <c r="N273" s="633"/>
      <c r="O273" s="633"/>
      <c r="P273" s="633"/>
    </row>
    <row r="274" spans="1:16" s="266" customFormat="1" ht="15.75" customHeight="1" x14ac:dyDescent="0.2">
      <c r="A274" s="885"/>
      <c r="B274" s="1852"/>
      <c r="C274" s="1852"/>
      <c r="D274" s="1852"/>
      <c r="E274" s="1852"/>
      <c r="F274" s="1852"/>
      <c r="G274" s="1852"/>
      <c r="H274" s="1852"/>
      <c r="I274" s="887"/>
      <c r="J274" s="887"/>
      <c r="K274" s="887"/>
      <c r="L274" s="887"/>
      <c r="M274" s="887"/>
      <c r="N274" s="887"/>
      <c r="O274" s="887"/>
      <c r="P274" s="887"/>
    </row>
    <row r="275" spans="1:16" s="266" customFormat="1" ht="15.75" customHeight="1" x14ac:dyDescent="0.2">
      <c r="A275" s="885"/>
      <c r="B275" s="886" t="s">
        <v>1647</v>
      </c>
      <c r="C275" s="886"/>
      <c r="D275" s="886"/>
      <c r="E275" s="886"/>
      <c r="F275" s="886"/>
      <c r="G275" s="886"/>
      <c r="H275" s="886"/>
      <c r="I275" s="887"/>
      <c r="J275" s="887"/>
      <c r="K275" s="887"/>
      <c r="L275" s="887"/>
      <c r="M275" s="887"/>
      <c r="N275" s="887"/>
      <c r="O275" s="887"/>
      <c r="P275" s="887"/>
    </row>
    <row r="276" spans="1:16" s="635" customFormat="1" ht="18" customHeight="1" x14ac:dyDescent="0.2">
      <c r="A276" s="885"/>
      <c r="B276" s="868" t="s">
        <v>216</v>
      </c>
      <c r="C276" s="868"/>
      <c r="D276" s="868" t="s">
        <v>405</v>
      </c>
      <c r="E276" s="868"/>
      <c r="F276" s="868" t="s">
        <v>311</v>
      </c>
      <c r="G276" s="868"/>
      <c r="H276" s="868" t="s">
        <v>213</v>
      </c>
      <c r="I276" s="885"/>
      <c r="J276" s="885"/>
      <c r="K276" s="885"/>
      <c r="L276" s="885"/>
      <c r="M276" s="885"/>
      <c r="N276" s="885"/>
      <c r="O276" s="885"/>
      <c r="P276" s="885"/>
    </row>
    <row r="277" spans="1:16" s="266" customFormat="1" ht="14.25" customHeight="1" x14ac:dyDescent="0.2">
      <c r="A277" s="887"/>
      <c r="B277" s="891">
        <v>3.25</v>
      </c>
      <c r="C277" s="891" t="s">
        <v>45</v>
      </c>
      <c r="D277" s="891">
        <v>3</v>
      </c>
      <c r="E277" s="891" t="s">
        <v>45</v>
      </c>
      <c r="F277" s="891">
        <v>1.05</v>
      </c>
      <c r="G277" s="891" t="s">
        <v>46</v>
      </c>
      <c r="H277" s="891">
        <f>ROUND(B277*D277*F277,2)</f>
        <v>10.24</v>
      </c>
      <c r="I277" s="887"/>
      <c r="J277" s="887"/>
      <c r="K277" s="887"/>
      <c r="L277" s="887"/>
      <c r="M277" s="887"/>
      <c r="N277" s="887"/>
      <c r="O277" s="887"/>
      <c r="P277" s="887"/>
    </row>
    <row r="278" spans="1:16" s="266" customFormat="1" ht="14.25" customHeight="1" x14ac:dyDescent="0.2">
      <c r="A278" s="887"/>
      <c r="B278" s="887"/>
      <c r="C278" s="887"/>
      <c r="D278" s="887"/>
      <c r="E278" s="887"/>
      <c r="F278" s="887"/>
      <c r="G278" s="887"/>
      <c r="H278" s="887"/>
      <c r="I278" s="887"/>
      <c r="J278" s="887"/>
      <c r="K278" s="887"/>
      <c r="L278" s="887"/>
      <c r="M278" s="887"/>
      <c r="N278" s="887"/>
      <c r="O278" s="887"/>
      <c r="P278" s="887"/>
    </row>
    <row r="279" spans="1:16" s="266" customFormat="1" ht="14.25" customHeight="1" x14ac:dyDescent="0.2">
      <c r="A279" s="887"/>
      <c r="B279" s="904" t="s">
        <v>47</v>
      </c>
      <c r="C279" s="905">
        <f>ROUND(SUM(H277:H277),2)</f>
        <v>10.24</v>
      </c>
      <c r="D279" s="906" t="s">
        <v>4</v>
      </c>
      <c r="E279" s="887"/>
      <c r="F279" s="887"/>
      <c r="G279" s="887"/>
      <c r="H279" s="887"/>
      <c r="I279" s="887"/>
      <c r="J279" s="887"/>
      <c r="K279" s="887"/>
      <c r="L279" s="887"/>
      <c r="M279" s="887"/>
      <c r="N279" s="887"/>
      <c r="O279" s="887"/>
      <c r="P279" s="887"/>
    </row>
    <row r="280" spans="1:16" s="266" customFormat="1" ht="14.25" customHeight="1" x14ac:dyDescent="0.2">
      <c r="A280" s="887"/>
      <c r="B280" s="887"/>
      <c r="C280" s="887"/>
      <c r="D280" s="887"/>
      <c r="E280" s="887"/>
      <c r="F280" s="887"/>
      <c r="G280" s="887"/>
      <c r="H280" s="887"/>
      <c r="I280" s="887"/>
      <c r="J280" s="887"/>
      <c r="K280" s="887"/>
      <c r="L280" s="887"/>
      <c r="M280" s="887"/>
      <c r="N280" s="887"/>
      <c r="O280" s="887"/>
      <c r="P280" s="887"/>
    </row>
    <row r="281" spans="1:16" s="266" customFormat="1" ht="15.75" customHeight="1" x14ac:dyDescent="0.2">
      <c r="A281" s="885"/>
      <c r="B281" s="1858" t="s">
        <v>1646</v>
      </c>
      <c r="C281" s="1858"/>
      <c r="D281" s="1858"/>
      <c r="E281" s="1858"/>
      <c r="F281" s="1858"/>
      <c r="G281" s="1858"/>
      <c r="H281" s="1858"/>
      <c r="I281" s="1858"/>
      <c r="J281" s="1858"/>
      <c r="K281" s="887"/>
      <c r="L281" s="887"/>
      <c r="M281" s="887"/>
      <c r="N281" s="887"/>
      <c r="O281" s="887"/>
      <c r="P281" s="887"/>
    </row>
    <row r="282" spans="1:16" s="266" customFormat="1" ht="18.75" customHeight="1" x14ac:dyDescent="0.2">
      <c r="A282" s="885"/>
      <c r="B282" s="1856"/>
      <c r="C282" s="1856"/>
      <c r="D282" s="1856"/>
      <c r="E282" s="1856"/>
      <c r="F282" s="1856"/>
      <c r="G282" s="1856"/>
      <c r="H282" s="1856"/>
      <c r="I282" s="1856"/>
      <c r="J282" s="907" t="s">
        <v>213</v>
      </c>
      <c r="K282" s="887"/>
      <c r="L282" s="887"/>
      <c r="M282" s="887"/>
      <c r="N282" s="887"/>
      <c r="O282" s="887"/>
      <c r="P282" s="887"/>
    </row>
    <row r="283" spans="1:16" s="266" customFormat="1" ht="14.25" customHeight="1" x14ac:dyDescent="0.2">
      <c r="A283" s="887"/>
      <c r="B283" s="868">
        <v>3.14</v>
      </c>
      <c r="C283" s="891" t="s">
        <v>45</v>
      </c>
      <c r="D283" s="891">
        <v>0.25</v>
      </c>
      <c r="E283" s="891" t="s">
        <v>45</v>
      </c>
      <c r="F283" s="891">
        <v>0.25</v>
      </c>
      <c r="G283" s="891" t="s">
        <v>45</v>
      </c>
      <c r="H283" s="891">
        <v>0.85</v>
      </c>
      <c r="I283" s="891" t="s">
        <v>46</v>
      </c>
      <c r="J283" s="907">
        <f>ROUND(B283*D283*F283*H283,2)</f>
        <v>0.17</v>
      </c>
      <c r="K283" s="887"/>
      <c r="L283" s="887"/>
      <c r="M283" s="887"/>
      <c r="N283" s="887"/>
      <c r="O283" s="887"/>
      <c r="P283" s="887"/>
    </row>
    <row r="284" spans="1:16" s="266" customFormat="1" ht="14.25" customHeight="1" x14ac:dyDescent="0.2">
      <c r="A284" s="887"/>
      <c r="B284" s="887"/>
      <c r="C284" s="887"/>
      <c r="D284" s="887"/>
      <c r="E284" s="887"/>
      <c r="F284" s="887"/>
      <c r="G284" s="887"/>
      <c r="H284" s="887"/>
      <c r="I284" s="887"/>
      <c r="J284" s="887"/>
      <c r="K284" s="887"/>
      <c r="L284" s="887"/>
      <c r="M284" s="887"/>
      <c r="N284" s="887"/>
      <c r="O284" s="887"/>
      <c r="P284" s="887"/>
    </row>
    <row r="285" spans="1:16" s="635" customFormat="1" ht="16.5" customHeight="1" x14ac:dyDescent="0.2">
      <c r="A285" s="885"/>
      <c r="B285" s="868" t="s">
        <v>1652</v>
      </c>
      <c r="C285" s="868"/>
      <c r="D285" s="1857" t="s">
        <v>1653</v>
      </c>
      <c r="E285" s="1857"/>
      <c r="F285" s="868"/>
      <c r="G285" s="890" t="s">
        <v>312</v>
      </c>
      <c r="H285" s="885"/>
      <c r="I285" s="885"/>
      <c r="J285" s="885"/>
      <c r="K285" s="885"/>
      <c r="L285" s="885"/>
      <c r="M285" s="885"/>
      <c r="N285" s="885"/>
      <c r="O285" s="885"/>
      <c r="P285" s="885"/>
    </row>
    <row r="286" spans="1:16" s="635" customFormat="1" ht="14.25" customHeight="1" x14ac:dyDescent="0.2">
      <c r="A286" s="885"/>
      <c r="B286" s="868">
        <f>C279</f>
        <v>10.24</v>
      </c>
      <c r="C286" s="868" t="s">
        <v>615</v>
      </c>
      <c r="D286" s="1853">
        <f>J283</f>
        <v>0.17</v>
      </c>
      <c r="E286" s="1855"/>
      <c r="F286" s="868" t="s">
        <v>46</v>
      </c>
      <c r="G286" s="890">
        <f>ROUND(B286+D286,2)</f>
        <v>10.41</v>
      </c>
      <c r="H286" s="885"/>
      <c r="I286" s="885"/>
      <c r="J286" s="885"/>
      <c r="K286" s="885"/>
      <c r="L286" s="885"/>
      <c r="M286" s="885"/>
      <c r="N286" s="885"/>
      <c r="O286" s="885"/>
      <c r="P286" s="885"/>
    </row>
    <row r="287" spans="1:16" s="266" customFormat="1" ht="14.25" customHeight="1" x14ac:dyDescent="0.2">
      <c r="A287" s="887"/>
      <c r="B287" s="887"/>
      <c r="C287" s="887"/>
      <c r="D287" s="887"/>
      <c r="E287" s="887"/>
      <c r="F287" s="887"/>
      <c r="G287" s="887"/>
      <c r="H287" s="887"/>
      <c r="I287" s="887"/>
      <c r="J287" s="887"/>
      <c r="K287" s="887"/>
      <c r="L287" s="887"/>
      <c r="M287" s="887"/>
      <c r="N287" s="887"/>
      <c r="O287" s="887"/>
      <c r="P287" s="887"/>
    </row>
    <row r="288" spans="1:16" ht="16.5" customHeight="1" x14ac:dyDescent="0.2">
      <c r="A288" s="254" t="str">
        <f>ORÇ!A363</f>
        <v>13.5.1.8</v>
      </c>
      <c r="B288" s="1850" t="str">
        <f>ORÇ!D363</f>
        <v>REATERRO MANUAL APILOADO COM SOQUETE. AF_10/2017</v>
      </c>
      <c r="C288" s="1850"/>
      <c r="D288" s="1850"/>
      <c r="E288" s="1850"/>
      <c r="F288" s="1850"/>
      <c r="G288" s="1850"/>
      <c r="H288" s="1850"/>
      <c r="I288" s="1850"/>
      <c r="J288" s="1850"/>
      <c r="K288" s="1850"/>
      <c r="L288" s="1850"/>
      <c r="M288" s="1850"/>
      <c r="N288" s="202"/>
      <c r="O288" s="202"/>
      <c r="P288" s="202"/>
    </row>
    <row r="289" spans="1:16" s="266" customFormat="1" ht="15.75" customHeight="1" x14ac:dyDescent="0.2">
      <c r="A289" s="885"/>
      <c r="B289" s="1852"/>
      <c r="C289" s="1852"/>
      <c r="D289" s="1852"/>
      <c r="E289" s="1852"/>
      <c r="F289" s="1852"/>
      <c r="G289" s="1852"/>
      <c r="H289" s="1852"/>
      <c r="I289" s="887"/>
      <c r="J289" s="887"/>
      <c r="K289" s="887"/>
      <c r="L289" s="887"/>
      <c r="M289" s="887"/>
      <c r="N289" s="887"/>
      <c r="O289" s="887"/>
      <c r="P289" s="887"/>
    </row>
    <row r="290" spans="1:16" s="269" customFormat="1" ht="25.5" x14ac:dyDescent="0.2">
      <c r="A290" s="885"/>
      <c r="B290" s="868" t="s">
        <v>1087</v>
      </c>
      <c r="C290" s="868"/>
      <c r="D290" s="868" t="s">
        <v>1654</v>
      </c>
      <c r="E290" s="868"/>
      <c r="F290" s="868" t="s">
        <v>1655</v>
      </c>
      <c r="G290" s="868"/>
      <c r="H290" s="890" t="s">
        <v>312</v>
      </c>
      <c r="I290" s="889"/>
      <c r="J290" s="889"/>
      <c r="K290" s="889"/>
      <c r="L290" s="889"/>
      <c r="M290" s="889"/>
      <c r="N290" s="889"/>
      <c r="O290" s="889"/>
      <c r="P290" s="889"/>
    </row>
    <row r="291" spans="1:16" s="635" customFormat="1" ht="20.25" customHeight="1" x14ac:dyDescent="0.2">
      <c r="A291" s="885"/>
      <c r="B291" s="868">
        <f>H236</f>
        <v>21.29</v>
      </c>
      <c r="C291" s="868" t="s">
        <v>215</v>
      </c>
      <c r="D291" s="868">
        <f>ROUND(F241*0.05,2)</f>
        <v>0.52</v>
      </c>
      <c r="E291" s="868" t="s">
        <v>215</v>
      </c>
      <c r="F291" s="868">
        <f>G286</f>
        <v>10.41</v>
      </c>
      <c r="G291" s="868" t="s">
        <v>46</v>
      </c>
      <c r="H291" s="890">
        <f>ROUND(B291-D291-F291,2)</f>
        <v>10.36</v>
      </c>
      <c r="I291" s="885"/>
      <c r="J291" s="885"/>
      <c r="K291" s="885"/>
      <c r="L291" s="885"/>
      <c r="M291" s="885"/>
      <c r="N291" s="885"/>
      <c r="O291" s="885"/>
      <c r="P291" s="885"/>
    </row>
    <row r="292" spans="1:16" s="266" customFormat="1" ht="14.25" customHeight="1" x14ac:dyDescent="0.2">
      <c r="A292" s="887"/>
      <c r="B292" s="887"/>
      <c r="C292" s="887"/>
      <c r="D292" s="887"/>
      <c r="E292" s="887"/>
      <c r="F292" s="887"/>
      <c r="G292" s="887"/>
      <c r="H292" s="887"/>
      <c r="I292" s="887"/>
      <c r="J292" s="887"/>
      <c r="K292" s="887"/>
      <c r="L292" s="887"/>
      <c r="M292" s="887"/>
      <c r="N292" s="887"/>
      <c r="O292" s="887"/>
      <c r="P292" s="887"/>
    </row>
    <row r="293" spans="1:16" ht="15.75" customHeight="1" x14ac:dyDescent="0.2">
      <c r="A293" s="254" t="str">
        <f>ORÇ!A364</f>
        <v>13.5.2</v>
      </c>
      <c r="B293" s="1850" t="str">
        <f>ORÇ!D364</f>
        <v>Estrutural</v>
      </c>
      <c r="C293" s="1850"/>
      <c r="D293" s="1850"/>
      <c r="E293" s="1850"/>
      <c r="F293" s="1850"/>
      <c r="G293" s="1850"/>
      <c r="H293" s="1850"/>
      <c r="I293" s="1850"/>
      <c r="J293" s="1850"/>
      <c r="K293" s="1850"/>
      <c r="L293" s="1850"/>
      <c r="M293" s="1850"/>
      <c r="N293" s="202"/>
      <c r="O293" s="202"/>
      <c r="P293" s="202"/>
    </row>
    <row r="294" spans="1:16" ht="32.25" customHeight="1" x14ac:dyDescent="0.2">
      <c r="A294" s="254" t="str">
        <f>ORÇ!A365</f>
        <v>13.5.2.1</v>
      </c>
      <c r="B294" s="1850" t="str">
        <f>ORÇ!D365</f>
        <v>MONTAGEM E DESMONTAGEM DE FÔRMA DE PILARES CIRCULARES, COM ÁREA MÉDIA DAS SEÇÕES MAIOR QUE 0,28 M², PÉ-DIREITO SIMPLES, EM MADEIRA, 2 UTILIZAÇÕES. AF_06/2017</v>
      </c>
      <c r="C294" s="1850"/>
      <c r="D294" s="1850"/>
      <c r="E294" s="1850"/>
      <c r="F294" s="1850"/>
      <c r="G294" s="1850"/>
      <c r="H294" s="1850"/>
      <c r="I294" s="1850"/>
      <c r="J294" s="1850"/>
      <c r="K294" s="1850"/>
      <c r="L294" s="1850"/>
      <c r="M294" s="1850"/>
      <c r="N294" s="202"/>
      <c r="O294" s="202"/>
      <c r="P294" s="202"/>
    </row>
    <row r="295" spans="1:16" s="266" customFormat="1" ht="15.75" customHeight="1" x14ac:dyDescent="0.2">
      <c r="A295" s="885"/>
      <c r="B295" s="888"/>
      <c r="C295" s="888"/>
      <c r="D295" s="888"/>
      <c r="E295" s="888"/>
      <c r="F295" s="888"/>
      <c r="G295" s="888"/>
      <c r="H295" s="888"/>
      <c r="I295" s="887"/>
      <c r="J295" s="887"/>
      <c r="K295" s="887"/>
      <c r="L295" s="887"/>
      <c r="M295" s="887"/>
      <c r="N295" s="887"/>
      <c r="O295" s="887"/>
      <c r="P295" s="887"/>
    </row>
    <row r="296" spans="1:16" s="266" customFormat="1" ht="15.75" customHeight="1" x14ac:dyDescent="0.2">
      <c r="A296" s="885"/>
      <c r="B296" s="1858" t="s">
        <v>1656</v>
      </c>
      <c r="C296" s="1858"/>
      <c r="D296" s="1858"/>
      <c r="E296" s="1858"/>
      <c r="F296" s="1858"/>
      <c r="G296" s="1858"/>
      <c r="H296" s="1858"/>
      <c r="I296" s="1858"/>
      <c r="J296" s="1858"/>
      <c r="K296" s="887"/>
      <c r="L296" s="887"/>
      <c r="M296" s="887"/>
      <c r="N296" s="887"/>
      <c r="O296" s="887"/>
      <c r="P296" s="887"/>
    </row>
    <row r="297" spans="1:16" s="266" customFormat="1" ht="18.75" customHeight="1" x14ac:dyDescent="0.2">
      <c r="A297" s="885"/>
      <c r="B297" s="1856"/>
      <c r="C297" s="1856"/>
      <c r="D297" s="1856"/>
      <c r="E297" s="1856"/>
      <c r="F297" s="1856"/>
      <c r="G297" s="1856"/>
      <c r="H297" s="1856"/>
      <c r="I297" s="1856"/>
      <c r="J297" s="890" t="s">
        <v>213</v>
      </c>
      <c r="K297" s="887"/>
      <c r="L297" s="887"/>
      <c r="M297" s="887"/>
      <c r="N297" s="887"/>
      <c r="O297" s="887"/>
      <c r="P297" s="887"/>
    </row>
    <row r="298" spans="1:16" s="266" customFormat="1" ht="14.25" customHeight="1" x14ac:dyDescent="0.2">
      <c r="A298" s="887"/>
      <c r="B298" s="868">
        <v>2</v>
      </c>
      <c r="C298" s="891" t="s">
        <v>45</v>
      </c>
      <c r="D298" s="891">
        <v>3.14</v>
      </c>
      <c r="E298" s="891" t="s">
        <v>45</v>
      </c>
      <c r="F298" s="891">
        <v>0.25</v>
      </c>
      <c r="G298" s="891" t="s">
        <v>45</v>
      </c>
      <c r="H298" s="891">
        <v>6</v>
      </c>
      <c r="I298" s="891" t="s">
        <v>46</v>
      </c>
      <c r="J298" s="890">
        <f>ROUND(B298*D298*F298*H298,2)</f>
        <v>9.42</v>
      </c>
      <c r="K298" s="887"/>
      <c r="L298" s="887"/>
      <c r="M298" s="887"/>
      <c r="N298" s="887"/>
      <c r="O298" s="887"/>
      <c r="P298" s="887"/>
    </row>
    <row r="299" spans="1:16" s="266" customFormat="1" ht="14.25" customHeight="1" x14ac:dyDescent="0.2">
      <c r="A299" s="887"/>
      <c r="B299" s="887"/>
      <c r="C299" s="887"/>
      <c r="D299" s="887"/>
      <c r="E299" s="887"/>
      <c r="F299" s="887"/>
      <c r="G299" s="887"/>
      <c r="H299" s="887"/>
      <c r="I299" s="887"/>
      <c r="J299" s="887"/>
      <c r="K299" s="887"/>
      <c r="L299" s="887"/>
      <c r="M299" s="887"/>
      <c r="N299" s="887"/>
      <c r="O299" s="887"/>
      <c r="P299" s="887"/>
    </row>
    <row r="300" spans="1:16" ht="27.75" customHeight="1" x14ac:dyDescent="0.2">
      <c r="A300" s="254" t="str">
        <f>ORÇ!A366</f>
        <v>13.5.2.2</v>
      </c>
      <c r="B300" s="1850" t="str">
        <f>ORÇ!D366</f>
        <v>MONTAGEM E DESMONTAGEM DE FÔRMA DE VIGA, ESCORAMENTO COM GARFO DE MADEIRA, PÉ-DIREITO DUPLO, EM CHAPA DE MADEIRA PLASTIFICADA, 18 UTILIZAÇÕES. AF_09/2020</v>
      </c>
      <c r="C300" s="1850"/>
      <c r="D300" s="1850"/>
      <c r="E300" s="1850"/>
      <c r="F300" s="1850"/>
      <c r="G300" s="1850"/>
      <c r="H300" s="1850"/>
      <c r="I300" s="1850"/>
      <c r="J300" s="1850"/>
      <c r="K300" s="1850"/>
      <c r="L300" s="1850"/>
      <c r="M300" s="1850"/>
      <c r="N300" s="202"/>
      <c r="O300" s="202"/>
      <c r="P300" s="202"/>
    </row>
    <row r="301" spans="1:16" s="266" customFormat="1" ht="15.75" customHeight="1" x14ac:dyDescent="0.2">
      <c r="A301" s="885"/>
      <c r="B301" s="888"/>
      <c r="C301" s="888"/>
      <c r="D301" s="888"/>
      <c r="E301" s="888"/>
      <c r="F301" s="888"/>
      <c r="G301" s="888"/>
      <c r="H301" s="888"/>
      <c r="I301" s="887"/>
      <c r="J301" s="887"/>
      <c r="K301" s="887"/>
      <c r="L301" s="887"/>
      <c r="M301" s="887"/>
      <c r="N301" s="887"/>
      <c r="O301" s="887"/>
      <c r="P301" s="887"/>
    </row>
    <row r="302" spans="1:16" s="269" customFormat="1" ht="15.75" customHeight="1" x14ac:dyDescent="0.2">
      <c r="A302" s="885"/>
      <c r="B302" s="1857" t="s">
        <v>1658</v>
      </c>
      <c r="C302" s="1857"/>
      <c r="D302" s="1857"/>
      <c r="E302" s="1857"/>
      <c r="F302" s="1857"/>
      <c r="G302" s="885"/>
      <c r="H302" s="885"/>
      <c r="I302" s="889"/>
      <c r="J302" s="889"/>
      <c r="K302" s="889"/>
      <c r="L302" s="889"/>
      <c r="M302" s="889"/>
      <c r="N302" s="889"/>
      <c r="O302" s="889"/>
      <c r="P302" s="889"/>
    </row>
    <row r="303" spans="1:16" s="635" customFormat="1" ht="14.25" customHeight="1" x14ac:dyDescent="0.2">
      <c r="A303" s="885"/>
      <c r="B303" s="868" t="s">
        <v>216</v>
      </c>
      <c r="C303" s="868"/>
      <c r="D303" s="868" t="s">
        <v>405</v>
      </c>
      <c r="E303" s="868"/>
      <c r="F303" s="868" t="s">
        <v>213</v>
      </c>
      <c r="G303" s="885"/>
      <c r="H303" s="885"/>
      <c r="I303" s="885"/>
      <c r="J303" s="885"/>
      <c r="K303" s="885"/>
      <c r="L303" s="885"/>
      <c r="M303" s="885"/>
      <c r="N303" s="885"/>
      <c r="O303" s="885"/>
      <c r="P303" s="885"/>
    </row>
    <row r="304" spans="1:16" s="635" customFormat="1" ht="14.25" customHeight="1" x14ac:dyDescent="0.2">
      <c r="A304" s="885"/>
      <c r="B304" s="868">
        <v>1.25</v>
      </c>
      <c r="C304" s="868" t="s">
        <v>1657</v>
      </c>
      <c r="D304" s="868">
        <v>0.1</v>
      </c>
      <c r="E304" s="868" t="s">
        <v>46</v>
      </c>
      <c r="F304" s="868">
        <f>ROUND(B304*D304,2)</f>
        <v>0.13</v>
      </c>
      <c r="G304" s="885"/>
      <c r="H304" s="885"/>
      <c r="I304" s="885"/>
      <c r="J304" s="885"/>
      <c r="K304" s="885"/>
      <c r="L304" s="885"/>
      <c r="M304" s="885"/>
      <c r="N304" s="885"/>
      <c r="O304" s="885"/>
      <c r="P304" s="885"/>
    </row>
    <row r="305" spans="1:16" s="635" customFormat="1" ht="14.25" customHeight="1" x14ac:dyDescent="0.2">
      <c r="A305" s="885"/>
      <c r="B305" s="868">
        <v>1.25</v>
      </c>
      <c r="C305" s="868" t="s">
        <v>1657</v>
      </c>
      <c r="D305" s="868">
        <v>0.1</v>
      </c>
      <c r="E305" s="868" t="s">
        <v>46</v>
      </c>
      <c r="F305" s="868">
        <f>ROUND(B305*D305,2)</f>
        <v>0.13</v>
      </c>
      <c r="G305" s="885"/>
      <c r="H305" s="885"/>
      <c r="I305" s="885"/>
      <c r="J305" s="885"/>
      <c r="K305" s="885"/>
      <c r="L305" s="885"/>
      <c r="M305" s="885"/>
      <c r="N305" s="885"/>
      <c r="O305" s="885"/>
      <c r="P305" s="885"/>
    </row>
    <row r="306" spans="1:16" s="635" customFormat="1" ht="14.25" customHeight="1" x14ac:dyDescent="0.2">
      <c r="A306" s="885"/>
      <c r="B306" s="868">
        <v>1.27</v>
      </c>
      <c r="C306" s="868" t="s">
        <v>1657</v>
      </c>
      <c r="D306" s="868">
        <v>0.2</v>
      </c>
      <c r="E306" s="868" t="s">
        <v>46</v>
      </c>
      <c r="F306" s="868">
        <f>ROUND(B306*D306,2)</f>
        <v>0.25</v>
      </c>
      <c r="G306" s="885"/>
      <c r="H306" s="885"/>
      <c r="I306" s="885"/>
      <c r="J306" s="885"/>
      <c r="K306" s="885"/>
      <c r="L306" s="885"/>
      <c r="M306" s="885"/>
      <c r="N306" s="885"/>
      <c r="O306" s="885"/>
      <c r="P306" s="885"/>
    </row>
    <row r="307" spans="1:16" s="635" customFormat="1" ht="14.25" customHeight="1" x14ac:dyDescent="0.2">
      <c r="A307" s="885"/>
      <c r="B307" s="868">
        <v>0.1</v>
      </c>
      <c r="C307" s="868" t="s">
        <v>1657</v>
      </c>
      <c r="D307" s="868">
        <v>0.2</v>
      </c>
      <c r="E307" s="868" t="s">
        <v>46</v>
      </c>
      <c r="F307" s="868">
        <f>ROUND(B307*D307,2)</f>
        <v>0.02</v>
      </c>
      <c r="G307" s="885"/>
      <c r="H307" s="885"/>
      <c r="I307" s="885"/>
      <c r="J307" s="885"/>
      <c r="K307" s="885"/>
      <c r="L307" s="885"/>
      <c r="M307" s="885"/>
      <c r="N307" s="885"/>
      <c r="O307" s="885"/>
      <c r="P307" s="885"/>
    </row>
    <row r="308" spans="1:16" s="635" customFormat="1" ht="14.25" customHeight="1" x14ac:dyDescent="0.2">
      <c r="A308" s="885"/>
      <c r="B308" s="885"/>
      <c r="C308" s="885"/>
      <c r="D308" s="885"/>
      <c r="E308" s="885"/>
      <c r="F308" s="885"/>
      <c r="G308" s="885"/>
      <c r="H308" s="885"/>
      <c r="I308" s="885"/>
      <c r="J308" s="885"/>
      <c r="K308" s="885"/>
      <c r="L308" s="885"/>
      <c r="M308" s="885"/>
      <c r="N308" s="885"/>
      <c r="O308" s="885"/>
      <c r="P308" s="885"/>
    </row>
    <row r="309" spans="1:16" s="635" customFormat="1" ht="14.25" customHeight="1" x14ac:dyDescent="0.2">
      <c r="A309" s="885"/>
      <c r="B309" s="908" t="s">
        <v>47</v>
      </c>
      <c r="C309" s="909">
        <f>ROUND(SUM(F304:F307),2)</f>
        <v>0.53</v>
      </c>
      <c r="D309" s="910" t="s">
        <v>4</v>
      </c>
      <c r="E309" s="885"/>
      <c r="F309" s="885"/>
      <c r="G309" s="885"/>
      <c r="H309" s="885"/>
      <c r="I309" s="885"/>
      <c r="J309" s="885"/>
      <c r="K309" s="885"/>
      <c r="L309" s="885"/>
      <c r="M309" s="885"/>
      <c r="N309" s="885"/>
      <c r="O309" s="885"/>
      <c r="P309" s="885"/>
    </row>
    <row r="310" spans="1:16" s="266" customFormat="1" ht="14.25" customHeight="1" x14ac:dyDescent="0.2">
      <c r="A310" s="887"/>
      <c r="B310" s="887"/>
      <c r="C310" s="887"/>
      <c r="D310" s="887"/>
      <c r="E310" s="887"/>
      <c r="F310" s="887"/>
      <c r="G310" s="887"/>
      <c r="H310" s="887"/>
      <c r="I310" s="887"/>
      <c r="J310" s="887"/>
      <c r="K310" s="887"/>
      <c r="L310" s="887"/>
      <c r="M310" s="887"/>
      <c r="N310" s="887"/>
      <c r="O310" s="887"/>
      <c r="P310" s="887"/>
    </row>
    <row r="311" spans="1:16" s="269" customFormat="1" ht="17.25" customHeight="1" x14ac:dyDescent="0.2">
      <c r="A311" s="885"/>
      <c r="B311" s="1857" t="s">
        <v>1659</v>
      </c>
      <c r="C311" s="1857"/>
      <c r="D311" s="1857"/>
      <c r="E311" s="1857"/>
      <c r="F311" s="1857"/>
      <c r="G311" s="1857"/>
      <c r="H311" s="1857"/>
      <c r="I311" s="889"/>
      <c r="J311" s="889"/>
      <c r="K311" s="889"/>
      <c r="L311" s="889"/>
      <c r="M311" s="889"/>
      <c r="N311" s="889"/>
      <c r="O311" s="889"/>
      <c r="P311" s="889"/>
    </row>
    <row r="312" spans="1:16" s="635" customFormat="1" ht="14.25" customHeight="1" x14ac:dyDescent="0.2">
      <c r="A312" s="885"/>
      <c r="B312" s="868" t="s">
        <v>216</v>
      </c>
      <c r="C312" s="868"/>
      <c r="D312" s="868" t="s">
        <v>311</v>
      </c>
      <c r="E312" s="868"/>
      <c r="F312" s="868" t="s">
        <v>1663</v>
      </c>
      <c r="G312" s="868"/>
      <c r="H312" s="868" t="s">
        <v>213</v>
      </c>
      <c r="I312" s="885"/>
      <c r="J312" s="885"/>
      <c r="K312" s="885"/>
      <c r="L312" s="885"/>
      <c r="M312" s="885"/>
      <c r="N312" s="885"/>
      <c r="O312" s="885"/>
      <c r="P312" s="885"/>
    </row>
    <row r="313" spans="1:16" s="635" customFormat="1" ht="14.25" customHeight="1" x14ac:dyDescent="0.2">
      <c r="A313" s="885"/>
      <c r="B313" s="868">
        <v>1.25</v>
      </c>
      <c r="C313" s="868" t="s">
        <v>1657</v>
      </c>
      <c r="D313" s="868">
        <v>0.2</v>
      </c>
      <c r="E313" s="868" t="s">
        <v>1660</v>
      </c>
      <c r="F313" s="868">
        <v>2</v>
      </c>
      <c r="G313" s="868" t="s">
        <v>46</v>
      </c>
      <c r="H313" s="868">
        <f>ROUND((B313*D313)/F313,2)</f>
        <v>0.13</v>
      </c>
      <c r="I313" s="885"/>
      <c r="J313" s="885"/>
      <c r="K313" s="885"/>
      <c r="L313" s="885"/>
      <c r="M313" s="885"/>
      <c r="N313" s="885"/>
      <c r="O313" s="885"/>
      <c r="P313" s="885"/>
    </row>
    <row r="314" spans="1:16" s="635" customFormat="1" ht="14.25" customHeight="1" x14ac:dyDescent="0.2">
      <c r="A314" s="885"/>
      <c r="B314" s="868">
        <v>1.25</v>
      </c>
      <c r="C314" s="868" t="s">
        <v>1657</v>
      </c>
      <c r="D314" s="868">
        <v>0.2</v>
      </c>
      <c r="E314" s="868" t="s">
        <v>1660</v>
      </c>
      <c r="F314" s="868">
        <v>2</v>
      </c>
      <c r="G314" s="868" t="s">
        <v>46</v>
      </c>
      <c r="H314" s="868">
        <f>ROUND((B314*D314)/F314,2)</f>
        <v>0.13</v>
      </c>
      <c r="I314" s="885"/>
      <c r="J314" s="885"/>
      <c r="K314" s="885"/>
      <c r="L314" s="885"/>
      <c r="M314" s="885"/>
      <c r="N314" s="885"/>
      <c r="O314" s="885"/>
      <c r="P314" s="885"/>
    </row>
    <row r="315" spans="1:16" s="635" customFormat="1" ht="14.25" customHeight="1" x14ac:dyDescent="0.2">
      <c r="A315" s="885"/>
      <c r="B315" s="885"/>
      <c r="C315" s="885"/>
      <c r="D315" s="885"/>
      <c r="E315" s="885"/>
      <c r="F315" s="885"/>
      <c r="G315" s="885"/>
      <c r="H315" s="885"/>
      <c r="I315" s="885"/>
      <c r="J315" s="885"/>
      <c r="K315" s="885"/>
      <c r="L315" s="885"/>
      <c r="M315" s="885"/>
      <c r="N315" s="885"/>
      <c r="O315" s="885"/>
      <c r="P315" s="885"/>
    </row>
    <row r="316" spans="1:16" s="635" customFormat="1" ht="14.25" customHeight="1" x14ac:dyDescent="0.2">
      <c r="A316" s="885"/>
      <c r="B316" s="908" t="s">
        <v>47</v>
      </c>
      <c r="C316" s="909">
        <f>ROUND(SUM(H312:H315),2)</f>
        <v>0.26</v>
      </c>
      <c r="D316" s="910" t="s">
        <v>4</v>
      </c>
      <c r="E316" s="885"/>
      <c r="F316" s="885"/>
      <c r="G316" s="885"/>
      <c r="H316" s="885"/>
      <c r="I316" s="885"/>
      <c r="J316" s="885"/>
      <c r="K316" s="885"/>
      <c r="L316" s="885"/>
      <c r="M316" s="885"/>
      <c r="N316" s="885"/>
      <c r="O316" s="885"/>
      <c r="P316" s="885"/>
    </row>
    <row r="317" spans="1:16" s="266" customFormat="1" ht="14.25" customHeight="1" x14ac:dyDescent="0.2">
      <c r="A317" s="887"/>
      <c r="B317" s="887"/>
      <c r="C317" s="887"/>
      <c r="D317" s="887"/>
      <c r="E317" s="887"/>
      <c r="F317" s="887"/>
      <c r="G317" s="887"/>
      <c r="H317" s="887"/>
      <c r="I317" s="887"/>
      <c r="J317" s="887"/>
      <c r="K317" s="887"/>
      <c r="L317" s="887"/>
      <c r="M317" s="887"/>
      <c r="N317" s="887"/>
      <c r="O317" s="887"/>
      <c r="P317" s="887"/>
    </row>
    <row r="318" spans="1:16" s="635" customFormat="1" ht="29.25" customHeight="1" x14ac:dyDescent="0.2">
      <c r="A318" s="885"/>
      <c r="B318" s="868" t="s">
        <v>1661</v>
      </c>
      <c r="C318" s="868"/>
      <c r="D318" s="868" t="s">
        <v>1662</v>
      </c>
      <c r="E318" s="868"/>
      <c r="F318" s="868" t="s">
        <v>1022</v>
      </c>
      <c r="G318" s="868"/>
      <c r="H318" s="890" t="s">
        <v>213</v>
      </c>
      <c r="I318" s="885"/>
      <c r="J318" s="885"/>
      <c r="K318" s="885"/>
      <c r="L318" s="885"/>
      <c r="M318" s="885"/>
      <c r="N318" s="885"/>
      <c r="O318" s="885"/>
      <c r="P318" s="885"/>
    </row>
    <row r="319" spans="1:16" s="635" customFormat="1" ht="23.25" customHeight="1" x14ac:dyDescent="0.2">
      <c r="A319" s="885"/>
      <c r="B319" s="868">
        <f>C309</f>
        <v>0.53</v>
      </c>
      <c r="C319" s="868" t="s">
        <v>615</v>
      </c>
      <c r="D319" s="868">
        <f>C316</f>
        <v>0.26</v>
      </c>
      <c r="E319" s="868" t="s">
        <v>45</v>
      </c>
      <c r="F319" s="868">
        <v>4</v>
      </c>
      <c r="G319" s="868" t="s">
        <v>46</v>
      </c>
      <c r="H319" s="890">
        <f>ROUND((B319+D319)*F319,2)</f>
        <v>3.16</v>
      </c>
      <c r="I319" s="885"/>
      <c r="J319" s="885"/>
      <c r="K319" s="885"/>
      <c r="L319" s="885"/>
      <c r="M319" s="885"/>
      <c r="N319" s="885"/>
      <c r="O319" s="885"/>
      <c r="P319" s="885"/>
    </row>
    <row r="320" spans="1:16" s="266" customFormat="1" ht="15.75" customHeight="1" x14ac:dyDescent="0.2">
      <c r="A320" s="885"/>
      <c r="B320" s="888"/>
      <c r="C320" s="888"/>
      <c r="D320" s="888"/>
      <c r="E320" s="888"/>
      <c r="F320"/>
      <c r="G320" s="888"/>
      <c r="H320" s="888"/>
      <c r="I320" s="887"/>
      <c r="J320" s="887"/>
      <c r="K320" s="887"/>
      <c r="L320" s="887"/>
      <c r="M320" s="887"/>
      <c r="N320" s="887"/>
      <c r="O320" s="887"/>
      <c r="P320" s="887"/>
    </row>
    <row r="321" spans="1:16" ht="17.25" customHeight="1" x14ac:dyDescent="0.2">
      <c r="A321" s="254" t="str">
        <f>ORÇ!A367</f>
        <v>13.5.2.3</v>
      </c>
      <c r="B321" s="1850" t="str">
        <f>ORÇ!D367</f>
        <v>ARMAÇÃO DE BLOCO, VIGA BALDRAME OU SAPATA UTILIZANDO AÇO CA-50 DE 10 MM - MONTAGEM. AF_06/2017</v>
      </c>
      <c r="C321" s="1850"/>
      <c r="D321" s="1850"/>
      <c r="E321" s="1850"/>
      <c r="F321" s="1850"/>
      <c r="G321" s="1850"/>
      <c r="H321" s="1850"/>
      <c r="I321" s="1850"/>
      <c r="J321" s="1850"/>
      <c r="K321" s="1850"/>
      <c r="L321" s="1850"/>
      <c r="M321" s="1850"/>
      <c r="N321" s="202"/>
      <c r="O321" s="202"/>
      <c r="P321" s="202"/>
    </row>
    <row r="322" spans="1:16" s="266" customFormat="1" ht="15.75" customHeight="1" x14ac:dyDescent="0.2">
      <c r="A322" s="885"/>
      <c r="B322" s="888"/>
      <c r="C322" s="888"/>
      <c r="D322" s="888"/>
      <c r="E322" s="888"/>
      <c r="F322" s="888"/>
      <c r="G322" s="888"/>
      <c r="H322" s="888"/>
      <c r="I322" s="887"/>
      <c r="J322" s="887"/>
      <c r="K322" s="887"/>
      <c r="L322" s="887"/>
      <c r="M322" s="887"/>
      <c r="N322" s="887"/>
      <c r="O322" s="887"/>
      <c r="P322" s="887"/>
    </row>
    <row r="323" spans="1:16" s="635" customFormat="1" ht="25.5" x14ac:dyDescent="0.2">
      <c r="A323" s="885"/>
      <c r="B323" s="868" t="s">
        <v>616</v>
      </c>
      <c r="C323" s="868" t="s">
        <v>1650</v>
      </c>
      <c r="D323" s="868"/>
      <c r="E323" s="868" t="s">
        <v>18</v>
      </c>
      <c r="F323" s="868"/>
      <c r="G323" s="868" t="s">
        <v>1648</v>
      </c>
      <c r="H323" s="868"/>
      <c r="I323" s="868" t="s">
        <v>1665</v>
      </c>
      <c r="J323" s="868"/>
      <c r="K323" s="868" t="s">
        <v>967</v>
      </c>
      <c r="L323" s="885"/>
      <c r="M323" s="885"/>
      <c r="N323" s="885"/>
      <c r="O323" s="885"/>
      <c r="P323" s="885"/>
    </row>
    <row r="324" spans="1:16" s="266" customFormat="1" ht="15.75" customHeight="1" x14ac:dyDescent="0.2">
      <c r="A324" s="887"/>
      <c r="B324" s="900" t="s">
        <v>1656</v>
      </c>
      <c r="C324" s="868">
        <v>6.13</v>
      </c>
      <c r="D324" s="868" t="s">
        <v>45</v>
      </c>
      <c r="E324" s="868">
        <v>14</v>
      </c>
      <c r="F324" s="868" t="s">
        <v>45</v>
      </c>
      <c r="G324" s="903">
        <v>0.61699999999999999</v>
      </c>
      <c r="H324" s="868" t="s">
        <v>45</v>
      </c>
      <c r="I324" s="903">
        <v>1</v>
      </c>
      <c r="J324" s="868" t="s">
        <v>46</v>
      </c>
      <c r="K324" s="868">
        <f>ROUND(C324*E324*G324*I324,2)</f>
        <v>52.95</v>
      </c>
      <c r="L324" s="887"/>
      <c r="M324" s="887"/>
      <c r="N324" s="887"/>
      <c r="O324" s="887"/>
      <c r="P324" s="887"/>
    </row>
    <row r="325" spans="1:16" s="266" customFormat="1" ht="15.75" customHeight="1" x14ac:dyDescent="0.2">
      <c r="A325" s="887"/>
      <c r="B325" s="900" t="s">
        <v>1664</v>
      </c>
      <c r="C325" s="868">
        <v>2</v>
      </c>
      <c r="D325" s="868" t="s">
        <v>45</v>
      </c>
      <c r="E325" s="868">
        <v>8</v>
      </c>
      <c r="F325" s="868" t="s">
        <v>45</v>
      </c>
      <c r="G325" s="903">
        <v>0.61699999999999999</v>
      </c>
      <c r="H325" s="868" t="s">
        <v>45</v>
      </c>
      <c r="I325" s="903">
        <v>2</v>
      </c>
      <c r="J325" s="868" t="s">
        <v>46</v>
      </c>
      <c r="K325" s="868">
        <f>ROUND(C325*E325*G325*I325,2)</f>
        <v>19.739999999999998</v>
      </c>
      <c r="L325" s="887"/>
      <c r="M325" s="887"/>
      <c r="N325" s="887"/>
      <c r="O325" s="887"/>
      <c r="P325" s="887"/>
    </row>
    <row r="326" spans="1:16" s="266" customFormat="1" ht="14.25" customHeight="1" x14ac:dyDescent="0.2">
      <c r="A326" s="887"/>
      <c r="B326" s="887"/>
      <c r="C326" s="887"/>
      <c r="D326" s="887"/>
      <c r="E326" s="887"/>
      <c r="F326" s="887"/>
      <c r="G326" s="887"/>
      <c r="H326" s="887"/>
      <c r="I326" s="887"/>
      <c r="J326" s="887"/>
      <c r="K326" s="887"/>
      <c r="L326" s="887"/>
      <c r="M326" s="887"/>
      <c r="N326" s="887"/>
      <c r="O326" s="887"/>
      <c r="P326" s="887"/>
    </row>
    <row r="327" spans="1:16" s="266" customFormat="1" ht="14.25" customHeight="1" x14ac:dyDescent="0.2">
      <c r="A327" s="887"/>
      <c r="B327" s="892" t="s">
        <v>47</v>
      </c>
      <c r="C327" s="893">
        <f>ROUND(SUM(K324:K326),2)</f>
        <v>72.69</v>
      </c>
      <c r="D327" s="902" t="s">
        <v>1649</v>
      </c>
      <c r="E327" s="887"/>
      <c r="F327" s="887"/>
      <c r="G327" s="887"/>
      <c r="H327" s="887"/>
      <c r="I327" s="887"/>
      <c r="J327" s="887"/>
      <c r="K327" s="887"/>
      <c r="L327" s="887"/>
      <c r="M327" s="887"/>
      <c r="N327" s="887"/>
      <c r="O327" s="887"/>
      <c r="P327" s="887"/>
    </row>
    <row r="328" spans="1:16" s="266" customFormat="1" ht="14.25" customHeight="1" x14ac:dyDescent="0.2">
      <c r="A328" s="887"/>
      <c r="B328" s="887"/>
      <c r="C328" s="887"/>
      <c r="D328" s="887"/>
      <c r="E328" s="887"/>
      <c r="F328" s="887"/>
      <c r="G328" s="887"/>
      <c r="H328" s="887"/>
      <c r="I328" s="887"/>
      <c r="J328" s="887"/>
      <c r="K328" s="887"/>
      <c r="L328" s="887"/>
      <c r="M328" s="887"/>
      <c r="N328" s="887"/>
      <c r="O328" s="887"/>
      <c r="P328" s="887"/>
    </row>
    <row r="329" spans="1:16" ht="29.25" customHeight="1" x14ac:dyDescent="0.2">
      <c r="A329" s="254" t="str">
        <f>ORÇ!A368</f>
        <v>13.5.2.4</v>
      </c>
      <c r="B329" s="1850" t="str">
        <f>ORÇ!D368</f>
        <v>ARMAÇÃO DE PILAR OU VIGA DE UMA ESTRUTURA CONVENCIONAL DE CONCRETO ARMADO EM UM EDIFÍCIO DE MÚLTIPLOS PAVIMENTOS UTILIZANDO AÇO CA-50 DE 6,3 MM - MONTAGEM. AF_12/2015</v>
      </c>
      <c r="C329" s="1850"/>
      <c r="D329" s="1850"/>
      <c r="E329" s="1850"/>
      <c r="F329" s="1850"/>
      <c r="G329" s="1850"/>
      <c r="H329" s="1850"/>
      <c r="I329" s="1850"/>
      <c r="J329" s="1850"/>
      <c r="K329" s="1850"/>
      <c r="L329" s="1850"/>
      <c r="M329" s="1850"/>
      <c r="N329" s="202"/>
      <c r="O329" s="202"/>
      <c r="P329" s="202"/>
    </row>
    <row r="330" spans="1:16" s="266" customFormat="1" ht="15.75" customHeight="1" x14ac:dyDescent="0.2">
      <c r="A330" s="885"/>
      <c r="B330" s="888"/>
      <c r="C330" s="888"/>
      <c r="D330" s="888"/>
      <c r="E330" s="888"/>
      <c r="F330" s="888"/>
      <c r="G330" s="888"/>
      <c r="H330" s="888"/>
      <c r="I330" s="887"/>
      <c r="J330" s="887"/>
      <c r="K330" s="887"/>
      <c r="L330" s="887"/>
      <c r="M330" s="887"/>
      <c r="N330" s="887"/>
      <c r="O330" s="887"/>
      <c r="P330" s="887"/>
    </row>
    <row r="331" spans="1:16" s="635" customFormat="1" ht="25.5" x14ac:dyDescent="0.2">
      <c r="A331" s="885"/>
      <c r="B331" s="868" t="s">
        <v>616</v>
      </c>
      <c r="C331" s="868" t="s">
        <v>1650</v>
      </c>
      <c r="D331" s="868"/>
      <c r="E331" s="868" t="s">
        <v>18</v>
      </c>
      <c r="F331" s="868"/>
      <c r="G331" s="868" t="s">
        <v>1648</v>
      </c>
      <c r="H331" s="868"/>
      <c r="I331" s="868" t="s">
        <v>1665</v>
      </c>
      <c r="J331" s="868"/>
      <c r="K331" s="868" t="s">
        <v>967</v>
      </c>
      <c r="L331" s="885"/>
      <c r="M331" s="885"/>
      <c r="N331" s="885"/>
      <c r="O331" s="885"/>
      <c r="P331" s="885"/>
    </row>
    <row r="332" spans="1:16" s="266" customFormat="1" ht="15.75" customHeight="1" x14ac:dyDescent="0.2">
      <c r="A332" s="887"/>
      <c r="B332" s="900" t="s">
        <v>1656</v>
      </c>
      <c r="C332" s="868">
        <v>1.41</v>
      </c>
      <c r="D332" s="868" t="s">
        <v>45</v>
      </c>
      <c r="E332" s="868">
        <v>37</v>
      </c>
      <c r="F332" s="868" t="s">
        <v>45</v>
      </c>
      <c r="G332" s="903">
        <v>0.245</v>
      </c>
      <c r="H332" s="868" t="s">
        <v>45</v>
      </c>
      <c r="I332" s="903">
        <v>1</v>
      </c>
      <c r="J332" s="868" t="s">
        <v>46</v>
      </c>
      <c r="K332" s="868">
        <f t="shared" ref="K332:K340" si="2">ROUND(C332*E332*G332*I332,2)</f>
        <v>12.78</v>
      </c>
      <c r="L332" s="887"/>
      <c r="M332" s="887"/>
      <c r="N332" s="887"/>
      <c r="O332" s="887"/>
      <c r="P332" s="887"/>
    </row>
    <row r="333" spans="1:16" s="266" customFormat="1" ht="15.75" customHeight="1" x14ac:dyDescent="0.2">
      <c r="A333" s="887"/>
      <c r="B333" s="900" t="s">
        <v>1666</v>
      </c>
      <c r="C333" s="868">
        <v>0.34</v>
      </c>
      <c r="D333" s="868" t="s">
        <v>45</v>
      </c>
      <c r="E333" s="868">
        <v>1</v>
      </c>
      <c r="F333" s="868" t="s">
        <v>45</v>
      </c>
      <c r="G333" s="903">
        <v>0.245</v>
      </c>
      <c r="H333" s="868" t="s">
        <v>45</v>
      </c>
      <c r="I333" s="903">
        <v>4</v>
      </c>
      <c r="J333" s="868" t="s">
        <v>46</v>
      </c>
      <c r="K333" s="868">
        <f t="shared" si="2"/>
        <v>0.33</v>
      </c>
      <c r="L333" s="887"/>
      <c r="M333" s="887"/>
      <c r="N333" s="887"/>
      <c r="O333" s="887"/>
      <c r="P333" s="887"/>
    </row>
    <row r="334" spans="1:16" s="266" customFormat="1" ht="15.75" customHeight="1" x14ac:dyDescent="0.2">
      <c r="A334" s="887"/>
      <c r="B334" s="900" t="s">
        <v>1667</v>
      </c>
      <c r="C334" s="868">
        <f>0.12+0.12+0.14</f>
        <v>0.38</v>
      </c>
      <c r="D334" s="868" t="s">
        <v>45</v>
      </c>
      <c r="E334" s="868">
        <v>1</v>
      </c>
      <c r="F334" s="868" t="s">
        <v>45</v>
      </c>
      <c r="G334" s="903">
        <v>0.245</v>
      </c>
      <c r="H334" s="868" t="s">
        <v>45</v>
      </c>
      <c r="I334" s="903">
        <v>4</v>
      </c>
      <c r="J334" s="868" t="s">
        <v>46</v>
      </c>
      <c r="K334" s="868">
        <f t="shared" si="2"/>
        <v>0.37</v>
      </c>
      <c r="L334" s="887"/>
      <c r="M334" s="887"/>
      <c r="N334" s="887"/>
      <c r="O334" s="887"/>
      <c r="P334" s="887"/>
    </row>
    <row r="335" spans="1:16" s="266" customFormat="1" ht="15.75" customHeight="1" x14ac:dyDescent="0.2">
      <c r="A335" s="887"/>
      <c r="B335" s="900" t="s">
        <v>1668</v>
      </c>
      <c r="C335" s="868">
        <f>0.15+0.15+0.14</f>
        <v>0.44</v>
      </c>
      <c r="D335" s="868" t="s">
        <v>45</v>
      </c>
      <c r="E335" s="868">
        <v>1</v>
      </c>
      <c r="F335" s="868" t="s">
        <v>45</v>
      </c>
      <c r="G335" s="903">
        <v>0.245</v>
      </c>
      <c r="H335" s="868" t="s">
        <v>45</v>
      </c>
      <c r="I335" s="903">
        <v>4</v>
      </c>
      <c r="J335" s="868" t="s">
        <v>46</v>
      </c>
      <c r="K335" s="868">
        <f t="shared" si="2"/>
        <v>0.43</v>
      </c>
      <c r="L335" s="887"/>
      <c r="M335" s="887"/>
      <c r="N335" s="887"/>
      <c r="O335" s="887"/>
      <c r="P335" s="887"/>
    </row>
    <row r="336" spans="1:16" s="266" customFormat="1" ht="15.75" customHeight="1" x14ac:dyDescent="0.2">
      <c r="A336" s="887"/>
      <c r="B336" s="900" t="s">
        <v>1669</v>
      </c>
      <c r="C336" s="868">
        <f>0.17+0.17+0.14</f>
        <v>0.48000000000000004</v>
      </c>
      <c r="D336" s="868" t="s">
        <v>45</v>
      </c>
      <c r="E336" s="868">
        <v>1</v>
      </c>
      <c r="F336" s="868" t="s">
        <v>45</v>
      </c>
      <c r="G336" s="903">
        <v>0.245</v>
      </c>
      <c r="H336" s="868" t="s">
        <v>45</v>
      </c>
      <c r="I336" s="903">
        <v>4</v>
      </c>
      <c r="J336" s="868" t="s">
        <v>46</v>
      </c>
      <c r="K336" s="868">
        <f t="shared" si="2"/>
        <v>0.47</v>
      </c>
      <c r="L336" s="887"/>
      <c r="M336" s="887"/>
      <c r="N336" s="887"/>
      <c r="O336" s="887"/>
      <c r="P336" s="887"/>
    </row>
    <row r="337" spans="1:16" s="266" customFormat="1" ht="15.75" customHeight="1" x14ac:dyDescent="0.2">
      <c r="A337" s="887"/>
      <c r="B337" s="900" t="s">
        <v>1670</v>
      </c>
      <c r="C337" s="868">
        <f>0.2+0.2+0.14</f>
        <v>0.54</v>
      </c>
      <c r="D337" s="868" t="s">
        <v>45</v>
      </c>
      <c r="E337" s="868">
        <v>1</v>
      </c>
      <c r="F337" s="868" t="s">
        <v>45</v>
      </c>
      <c r="G337" s="903">
        <v>0.245</v>
      </c>
      <c r="H337" s="868" t="s">
        <v>45</v>
      </c>
      <c r="I337" s="903">
        <v>4</v>
      </c>
      <c r="J337" s="868" t="s">
        <v>46</v>
      </c>
      <c r="K337" s="868">
        <f t="shared" si="2"/>
        <v>0.53</v>
      </c>
      <c r="L337" s="887"/>
      <c r="M337" s="887"/>
      <c r="N337" s="887"/>
      <c r="O337" s="887"/>
      <c r="P337" s="887"/>
    </row>
    <row r="338" spans="1:16" s="266" customFormat="1" ht="15.75" customHeight="1" x14ac:dyDescent="0.2">
      <c r="A338" s="887"/>
      <c r="B338" s="900" t="s">
        <v>1671</v>
      </c>
      <c r="C338" s="868">
        <f>0.22+0.22+0.14</f>
        <v>0.58000000000000007</v>
      </c>
      <c r="D338" s="868" t="s">
        <v>45</v>
      </c>
      <c r="E338" s="868">
        <v>1</v>
      </c>
      <c r="F338" s="868" t="s">
        <v>45</v>
      </c>
      <c r="G338" s="903">
        <v>0.245</v>
      </c>
      <c r="H338" s="868" t="s">
        <v>45</v>
      </c>
      <c r="I338" s="903">
        <v>4</v>
      </c>
      <c r="J338" s="868" t="s">
        <v>46</v>
      </c>
      <c r="K338" s="868">
        <f t="shared" si="2"/>
        <v>0.56999999999999995</v>
      </c>
      <c r="L338" s="887"/>
      <c r="M338" s="887"/>
      <c r="N338" s="887"/>
      <c r="O338" s="887"/>
      <c r="P338" s="887"/>
    </row>
    <row r="339" spans="1:16" s="266" customFormat="1" ht="15.75" customHeight="1" x14ac:dyDescent="0.2">
      <c r="A339" s="887"/>
      <c r="B339" s="900" t="s">
        <v>1672</v>
      </c>
      <c r="C339" s="868">
        <f>0.25+0.25+0.14</f>
        <v>0.64</v>
      </c>
      <c r="D339" s="868" t="s">
        <v>45</v>
      </c>
      <c r="E339" s="868">
        <v>1</v>
      </c>
      <c r="F339" s="868" t="s">
        <v>45</v>
      </c>
      <c r="G339" s="903">
        <v>0.245</v>
      </c>
      <c r="H339" s="868" t="s">
        <v>45</v>
      </c>
      <c r="I339" s="903">
        <v>4</v>
      </c>
      <c r="J339" s="868" t="s">
        <v>46</v>
      </c>
      <c r="K339" s="868">
        <f t="shared" si="2"/>
        <v>0.63</v>
      </c>
      <c r="L339" s="887"/>
      <c r="M339" s="887"/>
      <c r="N339" s="887"/>
      <c r="O339" s="887"/>
      <c r="P339" s="887"/>
    </row>
    <row r="340" spans="1:16" s="266" customFormat="1" ht="15.75" customHeight="1" x14ac:dyDescent="0.2">
      <c r="A340" s="887"/>
      <c r="B340" s="900" t="s">
        <v>1673</v>
      </c>
      <c r="C340" s="868">
        <f>0.27+0.27+0.14</f>
        <v>0.68</v>
      </c>
      <c r="D340" s="868" t="s">
        <v>45</v>
      </c>
      <c r="E340" s="868">
        <v>1</v>
      </c>
      <c r="F340" s="868" t="s">
        <v>45</v>
      </c>
      <c r="G340" s="903">
        <v>0.245</v>
      </c>
      <c r="H340" s="868" t="s">
        <v>45</v>
      </c>
      <c r="I340" s="903">
        <v>4</v>
      </c>
      <c r="J340" s="868" t="s">
        <v>46</v>
      </c>
      <c r="K340" s="868">
        <f t="shared" si="2"/>
        <v>0.67</v>
      </c>
      <c r="L340" s="887"/>
      <c r="M340" s="887"/>
      <c r="N340" s="887"/>
      <c r="O340" s="887"/>
      <c r="P340" s="887"/>
    </row>
    <row r="341" spans="1:16" s="266" customFormat="1" ht="14.25" customHeight="1" x14ac:dyDescent="0.2">
      <c r="A341" s="887"/>
      <c r="B341" s="887"/>
      <c r="C341" s="887"/>
      <c r="D341" s="887"/>
      <c r="E341" s="887"/>
      <c r="F341" s="887"/>
      <c r="G341" s="887"/>
      <c r="H341" s="887"/>
      <c r="I341" s="887"/>
      <c r="J341" s="887"/>
      <c r="K341" s="887"/>
      <c r="L341" s="887"/>
      <c r="M341" s="887"/>
      <c r="N341" s="887"/>
      <c r="O341" s="887"/>
      <c r="P341" s="887"/>
    </row>
    <row r="342" spans="1:16" s="266" customFormat="1" ht="14.25" customHeight="1" x14ac:dyDescent="0.2">
      <c r="A342" s="887"/>
      <c r="B342" s="892" t="s">
        <v>47</v>
      </c>
      <c r="C342" s="893">
        <f>ROUND(SUM(K332:K341),2)</f>
        <v>16.78</v>
      </c>
      <c r="D342" s="902" t="s">
        <v>1649</v>
      </c>
      <c r="E342" s="887"/>
      <c r="F342" s="887"/>
      <c r="G342" s="887"/>
      <c r="H342" s="887"/>
      <c r="I342" s="887"/>
      <c r="J342" s="887"/>
      <c r="K342" s="887"/>
      <c r="L342" s="887"/>
      <c r="M342" s="887"/>
      <c r="N342" s="887"/>
      <c r="O342" s="887"/>
      <c r="P342" s="887"/>
    </row>
    <row r="343" spans="1:16" s="266" customFormat="1" ht="14.25" customHeight="1" x14ac:dyDescent="0.2">
      <c r="A343" s="887"/>
      <c r="B343" s="887"/>
      <c r="C343" s="887"/>
      <c r="D343" s="887"/>
      <c r="E343" s="887"/>
      <c r="F343" s="887"/>
      <c r="G343" s="887"/>
      <c r="H343" s="887"/>
      <c r="I343" s="887"/>
      <c r="J343" s="887"/>
      <c r="K343" s="887"/>
      <c r="L343" s="887"/>
      <c r="M343" s="887"/>
      <c r="N343" s="887"/>
      <c r="O343" s="887"/>
      <c r="P343" s="887"/>
    </row>
    <row r="344" spans="1:16" ht="16.5" customHeight="1" x14ac:dyDescent="0.2">
      <c r="A344" s="254" t="str">
        <f>ORÇ!A369</f>
        <v>13.5.2.5</v>
      </c>
      <c r="B344" s="1850" t="str">
        <f>ORÇ!D369</f>
        <v>CONCRETO C/ SEIXO FCK= 25MPA (INCL. LANÇAMENTO E ADENSAMENTO)</v>
      </c>
      <c r="C344" s="1850"/>
      <c r="D344" s="1850"/>
      <c r="E344" s="1850"/>
      <c r="F344" s="1850"/>
      <c r="G344" s="1850"/>
      <c r="H344" s="1850"/>
      <c r="I344" s="1850"/>
      <c r="J344" s="1850"/>
      <c r="K344" s="1850"/>
      <c r="L344" s="1850"/>
      <c r="M344" s="1850"/>
      <c r="N344" s="202"/>
      <c r="O344" s="202"/>
      <c r="P344" s="202"/>
    </row>
    <row r="345" spans="1:16" s="266" customFormat="1" ht="15.75" customHeight="1" x14ac:dyDescent="0.2">
      <c r="A345" s="885"/>
      <c r="B345" s="888"/>
      <c r="C345" s="888"/>
      <c r="D345" s="888"/>
      <c r="E345" s="888"/>
      <c r="F345" s="888"/>
      <c r="G345" s="888"/>
      <c r="H345" s="888"/>
      <c r="I345" s="887"/>
      <c r="J345" s="887"/>
      <c r="K345" s="887"/>
      <c r="L345" s="887"/>
      <c r="M345" s="887"/>
      <c r="N345" s="887"/>
      <c r="O345" s="887"/>
      <c r="P345" s="887"/>
    </row>
    <row r="346" spans="1:16" s="266" customFormat="1" ht="15.75" customHeight="1" x14ac:dyDescent="0.2">
      <c r="A346" s="885"/>
      <c r="B346" s="888" t="s">
        <v>1664</v>
      </c>
      <c r="C346" s="888"/>
      <c r="D346" s="888"/>
      <c r="E346" s="888"/>
      <c r="F346" s="888"/>
      <c r="G346" s="888"/>
      <c r="H346" s="888"/>
      <c r="I346" s="887"/>
      <c r="J346" s="887"/>
      <c r="K346" s="887"/>
      <c r="L346" s="887"/>
      <c r="M346" s="887"/>
      <c r="N346" s="887"/>
      <c r="O346" s="887"/>
      <c r="P346" s="887"/>
    </row>
    <row r="347" spans="1:16" s="269" customFormat="1" ht="15.75" customHeight="1" x14ac:dyDescent="0.2">
      <c r="A347" s="885"/>
      <c r="B347" s="1857" t="s">
        <v>1658</v>
      </c>
      <c r="C347" s="1857"/>
      <c r="D347" s="1857"/>
      <c r="E347" s="1857"/>
      <c r="F347" s="1857"/>
      <c r="G347" s="1857"/>
      <c r="H347" s="1857"/>
      <c r="I347" s="889"/>
      <c r="J347" s="889"/>
      <c r="K347" s="889"/>
      <c r="L347" s="889"/>
      <c r="M347" s="889"/>
      <c r="N347" s="889"/>
      <c r="O347" s="889"/>
      <c r="P347" s="889"/>
    </row>
    <row r="348" spans="1:16" s="635" customFormat="1" ht="14.25" customHeight="1" x14ac:dyDescent="0.2">
      <c r="A348" s="885"/>
      <c r="B348" s="868" t="s">
        <v>216</v>
      </c>
      <c r="C348" s="868"/>
      <c r="D348" s="868" t="s">
        <v>405</v>
      </c>
      <c r="E348" s="868"/>
      <c r="F348" s="868" t="s">
        <v>311</v>
      </c>
      <c r="G348" s="868"/>
      <c r="H348" s="868" t="s">
        <v>312</v>
      </c>
      <c r="I348" s="885"/>
      <c r="J348" s="885"/>
      <c r="K348" s="885"/>
      <c r="L348" s="885"/>
      <c r="M348" s="885"/>
      <c r="N348" s="885"/>
      <c r="O348" s="885"/>
      <c r="P348" s="885"/>
    </row>
    <row r="349" spans="1:16" s="635" customFormat="1" ht="14.25" customHeight="1" x14ac:dyDescent="0.2">
      <c r="A349" s="885"/>
      <c r="B349" s="868">
        <v>1.25</v>
      </c>
      <c r="C349" s="868" t="s">
        <v>45</v>
      </c>
      <c r="D349" s="868">
        <v>0.2</v>
      </c>
      <c r="E349" s="868" t="s">
        <v>45</v>
      </c>
      <c r="F349" s="868">
        <v>0.1</v>
      </c>
      <c r="G349" s="868" t="s">
        <v>46</v>
      </c>
      <c r="H349" s="868">
        <f>ROUND(B349*D349*F349,2)</f>
        <v>0.03</v>
      </c>
      <c r="I349" s="885"/>
      <c r="J349" s="885"/>
      <c r="K349" s="885"/>
      <c r="L349" s="885"/>
      <c r="M349" s="885"/>
      <c r="N349" s="885"/>
      <c r="O349" s="885"/>
      <c r="P349" s="885"/>
    </row>
    <row r="350" spans="1:16" s="635" customFormat="1" ht="14.25" customHeight="1" x14ac:dyDescent="0.2">
      <c r="A350" s="885"/>
      <c r="B350" s="885"/>
      <c r="C350" s="885"/>
      <c r="D350" s="885"/>
      <c r="E350" s="885"/>
      <c r="F350" s="885"/>
      <c r="G350" s="885"/>
      <c r="H350" s="885"/>
      <c r="I350" s="885"/>
      <c r="J350" s="885"/>
      <c r="K350" s="885"/>
      <c r="L350" s="885"/>
      <c r="M350" s="885"/>
      <c r="N350" s="885"/>
      <c r="O350" s="885"/>
      <c r="P350" s="885"/>
    </row>
    <row r="351" spans="1:16" s="635" customFormat="1" ht="14.25" customHeight="1" x14ac:dyDescent="0.2">
      <c r="A351" s="885"/>
      <c r="B351" s="908" t="s">
        <v>47</v>
      </c>
      <c r="C351" s="909">
        <f>ROUND(SUM(H349),2)</f>
        <v>0.03</v>
      </c>
      <c r="D351" s="910" t="s">
        <v>497</v>
      </c>
      <c r="E351" s="885"/>
      <c r="F351" s="885"/>
      <c r="G351" s="885"/>
      <c r="H351" s="885"/>
      <c r="I351" s="885"/>
      <c r="J351" s="885"/>
      <c r="K351" s="885"/>
      <c r="L351" s="885"/>
      <c r="M351" s="885"/>
      <c r="N351" s="885"/>
      <c r="O351" s="885"/>
      <c r="P351" s="885"/>
    </row>
    <row r="352" spans="1:16" s="266" customFormat="1" ht="14.25" customHeight="1" x14ac:dyDescent="0.2">
      <c r="A352" s="887"/>
      <c r="B352" s="887"/>
      <c r="C352" s="887"/>
      <c r="D352" s="887"/>
      <c r="E352" s="887"/>
      <c r="F352" s="887"/>
      <c r="G352" s="887"/>
      <c r="H352" s="887"/>
      <c r="I352" s="887"/>
      <c r="J352" s="887"/>
      <c r="K352" s="887"/>
      <c r="L352" s="887"/>
      <c r="M352" s="887"/>
      <c r="N352" s="887"/>
      <c r="O352" s="887"/>
      <c r="P352" s="887"/>
    </row>
    <row r="353" spans="1:16" s="269" customFormat="1" ht="17.25" customHeight="1" x14ac:dyDescent="0.2">
      <c r="A353" s="885"/>
      <c r="B353" s="1857" t="s">
        <v>1659</v>
      </c>
      <c r="C353" s="1857"/>
      <c r="D353" s="1857"/>
      <c r="E353" s="1857"/>
      <c r="F353" s="1857"/>
      <c r="G353" s="1857"/>
      <c r="H353" s="1857"/>
      <c r="I353" s="889"/>
      <c r="J353" s="889"/>
      <c r="K353" s="889"/>
      <c r="L353" s="889"/>
      <c r="M353" s="889"/>
      <c r="N353" s="889"/>
      <c r="O353" s="889"/>
      <c r="P353" s="889"/>
    </row>
    <row r="354" spans="1:16" s="635" customFormat="1" ht="14.25" customHeight="1" x14ac:dyDescent="0.2">
      <c r="A354" s="885"/>
      <c r="B354" s="868" t="s">
        <v>216</v>
      </c>
      <c r="C354" s="868"/>
      <c r="D354" s="868" t="s">
        <v>311</v>
      </c>
      <c r="E354" s="868"/>
      <c r="F354" s="868" t="s">
        <v>1663</v>
      </c>
      <c r="G354" s="868"/>
      <c r="H354" s="868" t="s">
        <v>405</v>
      </c>
      <c r="I354" s="868"/>
      <c r="J354" s="868" t="s">
        <v>213</v>
      </c>
      <c r="K354" s="885"/>
      <c r="L354" s="885"/>
      <c r="M354" s="885"/>
      <c r="N354" s="885"/>
      <c r="O354" s="885"/>
      <c r="P354" s="885"/>
    </row>
    <row r="355" spans="1:16" s="635" customFormat="1" ht="14.25" customHeight="1" x14ac:dyDescent="0.2">
      <c r="A355" s="885"/>
      <c r="B355" s="868">
        <v>1.25</v>
      </c>
      <c r="C355" s="868" t="s">
        <v>45</v>
      </c>
      <c r="D355" s="868">
        <v>0.2</v>
      </c>
      <c r="E355" s="868" t="s">
        <v>1660</v>
      </c>
      <c r="F355" s="868">
        <v>2</v>
      </c>
      <c r="G355" s="868" t="s">
        <v>45</v>
      </c>
      <c r="H355" s="868">
        <v>0.2</v>
      </c>
      <c r="I355" s="868" t="s">
        <v>46</v>
      </c>
      <c r="J355" s="868">
        <f>ROUND(((B355*D355)/F355)*H355,2)</f>
        <v>0.03</v>
      </c>
      <c r="K355" s="885"/>
      <c r="L355" s="885"/>
      <c r="M355" s="885"/>
      <c r="N355" s="885"/>
      <c r="O355" s="885"/>
      <c r="P355" s="885"/>
    </row>
    <row r="356" spans="1:16" s="635" customFormat="1" ht="14.25" customHeight="1" x14ac:dyDescent="0.2">
      <c r="A356" s="885"/>
      <c r="B356" s="885"/>
      <c r="C356" s="885"/>
      <c r="D356" s="885"/>
      <c r="E356" s="885"/>
      <c r="F356" s="885"/>
      <c r="G356" s="885"/>
      <c r="H356" s="885"/>
      <c r="I356" s="885"/>
      <c r="J356" s="885"/>
      <c r="K356" s="885"/>
      <c r="L356" s="885"/>
      <c r="M356" s="885"/>
      <c r="N356" s="885"/>
      <c r="O356" s="885"/>
      <c r="P356" s="885"/>
    </row>
    <row r="357" spans="1:16" s="635" customFormat="1" ht="14.25" customHeight="1" x14ac:dyDescent="0.2">
      <c r="A357" s="885"/>
      <c r="B357" s="908" t="s">
        <v>47</v>
      </c>
      <c r="C357" s="909">
        <f>ROUND(SUM(J354:J356),2)</f>
        <v>0.03</v>
      </c>
      <c r="D357" s="910" t="s">
        <v>4</v>
      </c>
      <c r="E357" s="885"/>
      <c r="F357" s="885"/>
      <c r="G357" s="885"/>
      <c r="H357" s="885"/>
      <c r="I357" s="885"/>
      <c r="J357" s="885"/>
      <c r="K357" s="885"/>
      <c r="L357" s="885"/>
      <c r="M357" s="885"/>
      <c r="N357" s="885"/>
      <c r="O357" s="885"/>
      <c r="P357" s="885"/>
    </row>
    <row r="358" spans="1:16" s="266" customFormat="1" ht="14.25" customHeight="1" x14ac:dyDescent="0.2">
      <c r="A358" s="887"/>
      <c r="B358" s="887"/>
      <c r="C358" s="887"/>
      <c r="D358" s="887"/>
      <c r="E358" s="887"/>
      <c r="F358" s="887"/>
      <c r="G358" s="887"/>
      <c r="H358" s="887"/>
      <c r="I358" s="887"/>
      <c r="J358" s="887"/>
      <c r="K358" s="887"/>
      <c r="L358" s="887"/>
      <c r="M358" s="887"/>
      <c r="N358" s="887"/>
      <c r="O358" s="887"/>
      <c r="P358" s="887"/>
    </row>
    <row r="359" spans="1:16" s="635" customFormat="1" ht="29.25" customHeight="1" x14ac:dyDescent="0.2">
      <c r="A359" s="885"/>
      <c r="B359" s="868" t="s">
        <v>1661</v>
      </c>
      <c r="C359" s="868"/>
      <c r="D359" s="868" t="s">
        <v>1662</v>
      </c>
      <c r="E359" s="868"/>
      <c r="F359" s="868" t="s">
        <v>1022</v>
      </c>
      <c r="G359" s="868"/>
      <c r="H359" s="907" t="s">
        <v>213</v>
      </c>
      <c r="I359" s="885"/>
      <c r="J359" s="885"/>
      <c r="K359" s="885"/>
      <c r="L359" s="885"/>
      <c r="M359" s="885"/>
      <c r="N359" s="885"/>
      <c r="O359" s="885"/>
      <c r="P359" s="885"/>
    </row>
    <row r="360" spans="1:16" s="635" customFormat="1" ht="23.25" customHeight="1" x14ac:dyDescent="0.2">
      <c r="A360" s="885"/>
      <c r="B360" s="868">
        <f>C351</f>
        <v>0.03</v>
      </c>
      <c r="C360" s="868" t="s">
        <v>615</v>
      </c>
      <c r="D360" s="868">
        <f>C357</f>
        <v>0.03</v>
      </c>
      <c r="E360" s="868" t="s">
        <v>45</v>
      </c>
      <c r="F360" s="868">
        <v>4</v>
      </c>
      <c r="G360" s="868" t="s">
        <v>46</v>
      </c>
      <c r="H360" s="907">
        <f>ROUND((B360+D360)*F360,2)</f>
        <v>0.24</v>
      </c>
      <c r="I360" s="885"/>
      <c r="J360" s="885"/>
      <c r="K360" s="885"/>
      <c r="L360" s="885"/>
      <c r="M360" s="885"/>
      <c r="N360" s="885"/>
      <c r="O360" s="885"/>
      <c r="P360" s="885"/>
    </row>
    <row r="361" spans="1:16" s="863" customFormat="1" ht="14.25" customHeight="1" x14ac:dyDescent="0.2">
      <c r="A361" s="911"/>
      <c r="B361" s="911"/>
      <c r="C361" s="911"/>
      <c r="D361" s="911"/>
      <c r="E361" s="911"/>
      <c r="F361" s="911"/>
      <c r="G361" s="911"/>
      <c r="H361" s="911"/>
      <c r="I361" s="911"/>
      <c r="J361" s="911"/>
      <c r="K361" s="911"/>
      <c r="L361" s="911"/>
      <c r="M361" s="911"/>
      <c r="N361" s="911"/>
      <c r="O361" s="911"/>
      <c r="P361" s="911"/>
    </row>
    <row r="362" spans="1:16" s="266" customFormat="1" ht="15.75" customHeight="1" x14ac:dyDescent="0.2">
      <c r="A362" s="885"/>
      <c r="B362" s="1858" t="s">
        <v>1646</v>
      </c>
      <c r="C362" s="1858"/>
      <c r="D362" s="1858"/>
      <c r="E362" s="1858"/>
      <c r="F362" s="1858"/>
      <c r="G362" s="1858"/>
      <c r="H362" s="1858"/>
      <c r="I362" s="1858"/>
      <c r="J362" s="1858"/>
      <c r="K362" s="887"/>
      <c r="L362" s="887"/>
      <c r="M362" s="887"/>
      <c r="N362" s="887"/>
      <c r="O362" s="887"/>
      <c r="P362" s="887"/>
    </row>
    <row r="363" spans="1:16" s="266" customFormat="1" ht="18.75" customHeight="1" x14ac:dyDescent="0.2">
      <c r="A363" s="885"/>
      <c r="B363" s="1856"/>
      <c r="C363" s="1856"/>
      <c r="D363" s="1856"/>
      <c r="E363" s="1856"/>
      <c r="F363" s="1856"/>
      <c r="G363" s="1856"/>
      <c r="H363" s="1856"/>
      <c r="I363" s="1856"/>
      <c r="J363" s="907" t="s">
        <v>213</v>
      </c>
      <c r="K363" s="887"/>
      <c r="L363" s="887"/>
      <c r="M363" s="887"/>
      <c r="N363" s="887"/>
      <c r="O363" s="887"/>
      <c r="P363" s="887"/>
    </row>
    <row r="364" spans="1:16" s="266" customFormat="1" ht="14.25" customHeight="1" x14ac:dyDescent="0.2">
      <c r="A364" s="887"/>
      <c r="B364" s="868">
        <v>3.14</v>
      </c>
      <c r="C364" s="891" t="s">
        <v>45</v>
      </c>
      <c r="D364" s="891">
        <v>0.25</v>
      </c>
      <c r="E364" s="891" t="s">
        <v>45</v>
      </c>
      <c r="F364" s="891">
        <v>0.25</v>
      </c>
      <c r="G364" s="891" t="s">
        <v>45</v>
      </c>
      <c r="H364" s="891">
        <v>6</v>
      </c>
      <c r="I364" s="891" t="s">
        <v>46</v>
      </c>
      <c r="J364" s="907">
        <f>ROUND(B364*D364*F364*H364,2)</f>
        <v>1.18</v>
      </c>
      <c r="K364" s="887"/>
      <c r="L364" s="887"/>
      <c r="M364" s="887"/>
      <c r="N364" s="887"/>
      <c r="O364" s="887"/>
      <c r="P364" s="887"/>
    </row>
    <row r="365" spans="1:16" s="266" customFormat="1" ht="14.25" customHeight="1" x14ac:dyDescent="0.2">
      <c r="A365" s="887"/>
      <c r="B365" s="887"/>
      <c r="C365" s="887"/>
      <c r="D365" s="887"/>
      <c r="E365" s="887"/>
      <c r="F365" s="887"/>
      <c r="G365" s="887"/>
      <c r="H365" s="887"/>
      <c r="I365" s="887"/>
      <c r="J365" s="887"/>
      <c r="K365" s="887"/>
      <c r="L365" s="887"/>
      <c r="M365" s="887"/>
      <c r="N365" s="887"/>
      <c r="O365" s="887"/>
      <c r="P365" s="887"/>
    </row>
    <row r="366" spans="1:16" s="635" customFormat="1" ht="16.5" customHeight="1" x14ac:dyDescent="0.2">
      <c r="A366" s="885"/>
      <c r="B366" s="868" t="s">
        <v>1674</v>
      </c>
      <c r="C366" s="868"/>
      <c r="D366" s="1857" t="s">
        <v>1653</v>
      </c>
      <c r="E366" s="1857"/>
      <c r="F366" s="868"/>
      <c r="G366" s="890" t="s">
        <v>312</v>
      </c>
      <c r="H366" s="885"/>
      <c r="I366" s="885"/>
      <c r="J366" s="885"/>
      <c r="K366" s="885"/>
      <c r="L366" s="885"/>
      <c r="M366" s="885"/>
      <c r="N366" s="885"/>
      <c r="O366" s="885"/>
      <c r="P366" s="885"/>
    </row>
    <row r="367" spans="1:16" s="635" customFormat="1" ht="14.25" customHeight="1" x14ac:dyDescent="0.2">
      <c r="A367" s="885"/>
      <c r="B367" s="868">
        <f>H360</f>
        <v>0.24</v>
      </c>
      <c r="C367" s="868" t="s">
        <v>615</v>
      </c>
      <c r="D367" s="1853">
        <f>J364</f>
        <v>1.18</v>
      </c>
      <c r="E367" s="1855"/>
      <c r="F367" s="868" t="s">
        <v>46</v>
      </c>
      <c r="G367" s="890">
        <f>ROUND(B367+D367,2)</f>
        <v>1.42</v>
      </c>
      <c r="H367" s="885"/>
      <c r="I367" s="885"/>
      <c r="J367" s="885"/>
      <c r="K367" s="885"/>
      <c r="L367" s="885"/>
      <c r="M367" s="885"/>
      <c r="N367" s="885"/>
      <c r="O367" s="885"/>
      <c r="P367" s="885"/>
    </row>
    <row r="368" spans="1:16" s="266" customFormat="1" ht="14.25" customHeight="1" x14ac:dyDescent="0.2">
      <c r="A368" s="887"/>
      <c r="B368" s="887"/>
      <c r="C368" s="887"/>
      <c r="D368" s="887"/>
      <c r="E368" s="887"/>
      <c r="F368" s="887"/>
      <c r="G368" s="887"/>
      <c r="H368" s="887"/>
      <c r="I368" s="887"/>
      <c r="J368" s="887"/>
      <c r="K368" s="887"/>
      <c r="L368" s="887"/>
      <c r="M368" s="887"/>
      <c r="N368" s="887"/>
      <c r="O368" s="887"/>
      <c r="P368" s="887"/>
    </row>
    <row r="369" spans="1:16" s="266" customFormat="1" ht="14.25" customHeight="1" x14ac:dyDescent="0.2">
      <c r="A369" s="887"/>
      <c r="B369" s="887"/>
      <c r="C369" s="887"/>
      <c r="D369" s="887"/>
      <c r="E369" s="887"/>
      <c r="F369" s="887"/>
      <c r="G369" s="887"/>
      <c r="H369" s="887"/>
      <c r="I369" s="887"/>
      <c r="J369" s="887"/>
      <c r="K369" s="887"/>
      <c r="L369" s="887"/>
      <c r="M369" s="887"/>
      <c r="N369" s="887"/>
      <c r="O369" s="887"/>
      <c r="P369" s="887"/>
    </row>
    <row r="370" spans="1:16" ht="16.5" customHeight="1" x14ac:dyDescent="0.2">
      <c r="A370" s="254" t="str">
        <f>ORÇ!A370</f>
        <v>13.5.3</v>
      </c>
      <c r="B370" s="1850" t="str">
        <f>ORÇ!D370</f>
        <v>Laje</v>
      </c>
      <c r="C370" s="1850"/>
      <c r="D370" s="1850"/>
      <c r="E370" s="1850"/>
      <c r="F370" s="1850"/>
      <c r="G370" s="1850"/>
      <c r="H370" s="1850"/>
      <c r="I370" s="1850"/>
      <c r="J370" s="1850"/>
      <c r="K370" s="1850"/>
      <c r="L370" s="1850"/>
      <c r="M370" s="1850"/>
      <c r="N370" s="202"/>
      <c r="O370" s="202"/>
      <c r="P370" s="202"/>
    </row>
    <row r="371" spans="1:16" ht="27.75" customHeight="1" x14ac:dyDescent="0.2">
      <c r="A371" s="254" t="str">
        <f>ORÇ!A371</f>
        <v>13.5.3.1</v>
      </c>
      <c r="B371" s="1850" t="str">
        <f>ORÇ!D371</f>
        <v>MONTAGEM E DESMONTAGEM DE FÔRMA DE LAJE MACIÇA, PÉ-DIREITO DUPLO, EM CHAPA DE MADEIRA COMPENSADA PLASTIFICADA, 18 UTILIZAÇÕES. AF_09/2020</v>
      </c>
      <c r="C371" s="1850"/>
      <c r="D371" s="1850"/>
      <c r="E371" s="1850"/>
      <c r="F371" s="1850"/>
      <c r="G371" s="1850"/>
      <c r="H371" s="1850"/>
      <c r="I371" s="1850"/>
      <c r="J371" s="1850"/>
      <c r="K371" s="1850"/>
      <c r="L371" s="1850"/>
      <c r="M371" s="1850"/>
      <c r="N371" s="202"/>
      <c r="O371" s="202"/>
      <c r="P371" s="202"/>
    </row>
    <row r="372" spans="1:16" s="266" customFormat="1" ht="15.75" customHeight="1" x14ac:dyDescent="0.2">
      <c r="A372" s="885"/>
      <c r="B372" s="888"/>
      <c r="C372" s="888"/>
      <c r="D372" s="888"/>
      <c r="E372" s="888"/>
      <c r="F372" s="888"/>
      <c r="G372" s="888"/>
      <c r="H372" s="888"/>
      <c r="I372" s="887"/>
      <c r="J372" s="887"/>
      <c r="K372" s="887"/>
      <c r="L372" s="887"/>
      <c r="M372" s="887"/>
      <c r="N372" s="887"/>
      <c r="O372" s="887"/>
      <c r="P372" s="887"/>
    </row>
    <row r="373" spans="1:16" s="266" customFormat="1" ht="15.75" customHeight="1" x14ac:dyDescent="0.2">
      <c r="A373" s="885"/>
      <c r="B373" s="1858" t="s">
        <v>1677</v>
      </c>
      <c r="C373" s="1858"/>
      <c r="D373" s="1858"/>
      <c r="E373" s="1858"/>
      <c r="F373" s="1858"/>
      <c r="G373" s="1858"/>
      <c r="H373" s="1858"/>
      <c r="I373" s="1858"/>
      <c r="J373" s="1858"/>
      <c r="K373" s="887"/>
      <c r="L373" s="887"/>
      <c r="M373"/>
      <c r="N373" s="887"/>
      <c r="O373" s="887"/>
      <c r="P373" s="887"/>
    </row>
    <row r="374" spans="1:16" s="266" customFormat="1" ht="18.75" customHeight="1" x14ac:dyDescent="0.2">
      <c r="A374" s="885"/>
      <c r="B374" s="1856"/>
      <c r="C374" s="1856"/>
      <c r="D374" s="1856"/>
      <c r="E374" s="1856"/>
      <c r="F374" s="1856"/>
      <c r="G374" s="1856"/>
      <c r="H374" s="1856"/>
      <c r="I374" s="1856"/>
      <c r="J374" s="907" t="s">
        <v>213</v>
      </c>
      <c r="K374" s="887"/>
      <c r="L374" s="887"/>
      <c r="M374" s="887"/>
      <c r="N374" s="887"/>
      <c r="O374" s="887"/>
      <c r="P374" s="887"/>
    </row>
    <row r="375" spans="1:16" s="266" customFormat="1" ht="14.25" customHeight="1" x14ac:dyDescent="0.2">
      <c r="A375" s="887"/>
      <c r="B375" s="868">
        <v>2</v>
      </c>
      <c r="C375" s="891" t="s">
        <v>45</v>
      </c>
      <c r="D375" s="891">
        <v>3.14</v>
      </c>
      <c r="E375" s="891" t="s">
        <v>45</v>
      </c>
      <c r="F375" s="891">
        <v>1.5</v>
      </c>
      <c r="G375" s="891" t="s">
        <v>45</v>
      </c>
      <c r="H375" s="891">
        <v>0.13</v>
      </c>
      <c r="I375" s="891" t="s">
        <v>46</v>
      </c>
      <c r="J375" s="907">
        <f>ROUND(B375*D375*F375*H375,2)</f>
        <v>1.22</v>
      </c>
      <c r="K375" s="887"/>
      <c r="L375" s="887"/>
      <c r="M375" s="887"/>
      <c r="N375" s="887"/>
      <c r="O375" s="887"/>
      <c r="P375" s="887"/>
    </row>
    <row r="376" spans="1:16" s="266" customFormat="1" ht="14.25" customHeight="1" x14ac:dyDescent="0.2">
      <c r="A376" s="887"/>
      <c r="B376" s="887"/>
      <c r="C376" s="887"/>
      <c r="D376" s="887"/>
      <c r="E376" s="887"/>
      <c r="F376" s="887"/>
      <c r="G376" s="887"/>
      <c r="H376" s="887"/>
      <c r="I376" s="887"/>
      <c r="J376" s="887"/>
      <c r="K376" s="887"/>
      <c r="L376" s="887"/>
      <c r="M376" s="887"/>
      <c r="N376" s="887"/>
      <c r="O376" s="887"/>
      <c r="P376" s="887"/>
    </row>
    <row r="377" spans="1:16" s="266" customFormat="1" ht="15.75" customHeight="1" x14ac:dyDescent="0.2">
      <c r="A377" s="885"/>
      <c r="B377" s="1858" t="s">
        <v>1678</v>
      </c>
      <c r="C377" s="1858"/>
      <c r="D377" s="1858"/>
      <c r="E377" s="1858"/>
      <c r="F377" s="1858"/>
      <c r="G377" s="1858"/>
      <c r="H377" s="1858"/>
      <c r="I377" s="887"/>
      <c r="J377" s="887"/>
      <c r="K377" s="887"/>
      <c r="L377" s="887"/>
      <c r="M377"/>
      <c r="N377" s="887"/>
      <c r="O377" s="887"/>
      <c r="P377" s="887"/>
    </row>
    <row r="378" spans="1:16" s="266" customFormat="1" ht="18.75" customHeight="1" x14ac:dyDescent="0.2">
      <c r="A378" s="885"/>
      <c r="B378" s="1859"/>
      <c r="C378" s="1860"/>
      <c r="D378" s="1860"/>
      <c r="E378" s="1860"/>
      <c r="F378" s="1860"/>
      <c r="G378" s="1861"/>
      <c r="H378" s="907" t="s">
        <v>213</v>
      </c>
      <c r="I378" s="887"/>
      <c r="K378" s="887"/>
      <c r="L378" s="887"/>
      <c r="M378" s="887"/>
      <c r="N378" s="887"/>
      <c r="O378" s="887"/>
      <c r="P378" s="887"/>
    </row>
    <row r="379" spans="1:16" s="266" customFormat="1" ht="14.25" customHeight="1" x14ac:dyDescent="0.2">
      <c r="A379" s="887"/>
      <c r="B379" s="891">
        <v>3.14</v>
      </c>
      <c r="C379" s="891" t="s">
        <v>45</v>
      </c>
      <c r="D379" s="891">
        <v>1.5</v>
      </c>
      <c r="E379" s="891" t="s">
        <v>45</v>
      </c>
      <c r="F379" s="891">
        <v>1.5</v>
      </c>
      <c r="G379" s="891" t="s">
        <v>46</v>
      </c>
      <c r="H379" s="907">
        <f>ROUND(B379*D379*F379,2)</f>
        <v>7.07</v>
      </c>
      <c r="I379" s="887"/>
      <c r="K379" s="887"/>
      <c r="L379" s="887"/>
      <c r="M379" s="887"/>
      <c r="N379" s="887"/>
      <c r="O379" s="887"/>
      <c r="P379" s="887"/>
    </row>
    <row r="380" spans="1:16" s="266" customFormat="1" ht="14.25" customHeight="1" x14ac:dyDescent="0.2">
      <c r="A380" s="887"/>
      <c r="B380" s="887"/>
      <c r="C380" s="887"/>
      <c r="D380" s="887"/>
      <c r="E380" s="887"/>
      <c r="F380" s="887"/>
      <c r="G380" s="887"/>
      <c r="H380" s="887"/>
      <c r="I380" s="887"/>
      <c r="J380" s="887"/>
      <c r="K380" s="887"/>
      <c r="L380" s="887"/>
      <c r="M380" s="887"/>
      <c r="N380" s="887"/>
      <c r="O380" s="887"/>
      <c r="P380" s="887"/>
    </row>
    <row r="381" spans="1:16" s="635" customFormat="1" ht="30" customHeight="1" x14ac:dyDescent="0.2">
      <c r="A381" s="885"/>
      <c r="B381" s="868" t="s">
        <v>1675</v>
      </c>
      <c r="C381" s="868"/>
      <c r="D381" s="868" t="s">
        <v>1676</v>
      </c>
      <c r="E381" s="868"/>
      <c r="F381" s="890" t="s">
        <v>213</v>
      </c>
      <c r="G381" s="885"/>
      <c r="H381" s="885"/>
      <c r="I381" s="885"/>
      <c r="J381" s="885"/>
      <c r="K381" s="885"/>
      <c r="L381" s="885"/>
      <c r="M381" s="885"/>
      <c r="N381" s="885"/>
      <c r="O381" s="885"/>
      <c r="P381" s="885"/>
    </row>
    <row r="382" spans="1:16" s="635" customFormat="1" ht="23.25" customHeight="1" x14ac:dyDescent="0.2">
      <c r="A382" s="885"/>
      <c r="B382" s="868">
        <f>J375</f>
        <v>1.22</v>
      </c>
      <c r="C382" s="868" t="s">
        <v>615</v>
      </c>
      <c r="D382" s="868">
        <f>H379</f>
        <v>7.07</v>
      </c>
      <c r="E382" s="868" t="s">
        <v>46</v>
      </c>
      <c r="F382" s="890">
        <f>ROUND(B382+D382,2)</f>
        <v>8.2899999999999991</v>
      </c>
      <c r="G382" s="885"/>
      <c r="H382" s="885"/>
      <c r="I382" s="885"/>
      <c r="J382" s="885"/>
      <c r="K382" s="885"/>
      <c r="L382" s="885"/>
      <c r="M382" s="885"/>
      <c r="N382" s="885"/>
      <c r="O382" s="885"/>
      <c r="P382" s="885"/>
    </row>
    <row r="383" spans="1:16" s="266" customFormat="1" ht="14.25" customHeight="1" x14ac:dyDescent="0.2">
      <c r="A383" s="887"/>
      <c r="B383" s="887"/>
      <c r="C383" s="887"/>
      <c r="D383" s="887"/>
      <c r="E383" s="887"/>
      <c r="F383" s="887"/>
      <c r="G383" s="887"/>
      <c r="H383" s="887"/>
      <c r="I383" s="887"/>
      <c r="J383" s="887"/>
      <c r="K383" s="887"/>
      <c r="L383" s="887"/>
      <c r="M383" s="887"/>
      <c r="N383" s="887"/>
      <c r="O383" s="887"/>
      <c r="P383" s="887"/>
    </row>
    <row r="384" spans="1:16" ht="27.75" customHeight="1" x14ac:dyDescent="0.2">
      <c r="A384" s="254" t="str">
        <f>ORÇ!A372</f>
        <v>13.5.3.2</v>
      </c>
      <c r="B384" s="1850" t="str">
        <f>ORÇ!D372</f>
        <v>ARMAÇÃO DE LAJE DE UMA ESTRUTURA CONVENCIONAL DE CONCRETO ARMADO EM UM EDIFÍCIO DE MÚLTIPLOS PAVIMENTOS UTILIZANDO AÇO CA-50 DE 10,0 MM - MONTAGEM. AF_12/2015</v>
      </c>
      <c r="C384" s="1850"/>
      <c r="D384" s="1850"/>
      <c r="E384" s="1850"/>
      <c r="F384" s="1850"/>
      <c r="G384" s="1850"/>
      <c r="H384" s="1850"/>
      <c r="I384" s="1850"/>
      <c r="J384" s="1850"/>
      <c r="K384" s="1850"/>
      <c r="L384" s="1850"/>
      <c r="M384" s="1850"/>
      <c r="N384" s="202"/>
      <c r="O384" s="202"/>
      <c r="P384" s="202"/>
    </row>
    <row r="385" spans="1:16" s="266" customFormat="1" ht="15.75" customHeight="1" x14ac:dyDescent="0.2">
      <c r="A385" s="885"/>
      <c r="B385" s="888"/>
      <c r="C385" s="888"/>
      <c r="D385" s="888"/>
      <c r="E385" s="888"/>
      <c r="F385" s="888"/>
      <c r="G385" s="888"/>
      <c r="H385" s="888"/>
      <c r="I385" s="887"/>
      <c r="J385" s="887"/>
      <c r="K385" s="887"/>
      <c r="L385" s="887"/>
      <c r="M385" s="887"/>
      <c r="N385" s="887"/>
      <c r="O385" s="887"/>
      <c r="P385" s="887"/>
    </row>
    <row r="386" spans="1:16" s="635" customFormat="1" ht="25.5" x14ac:dyDescent="0.2">
      <c r="A386" s="885"/>
      <c r="B386" s="868" t="s">
        <v>616</v>
      </c>
      <c r="C386" s="868" t="s">
        <v>1650</v>
      </c>
      <c r="D386" s="868"/>
      <c r="E386" s="868" t="s">
        <v>18</v>
      </c>
      <c r="F386" s="868"/>
      <c r="G386" s="868" t="s">
        <v>1648</v>
      </c>
      <c r="H386" s="868"/>
      <c r="I386" s="868" t="s">
        <v>1665</v>
      </c>
      <c r="J386" s="868"/>
      <c r="K386" s="868" t="s">
        <v>967</v>
      </c>
      <c r="L386" s="885"/>
      <c r="M386" s="885"/>
      <c r="N386" s="885"/>
      <c r="O386" s="885"/>
      <c r="P386" s="885"/>
    </row>
    <row r="387" spans="1:16" s="266" customFormat="1" ht="15.75" customHeight="1" x14ac:dyDescent="0.2">
      <c r="A387" s="887"/>
      <c r="B387" s="900" t="s">
        <v>1573</v>
      </c>
      <c r="C387" s="868">
        <v>6.1</v>
      </c>
      <c r="D387" s="868" t="s">
        <v>45</v>
      </c>
      <c r="E387" s="868">
        <v>50</v>
      </c>
      <c r="F387" s="868" t="s">
        <v>45</v>
      </c>
      <c r="G387" s="903">
        <v>0.61699999999999999</v>
      </c>
      <c r="H387" s="868" t="s">
        <v>45</v>
      </c>
      <c r="I387" s="903">
        <v>1</v>
      </c>
      <c r="J387" s="868" t="s">
        <v>46</v>
      </c>
      <c r="K387" s="868">
        <f>ROUND(C387*E387*G387*I387,2)</f>
        <v>188.19</v>
      </c>
      <c r="L387" s="887"/>
      <c r="M387" s="887"/>
      <c r="N387" s="887"/>
      <c r="O387" s="887"/>
      <c r="P387" s="887"/>
    </row>
    <row r="388" spans="1:16" s="266" customFormat="1" ht="14.25" customHeight="1" x14ac:dyDescent="0.2">
      <c r="A388" s="887"/>
      <c r="B388" s="887"/>
      <c r="C388" s="887"/>
      <c r="D388" s="887"/>
      <c r="E388" s="887"/>
      <c r="F388" s="887"/>
      <c r="G388" s="887"/>
      <c r="H388" s="887"/>
      <c r="I388" s="887"/>
      <c r="J388" s="887"/>
      <c r="K388" s="887"/>
      <c r="L388" s="887"/>
      <c r="M388" s="887"/>
      <c r="N388" s="887"/>
      <c r="O388" s="887"/>
      <c r="P388" s="887"/>
    </row>
    <row r="389" spans="1:16" s="266" customFormat="1" ht="14.25" customHeight="1" x14ac:dyDescent="0.2">
      <c r="A389" s="887"/>
      <c r="B389" s="892" t="s">
        <v>47</v>
      </c>
      <c r="C389" s="893">
        <f>ROUND(SUM(K387:K388),2)</f>
        <v>188.19</v>
      </c>
      <c r="D389" s="902" t="s">
        <v>1649</v>
      </c>
      <c r="E389" s="887"/>
      <c r="F389" s="887"/>
      <c r="G389" s="887"/>
      <c r="H389" s="887"/>
      <c r="I389" s="887"/>
      <c r="J389" s="887"/>
      <c r="K389" s="887"/>
      <c r="L389" s="887"/>
      <c r="M389" s="887"/>
      <c r="N389" s="887"/>
      <c r="O389" s="887"/>
      <c r="P389" s="887"/>
    </row>
    <row r="390" spans="1:16" s="266" customFormat="1" ht="14.25" customHeight="1" x14ac:dyDescent="0.2">
      <c r="A390" s="887"/>
      <c r="B390" s="887"/>
      <c r="C390" s="887"/>
      <c r="D390" s="887"/>
      <c r="E390" s="887"/>
      <c r="F390" s="887"/>
      <c r="G390" s="887"/>
      <c r="H390" s="887"/>
      <c r="I390" s="887"/>
      <c r="J390" s="887"/>
      <c r="K390" s="887"/>
      <c r="L390" s="887"/>
      <c r="M390" s="887"/>
      <c r="N390" s="887"/>
      <c r="O390" s="887"/>
      <c r="P390" s="887"/>
    </row>
    <row r="391" spans="1:16" ht="12.75" customHeight="1" x14ac:dyDescent="0.2">
      <c r="A391" s="254" t="str">
        <f>ORÇ!A373</f>
        <v>13.5.3.3</v>
      </c>
      <c r="B391" s="1850" t="str">
        <f>ORÇ!D373</f>
        <v>CONCRETO C/ SEIXO FCK= 25MPA (INCL. LANÇAMENTO E ADENSAMENTO)</v>
      </c>
      <c r="C391" s="1850"/>
      <c r="D391" s="1850"/>
      <c r="E391" s="1850"/>
      <c r="F391" s="1850"/>
      <c r="G391" s="1850"/>
      <c r="H391" s="1850"/>
      <c r="I391" s="1850"/>
      <c r="J391" s="1850"/>
      <c r="K391" s="1850"/>
      <c r="L391" s="1850"/>
      <c r="M391" s="1850"/>
      <c r="N391" s="202"/>
      <c r="O391" s="202"/>
      <c r="P391" s="202"/>
    </row>
    <row r="392" spans="1:16" s="266" customFormat="1" ht="15.75" customHeight="1" x14ac:dyDescent="0.2">
      <c r="A392" s="885"/>
      <c r="B392" s="888"/>
      <c r="C392" s="888"/>
      <c r="D392" s="888"/>
      <c r="E392" s="888"/>
      <c r="F392" s="888"/>
      <c r="G392" s="888"/>
      <c r="H392" s="888"/>
      <c r="I392" s="887"/>
      <c r="J392" s="887"/>
      <c r="K392" s="887"/>
      <c r="L392" s="887"/>
      <c r="M392" s="887"/>
      <c r="N392" s="887"/>
      <c r="O392" s="887"/>
      <c r="P392" s="887"/>
    </row>
    <row r="393" spans="1:16" s="266" customFormat="1" ht="15.75" customHeight="1" x14ac:dyDescent="0.2">
      <c r="A393" s="885"/>
      <c r="B393" s="1858" t="s">
        <v>1573</v>
      </c>
      <c r="C393" s="1858"/>
      <c r="D393" s="1858"/>
      <c r="E393" s="1858"/>
      <c r="F393" s="1858"/>
      <c r="G393" s="1858"/>
      <c r="H393" s="1852"/>
      <c r="I393" s="887"/>
      <c r="J393" s="887"/>
      <c r="K393" s="887"/>
      <c r="L393" s="887"/>
      <c r="M393"/>
      <c r="N393" s="887"/>
      <c r="O393" s="887"/>
      <c r="P393" s="887"/>
    </row>
    <row r="394" spans="1:16" s="266" customFormat="1" ht="18.75" customHeight="1" x14ac:dyDescent="0.2">
      <c r="A394" s="885"/>
      <c r="B394" s="1859"/>
      <c r="C394" s="1860"/>
      <c r="D394" s="1860"/>
      <c r="E394" s="1860"/>
      <c r="F394" s="1860"/>
      <c r="G394" s="1861"/>
      <c r="H394" s="907" t="s">
        <v>311</v>
      </c>
      <c r="I394" s="901"/>
      <c r="J394" s="912" t="s">
        <v>312</v>
      </c>
      <c r="K394" s="887"/>
      <c r="L394" s="887"/>
      <c r="M394" s="887"/>
      <c r="N394" s="887"/>
      <c r="O394" s="887"/>
      <c r="P394" s="887"/>
    </row>
    <row r="395" spans="1:16" s="266" customFormat="1" ht="14.25" customHeight="1" x14ac:dyDescent="0.2">
      <c r="A395" s="887"/>
      <c r="B395" s="891">
        <v>3.14</v>
      </c>
      <c r="C395" s="891" t="s">
        <v>45</v>
      </c>
      <c r="D395" s="891">
        <v>1.5</v>
      </c>
      <c r="E395" s="891" t="s">
        <v>45</v>
      </c>
      <c r="F395" s="891">
        <v>1.5</v>
      </c>
      <c r="G395" s="891" t="s">
        <v>45</v>
      </c>
      <c r="H395" s="891">
        <v>0.13</v>
      </c>
      <c r="I395" s="891" t="s">
        <v>46</v>
      </c>
      <c r="J395" s="912">
        <f>ROUND(B395*D395*F395*H395,2)</f>
        <v>0.92</v>
      </c>
      <c r="K395" s="887"/>
      <c r="L395" s="887"/>
      <c r="M395" s="887"/>
      <c r="N395" s="887"/>
      <c r="O395" s="887"/>
      <c r="P395" s="887"/>
    </row>
    <row r="396" spans="1:16" s="266" customFormat="1" ht="14.25" customHeight="1" x14ac:dyDescent="0.2">
      <c r="A396" s="887"/>
      <c r="B396" s="887"/>
      <c r="C396" s="887"/>
      <c r="D396" s="887"/>
      <c r="E396" s="887"/>
      <c r="F396" s="887"/>
      <c r="G396" s="887"/>
      <c r="H396" s="887"/>
      <c r="I396" s="887"/>
      <c r="J396" s="887"/>
      <c r="K396" s="887"/>
      <c r="L396" s="887"/>
      <c r="M396" s="887"/>
      <c r="N396" s="887"/>
      <c r="O396" s="887"/>
      <c r="P396" s="887"/>
    </row>
    <row r="397" spans="1:16" ht="12.75" customHeight="1" x14ac:dyDescent="0.2">
      <c r="A397" s="254" t="str">
        <f>ORÇ!A374</f>
        <v>13.5.4</v>
      </c>
      <c r="B397" s="1850" t="str">
        <f>ORÇ!D374</f>
        <v>Revestimento e Acabamento</v>
      </c>
      <c r="C397" s="1850"/>
      <c r="D397" s="1850"/>
      <c r="E397" s="1850"/>
      <c r="F397" s="1850"/>
      <c r="G397" s="1850"/>
      <c r="H397" s="1850"/>
      <c r="I397" s="1850"/>
      <c r="J397" s="1850"/>
      <c r="K397" s="1850"/>
      <c r="L397" s="1850"/>
      <c r="M397" s="1850"/>
      <c r="N397" s="202"/>
      <c r="O397" s="202"/>
      <c r="P397" s="202"/>
    </row>
    <row r="398" spans="1:16" ht="18" customHeight="1" x14ac:dyDescent="0.2">
      <c r="A398" s="254" t="str">
        <f>ORÇ!A375</f>
        <v>13.5.4.1</v>
      </c>
      <c r="B398" s="1850" t="str">
        <f>ORÇ!D375</f>
        <v>IMPERMEABILIZAÇÃO COM MASSA ASFÁLTICA PARA CONCRETO (2 DEMÃOS)</v>
      </c>
      <c r="C398" s="1850"/>
      <c r="D398" s="1850"/>
      <c r="E398" s="1850"/>
      <c r="F398" s="1850"/>
      <c r="G398" s="1850"/>
      <c r="H398" s="1850"/>
      <c r="I398" s="1850"/>
      <c r="J398" s="1850"/>
      <c r="K398" s="1850"/>
      <c r="L398" s="1850"/>
      <c r="M398" s="1850"/>
      <c r="N398" s="202"/>
      <c r="O398" s="202"/>
      <c r="P398" s="202"/>
    </row>
    <row r="399" spans="1:16" s="266" customFormat="1" ht="15.75" customHeight="1" x14ac:dyDescent="0.2">
      <c r="A399" s="885"/>
      <c r="B399" s="1852"/>
      <c r="C399" s="1852"/>
      <c r="D399" s="1852"/>
      <c r="E399" s="1852"/>
      <c r="F399" s="1852"/>
      <c r="G399" s="1852"/>
      <c r="H399" s="1852"/>
      <c r="I399" s="887"/>
      <c r="J399" s="887"/>
      <c r="K399" s="887"/>
      <c r="L399" s="887"/>
      <c r="M399" s="887"/>
      <c r="N399" s="887"/>
      <c r="O399" s="887"/>
      <c r="P399" s="887"/>
    </row>
    <row r="400" spans="1:16" s="266" customFormat="1" ht="15.75" customHeight="1" x14ac:dyDescent="0.2">
      <c r="A400" s="885"/>
      <c r="B400" s="1858" t="s">
        <v>1678</v>
      </c>
      <c r="C400" s="1858"/>
      <c r="D400" s="1858"/>
      <c r="E400" s="1858"/>
      <c r="F400" s="1858"/>
      <c r="G400" s="1858"/>
      <c r="H400" s="1858"/>
      <c r="I400" s="887"/>
      <c r="J400" s="887"/>
      <c r="K400" s="887"/>
      <c r="L400" s="887"/>
      <c r="M400"/>
      <c r="N400" s="887"/>
      <c r="O400" s="887"/>
      <c r="P400" s="887"/>
    </row>
    <row r="401" spans="1:16" s="266" customFormat="1" ht="18.75" customHeight="1" x14ac:dyDescent="0.2">
      <c r="A401" s="885"/>
      <c r="B401" s="1859"/>
      <c r="C401" s="1860"/>
      <c r="D401" s="1860"/>
      <c r="E401" s="1860"/>
      <c r="F401" s="1860"/>
      <c r="G401" s="1861"/>
      <c r="H401" s="912" t="s">
        <v>213</v>
      </c>
      <c r="I401" s="887"/>
      <c r="K401" s="887"/>
      <c r="L401" s="887"/>
      <c r="M401" s="887"/>
      <c r="N401" s="887"/>
      <c r="O401" s="887"/>
      <c r="P401" s="887"/>
    </row>
    <row r="402" spans="1:16" s="266" customFormat="1" ht="14.25" customHeight="1" x14ac:dyDescent="0.2">
      <c r="A402" s="887"/>
      <c r="B402" s="891">
        <v>3.14</v>
      </c>
      <c r="C402" s="891" t="s">
        <v>45</v>
      </c>
      <c r="D402" s="891">
        <v>1.5</v>
      </c>
      <c r="E402" s="891" t="s">
        <v>45</v>
      </c>
      <c r="F402" s="891">
        <v>1.5</v>
      </c>
      <c r="G402" s="891" t="s">
        <v>46</v>
      </c>
      <c r="H402" s="912">
        <f>ROUND(B402*D402*F402,2)</f>
        <v>7.07</v>
      </c>
      <c r="I402" s="887"/>
      <c r="K402" s="887"/>
      <c r="L402" s="887"/>
      <c r="M402" s="887"/>
      <c r="N402" s="887"/>
      <c r="O402" s="887"/>
      <c r="P402" s="887"/>
    </row>
    <row r="403" spans="1:16" s="266" customFormat="1" ht="14.25" customHeight="1" x14ac:dyDescent="0.2">
      <c r="A403" s="887"/>
      <c r="B403" s="887"/>
      <c r="C403" s="887"/>
      <c r="D403" s="887"/>
      <c r="E403" s="887"/>
      <c r="F403" s="887"/>
      <c r="G403" s="887"/>
      <c r="H403" s="887"/>
      <c r="I403" s="887"/>
      <c r="J403" s="887"/>
      <c r="K403" s="887"/>
      <c r="L403" s="887"/>
      <c r="M403" s="887"/>
      <c r="N403" s="887"/>
      <c r="O403" s="887"/>
      <c r="P403" s="887"/>
    </row>
    <row r="404" spans="1:16" ht="21.75" customHeight="1" x14ac:dyDescent="0.2">
      <c r="A404" s="254" t="str">
        <f>ORÇ!A376</f>
        <v>13.5.4.2</v>
      </c>
      <c r="B404" s="1850" t="str">
        <f>ORÇ!D376</f>
        <v>PROTEÇÃO MECÂNICA DE SUPERFÍCIE HORIZONTAL COM ARGAMASSA DE CIMENTO E AREIA, TRAÇO 1:3, E=2CM. AF_06/2018</v>
      </c>
      <c r="C404" s="1850"/>
      <c r="D404" s="1850"/>
      <c r="E404" s="1850"/>
      <c r="F404" s="1850"/>
      <c r="G404" s="1850"/>
      <c r="H404" s="1850"/>
      <c r="I404" s="1850"/>
      <c r="J404" s="1850"/>
      <c r="K404" s="1850"/>
      <c r="L404" s="1850"/>
      <c r="M404" s="1850"/>
      <c r="N404" s="202"/>
      <c r="O404" s="202"/>
      <c r="P404" s="202"/>
    </row>
    <row r="405" spans="1:16" s="266" customFormat="1" ht="14.25" customHeight="1" x14ac:dyDescent="0.2">
      <c r="A405" s="887"/>
      <c r="B405" s="887"/>
      <c r="C405" s="887"/>
      <c r="D405" s="887"/>
      <c r="E405" s="887"/>
      <c r="F405" s="887"/>
      <c r="G405" s="887"/>
      <c r="H405" s="887"/>
      <c r="I405" s="887"/>
      <c r="J405" s="887"/>
      <c r="K405" s="887"/>
      <c r="L405" s="887"/>
      <c r="M405" s="887"/>
      <c r="N405" s="887"/>
      <c r="O405" s="887"/>
      <c r="P405" s="887"/>
    </row>
    <row r="406" spans="1:16" s="266" customFormat="1" ht="17.25" customHeight="1" x14ac:dyDescent="0.2">
      <c r="A406" s="885"/>
      <c r="B406" s="1852" t="s">
        <v>1681</v>
      </c>
      <c r="C406" s="1852"/>
      <c r="D406" s="1852"/>
      <c r="E406" s="1852"/>
      <c r="F406" s="1852"/>
      <c r="G406" s="1852"/>
      <c r="H406" s="1852"/>
      <c r="I406" s="887"/>
      <c r="J406" s="887"/>
      <c r="K406" s="887"/>
      <c r="L406" s="887"/>
      <c r="M406" s="887"/>
      <c r="N406" s="887"/>
      <c r="O406" s="887"/>
      <c r="P406" s="887"/>
    </row>
    <row r="407" spans="1:16" s="266" customFormat="1" ht="14.25" customHeight="1" x14ac:dyDescent="0.2">
      <c r="A407" s="887"/>
      <c r="B407" s="892" t="s">
        <v>47</v>
      </c>
      <c r="C407" s="893">
        <f>H402</f>
        <v>7.07</v>
      </c>
      <c r="D407" s="894" t="s">
        <v>4</v>
      </c>
      <c r="E407" s="887"/>
      <c r="F407" s="887"/>
      <c r="G407" s="887"/>
      <c r="H407" s="887"/>
      <c r="I407" s="887"/>
      <c r="J407" s="887"/>
      <c r="K407" s="887"/>
      <c r="L407" s="887"/>
      <c r="M407" s="887"/>
      <c r="N407" s="887"/>
      <c r="O407" s="887"/>
      <c r="P407" s="887"/>
    </row>
    <row r="408" spans="1:16" s="266" customFormat="1" ht="14.25" customHeight="1" x14ac:dyDescent="0.2">
      <c r="A408" s="887"/>
      <c r="B408" s="887"/>
      <c r="C408" s="887"/>
      <c r="D408" s="887"/>
      <c r="E408" s="887"/>
      <c r="F408" s="887"/>
      <c r="G408" s="887"/>
      <c r="H408" s="887"/>
      <c r="I408" s="887"/>
      <c r="J408" s="887"/>
      <c r="K408" s="887"/>
      <c r="L408" s="887"/>
      <c r="M408" s="887"/>
      <c r="N408" s="887"/>
      <c r="O408" s="887"/>
      <c r="P408" s="887"/>
    </row>
    <row r="409" spans="1:16" ht="21.75" customHeight="1" x14ac:dyDescent="0.2">
      <c r="A409" s="254" t="str">
        <f>ORÇ!A377</f>
        <v>13.5.4.3</v>
      </c>
      <c r="B409" s="1850" t="str">
        <f>ORÇ!D377</f>
        <v>PINTURA DE PISO COM TINTA ACRÍLICA, APLICAÇÃO MANUAL, 2 DEMÃOS, INCLUSO FUNDO PREPARADOR. AF_05/2021</v>
      </c>
      <c r="C409" s="1850"/>
      <c r="D409" s="1850"/>
      <c r="E409" s="1850"/>
      <c r="F409" s="1850"/>
      <c r="G409" s="1850"/>
      <c r="H409" s="1850"/>
      <c r="I409" s="1850"/>
      <c r="J409" s="1850"/>
      <c r="K409" s="1850"/>
      <c r="L409" s="1850"/>
      <c r="M409" s="1850"/>
      <c r="N409" s="202"/>
      <c r="O409" s="202"/>
      <c r="P409" s="202"/>
    </row>
    <row r="410" spans="1:16" s="266" customFormat="1" ht="14.25" customHeight="1" x14ac:dyDescent="0.2">
      <c r="A410" s="887"/>
      <c r="B410" s="887"/>
      <c r="C410" s="887"/>
      <c r="D410" s="887"/>
      <c r="E410" s="887"/>
      <c r="F410" s="887"/>
      <c r="G410" s="887"/>
      <c r="H410" s="887"/>
      <c r="I410" s="887"/>
      <c r="J410" s="887"/>
      <c r="K410" s="887"/>
      <c r="L410" s="887"/>
      <c r="M410" s="887"/>
      <c r="N410" s="887"/>
      <c r="O410" s="887"/>
      <c r="P410" s="887"/>
    </row>
    <row r="411" spans="1:16" s="266" customFormat="1" ht="17.25" customHeight="1" x14ac:dyDescent="0.2">
      <c r="A411" s="885"/>
      <c r="B411" s="1852" t="s">
        <v>1681</v>
      </c>
      <c r="C411" s="1852"/>
      <c r="D411" s="1852"/>
      <c r="E411" s="1852"/>
      <c r="F411" s="1852"/>
      <c r="G411" s="1852"/>
      <c r="H411" s="1852"/>
      <c r="I411" s="887"/>
      <c r="J411" s="887"/>
      <c r="K411" s="887"/>
      <c r="L411" s="887"/>
      <c r="M411" s="887"/>
      <c r="N411" s="887"/>
      <c r="O411" s="887"/>
      <c r="P411" s="887"/>
    </row>
    <row r="412" spans="1:16" s="266" customFormat="1" ht="14.25" customHeight="1" x14ac:dyDescent="0.2">
      <c r="A412" s="887"/>
      <c r="B412" s="892" t="s">
        <v>47</v>
      </c>
      <c r="C412" s="893">
        <f>C407</f>
        <v>7.07</v>
      </c>
      <c r="D412" s="894" t="s">
        <v>4</v>
      </c>
      <c r="E412" s="887"/>
      <c r="F412" s="887"/>
      <c r="G412" s="887"/>
      <c r="H412" s="887"/>
      <c r="I412" s="887"/>
      <c r="J412" s="887"/>
      <c r="K412" s="887"/>
      <c r="L412" s="887"/>
      <c r="M412" s="887"/>
      <c r="N412" s="887"/>
      <c r="O412" s="887"/>
      <c r="P412" s="887"/>
    </row>
    <row r="413" spans="1:16" s="266" customFormat="1" ht="14.25" customHeight="1" x14ac:dyDescent="0.2">
      <c r="A413" s="887"/>
      <c r="B413" s="887"/>
      <c r="C413" s="887"/>
      <c r="D413" s="887"/>
      <c r="E413" s="887"/>
      <c r="F413" s="887"/>
      <c r="G413" s="887"/>
      <c r="H413" s="887"/>
      <c r="I413" s="887"/>
      <c r="J413" s="887"/>
      <c r="K413" s="887"/>
      <c r="L413" s="887"/>
      <c r="M413" s="887"/>
      <c r="N413" s="887"/>
      <c r="O413" s="887"/>
      <c r="P413" s="887"/>
    </row>
    <row r="414" spans="1:16" ht="20.25" customHeight="1" x14ac:dyDescent="0.2">
      <c r="A414" s="254" t="str">
        <f>ORÇ!A378</f>
        <v>13.5.4.4</v>
      </c>
      <c r="B414" s="1850" t="str">
        <f>ORÇ!D378</f>
        <v>APLICAÇÃO E LIXAMENTO DE MASSA LÁTEX EM PAREDES, UMA DEMÃO. AF_06/2014</v>
      </c>
      <c r="C414" s="1850"/>
      <c r="D414" s="1850"/>
      <c r="E414" s="1850"/>
      <c r="F414" s="1850"/>
      <c r="G414" s="1850"/>
      <c r="H414" s="1850"/>
      <c r="I414" s="1850"/>
      <c r="J414" s="1850"/>
      <c r="K414" s="1850"/>
      <c r="L414" s="1850"/>
      <c r="M414" s="1850"/>
      <c r="N414" s="202"/>
      <c r="O414" s="202"/>
      <c r="P414" s="202"/>
    </row>
    <row r="415" spans="1:16" s="266" customFormat="1" ht="15.75" customHeight="1" x14ac:dyDescent="0.2">
      <c r="A415" s="885"/>
      <c r="B415" s="888"/>
      <c r="C415" s="888"/>
      <c r="D415" s="888"/>
      <c r="E415" s="888"/>
      <c r="F415" s="888"/>
      <c r="G415" s="888"/>
      <c r="H415" s="888"/>
      <c r="I415" s="887"/>
      <c r="J415" s="887"/>
      <c r="K415" s="887"/>
      <c r="L415" s="887"/>
      <c r="M415" s="887"/>
      <c r="N415" s="887"/>
      <c r="O415" s="887"/>
      <c r="P415" s="887"/>
    </row>
    <row r="416" spans="1:16" s="266" customFormat="1" ht="17.25" customHeight="1" x14ac:dyDescent="0.2">
      <c r="A416" s="885"/>
      <c r="B416" s="1853" t="s">
        <v>1683</v>
      </c>
      <c r="C416" s="1854"/>
      <c r="D416" s="1854"/>
      <c r="E416" s="1854"/>
      <c r="F416" s="1855"/>
      <c r="G416" s="888"/>
      <c r="H416" s="887"/>
      <c r="I416" s="887"/>
      <c r="J416" s="887"/>
      <c r="K416" s="887"/>
      <c r="L416" s="887"/>
      <c r="M416" s="887"/>
      <c r="N416" s="887"/>
      <c r="O416" s="887"/>
      <c r="P416" s="887"/>
    </row>
    <row r="417" spans="1:16" s="635" customFormat="1" ht="14.25" customHeight="1" x14ac:dyDescent="0.2">
      <c r="A417" s="885"/>
      <c r="B417" s="868" t="s">
        <v>1656</v>
      </c>
      <c r="C417" s="868"/>
      <c r="D417" s="868" t="s">
        <v>1684</v>
      </c>
      <c r="E417" s="868"/>
      <c r="F417" s="868" t="s">
        <v>213</v>
      </c>
      <c r="G417" s="885"/>
      <c r="H417" s="885"/>
      <c r="I417" s="885"/>
      <c r="J417" s="885"/>
      <c r="K417" s="885"/>
      <c r="L417" s="885"/>
      <c r="M417" s="885"/>
      <c r="N417" s="885"/>
      <c r="O417" s="885"/>
      <c r="P417" s="885"/>
    </row>
    <row r="418" spans="1:16" s="635" customFormat="1" ht="14.25" customHeight="1" x14ac:dyDescent="0.2">
      <c r="A418" s="885"/>
      <c r="B418" s="868">
        <f>J298</f>
        <v>9.42</v>
      </c>
      <c r="C418" s="868" t="s">
        <v>615</v>
      </c>
      <c r="D418" s="868">
        <f>H319</f>
        <v>3.16</v>
      </c>
      <c r="E418" s="868" t="s">
        <v>46</v>
      </c>
      <c r="F418" s="868">
        <f>ROUND(B418+D418,2)</f>
        <v>12.58</v>
      </c>
      <c r="G418" s="885"/>
      <c r="H418" s="885"/>
      <c r="I418" s="885"/>
      <c r="J418" s="885"/>
      <c r="K418" s="885"/>
      <c r="L418" s="885"/>
      <c r="M418" s="885"/>
      <c r="N418" s="885"/>
      <c r="O418" s="885"/>
      <c r="P418" s="885"/>
    </row>
    <row r="419" spans="1:16" s="635" customFormat="1" ht="14.25" customHeight="1" x14ac:dyDescent="0.2">
      <c r="A419" s="885"/>
      <c r="B419" s="885"/>
      <c r="C419" s="885"/>
      <c r="D419" s="885"/>
      <c r="E419" s="885"/>
      <c r="F419" s="885"/>
      <c r="G419" s="885"/>
      <c r="H419" s="885"/>
      <c r="I419" s="885"/>
      <c r="J419" s="885"/>
      <c r="K419" s="885"/>
      <c r="L419" s="885"/>
      <c r="M419" s="885"/>
      <c r="N419" s="885"/>
      <c r="O419" s="885"/>
      <c r="P419" s="885"/>
    </row>
    <row r="420" spans="1:16" s="266" customFormat="1" ht="14.25" customHeight="1" x14ac:dyDescent="0.2">
      <c r="A420" s="887"/>
      <c r="B420" s="892" t="s">
        <v>47</v>
      </c>
      <c r="C420" s="893">
        <f>F418</f>
        <v>12.58</v>
      </c>
      <c r="D420" s="894" t="s">
        <v>4</v>
      </c>
      <c r="E420" s="887"/>
      <c r="F420" s="887"/>
      <c r="G420" s="887"/>
      <c r="H420" s="887"/>
      <c r="I420" s="887"/>
      <c r="J420" s="887"/>
      <c r="K420" s="887"/>
      <c r="L420" s="887"/>
      <c r="M420" s="887"/>
      <c r="N420" s="887"/>
      <c r="O420" s="887"/>
      <c r="P420" s="887"/>
    </row>
    <row r="421" spans="1:16" s="266" customFormat="1" ht="14.25" customHeight="1" x14ac:dyDescent="0.2">
      <c r="A421" s="887"/>
      <c r="B421" s="887"/>
      <c r="C421" s="887"/>
      <c r="D421" s="887"/>
      <c r="E421" s="887"/>
      <c r="F421" s="887"/>
      <c r="G421" s="887"/>
      <c r="H421" s="887"/>
      <c r="I421" s="887"/>
      <c r="J421" s="887"/>
      <c r="K421" s="887"/>
      <c r="L421" s="887"/>
      <c r="M421" s="887"/>
      <c r="N421" s="887"/>
      <c r="O421" s="887"/>
      <c r="P421" s="887"/>
    </row>
    <row r="422" spans="1:16" ht="27.75" customHeight="1" x14ac:dyDescent="0.2">
      <c r="A422" s="254" t="str">
        <f>ORÇ!A379</f>
        <v>13.5.4.5</v>
      </c>
      <c r="B422" s="1850" t="str">
        <f>ORÇ!D379</f>
        <v>APLICAÇÃO MANUAL DE FUNDO SELADOR ACRÍLICO EM PANOS CEGOS DE FACHADA (SEM PRESENÇA DE VÃOS) DE EDIFÍCIOS DE MÚLTIPLOS PAVIMENTOS. AF_06/2014</v>
      </c>
      <c r="C422" s="1850"/>
      <c r="D422" s="1850"/>
      <c r="E422" s="1850"/>
      <c r="F422" s="1850"/>
      <c r="G422" s="1850"/>
      <c r="H422" s="1850"/>
      <c r="I422" s="1850"/>
      <c r="J422" s="1850"/>
      <c r="K422" s="1850"/>
      <c r="L422" s="1850"/>
      <c r="M422" s="1850"/>
      <c r="N422" s="202"/>
      <c r="O422" s="202"/>
      <c r="P422" s="202"/>
    </row>
    <row r="423" spans="1:16" s="266" customFormat="1" ht="15.75" customHeight="1" x14ac:dyDescent="0.2">
      <c r="A423" s="885"/>
      <c r="B423" s="888"/>
      <c r="C423" s="888"/>
      <c r="D423" s="888"/>
      <c r="E423" s="888"/>
      <c r="F423" s="888"/>
      <c r="G423" s="888"/>
      <c r="H423" s="888"/>
      <c r="I423" s="887"/>
      <c r="J423" s="887"/>
      <c r="K423" s="887"/>
      <c r="L423" s="887"/>
      <c r="M423" s="887"/>
      <c r="N423" s="887"/>
      <c r="O423" s="887"/>
      <c r="P423" s="887"/>
    </row>
    <row r="424" spans="1:16" s="266" customFormat="1" ht="17.25" customHeight="1" x14ac:dyDescent="0.2">
      <c r="A424" s="885"/>
      <c r="B424" s="1852" t="s">
        <v>1685</v>
      </c>
      <c r="C424" s="1852"/>
      <c r="D424" s="1852"/>
      <c r="E424" s="1852"/>
      <c r="F424" s="1852"/>
      <c r="G424" s="1852"/>
      <c r="H424" s="1852"/>
      <c r="I424" s="887"/>
      <c r="J424" s="887"/>
      <c r="K424" s="887"/>
      <c r="L424" s="887"/>
      <c r="M424" s="887"/>
      <c r="N424" s="887"/>
      <c r="O424" s="887"/>
      <c r="P424" s="887"/>
    </row>
    <row r="425" spans="1:16" s="266" customFormat="1" ht="14.25" customHeight="1" x14ac:dyDescent="0.2">
      <c r="A425" s="887"/>
      <c r="B425" s="892" t="s">
        <v>47</v>
      </c>
      <c r="C425" s="893">
        <f>C420</f>
        <v>12.58</v>
      </c>
      <c r="D425" s="894" t="s">
        <v>4</v>
      </c>
      <c r="E425" s="887"/>
      <c r="F425" s="887"/>
      <c r="G425" s="887"/>
      <c r="H425" s="887"/>
      <c r="I425" s="887"/>
      <c r="J425" s="887"/>
      <c r="K425" s="887"/>
      <c r="L425" s="887"/>
      <c r="M425" s="887"/>
      <c r="N425" s="887"/>
      <c r="O425" s="887"/>
      <c r="P425" s="887"/>
    </row>
    <row r="426" spans="1:16" s="266" customFormat="1" ht="14.25" customHeight="1" x14ac:dyDescent="0.2">
      <c r="A426" s="887"/>
      <c r="B426" s="887"/>
      <c r="C426" s="887"/>
      <c r="D426" s="887"/>
      <c r="E426" s="887"/>
      <c r="F426" s="887"/>
      <c r="G426" s="887"/>
      <c r="H426" s="887"/>
      <c r="I426" s="887"/>
      <c r="J426" s="887"/>
      <c r="K426" s="887"/>
      <c r="L426" s="887"/>
      <c r="M426" s="887"/>
      <c r="N426" s="887"/>
      <c r="O426" s="887"/>
      <c r="P426" s="887"/>
    </row>
    <row r="427" spans="1:16" ht="27.75" customHeight="1" x14ac:dyDescent="0.2">
      <c r="A427" s="254" t="str">
        <f>ORÇ!A380</f>
        <v>13.5.4.6</v>
      </c>
      <c r="B427" s="1850" t="str">
        <f>ORÇ!D380</f>
        <v>APLICAÇÃO MANUAL DE PINTURA COM TINTA TEXTURIZADA ACRÍLICA EM PANOS CEGOS DE FACHADA (SEM PRESENÇA DE VÃOS) DE EDIFÍCIOS DE MÚLTIPLOS PAVIMENTOS, UMA COR. AF_06/2014</v>
      </c>
      <c r="C427" s="1850"/>
      <c r="D427" s="1850"/>
      <c r="E427" s="1850"/>
      <c r="F427" s="1850"/>
      <c r="G427" s="1850"/>
      <c r="H427" s="1850"/>
      <c r="I427" s="1850"/>
      <c r="J427" s="1850"/>
      <c r="K427" s="1850"/>
      <c r="L427" s="1850"/>
      <c r="M427" s="1850"/>
      <c r="N427" s="202"/>
      <c r="O427" s="202"/>
      <c r="P427" s="202"/>
    </row>
    <row r="428" spans="1:16" s="266" customFormat="1" ht="15.75" customHeight="1" x14ac:dyDescent="0.2">
      <c r="A428" s="885"/>
      <c r="B428" s="888"/>
      <c r="C428" s="888"/>
      <c r="D428" s="888"/>
      <c r="E428" s="888"/>
      <c r="F428" s="888"/>
      <c r="G428" s="888"/>
      <c r="H428" s="888"/>
      <c r="I428" s="887"/>
      <c r="J428" s="887"/>
      <c r="K428" s="887"/>
      <c r="L428" s="887"/>
      <c r="M428" s="887"/>
      <c r="N428" s="887"/>
      <c r="O428" s="887"/>
      <c r="P428" s="887"/>
    </row>
    <row r="429" spans="1:16" s="266" customFormat="1" ht="17.25" customHeight="1" x14ac:dyDescent="0.2">
      <c r="A429" s="885"/>
      <c r="B429" s="1852" t="s">
        <v>1685</v>
      </c>
      <c r="C429" s="1852"/>
      <c r="D429" s="1852"/>
      <c r="E429" s="1852"/>
      <c r="F429" s="1852"/>
      <c r="G429" s="1852"/>
      <c r="H429" s="1852"/>
      <c r="I429" s="887"/>
      <c r="J429" s="887"/>
      <c r="K429" s="887"/>
      <c r="L429" s="887"/>
      <c r="M429" s="887"/>
      <c r="N429" s="887"/>
      <c r="O429" s="887"/>
      <c r="P429" s="887"/>
    </row>
    <row r="430" spans="1:16" s="266" customFormat="1" ht="14.25" customHeight="1" x14ac:dyDescent="0.2">
      <c r="A430" s="887"/>
      <c r="B430" s="892" t="s">
        <v>47</v>
      </c>
      <c r="C430" s="893">
        <f>C425</f>
        <v>12.58</v>
      </c>
      <c r="D430" s="894" t="s">
        <v>4</v>
      </c>
      <c r="E430" s="887"/>
      <c r="F430" s="887"/>
      <c r="G430" s="887"/>
      <c r="H430" s="887"/>
      <c r="I430" s="887"/>
      <c r="J430" s="887"/>
      <c r="K430" s="887"/>
      <c r="L430" s="887"/>
      <c r="M430" s="887"/>
      <c r="N430" s="887"/>
      <c r="O430" s="887"/>
      <c r="P430" s="887"/>
    </row>
    <row r="431" spans="1:16" s="266" customFormat="1" ht="14.25" customHeight="1" x14ac:dyDescent="0.2">
      <c r="A431" s="887"/>
      <c r="B431" s="887"/>
      <c r="C431" s="887"/>
      <c r="D431" s="887"/>
      <c r="E431" s="887"/>
      <c r="F431" s="887"/>
      <c r="G431" s="887"/>
      <c r="H431" s="887"/>
      <c r="I431" s="887"/>
      <c r="J431" s="887"/>
      <c r="K431" s="887"/>
      <c r="L431" s="887"/>
      <c r="M431" s="887"/>
      <c r="N431" s="887"/>
      <c r="O431" s="887"/>
      <c r="P431" s="887"/>
    </row>
    <row r="432" spans="1:16" ht="15.75" customHeight="1" x14ac:dyDescent="0.2">
      <c r="A432" s="254" t="str">
        <f>ORÇ!A381</f>
        <v>13.5.5</v>
      </c>
      <c r="B432" s="1850" t="str">
        <f>ORÇ!D381</f>
        <v>Acessórios e Conexões</v>
      </c>
      <c r="C432" s="1850"/>
      <c r="D432" s="1850"/>
      <c r="E432" s="1850"/>
      <c r="F432" s="1850"/>
      <c r="G432" s="1850"/>
      <c r="H432" s="1850"/>
      <c r="I432" s="1850"/>
      <c r="J432" s="1850"/>
      <c r="K432" s="1850"/>
      <c r="L432" s="1850"/>
      <c r="M432" s="1850"/>
      <c r="N432" s="202"/>
      <c r="O432" s="202"/>
      <c r="P432" s="202"/>
    </row>
    <row r="433" spans="1:16" ht="31.5" customHeight="1" x14ac:dyDescent="0.2">
      <c r="A433" s="254" t="str">
        <f>ORÇ!A382</f>
        <v>13.5.5.1</v>
      </c>
      <c r="B433" s="1850" t="str">
        <f>ORÇ!D382</f>
        <v>CAIXA D'AGUA FIBRA DE VIDRO PARA 5000 LITROS, COM TAMPA, INCLUSO FUROS PARA CONEXÕES. FORNECIMENTO E INSTALAÇÃO.</v>
      </c>
      <c r="C433" s="1850"/>
      <c r="D433" s="1850"/>
      <c r="E433" s="1850"/>
      <c r="F433" s="1850"/>
      <c r="G433" s="1850"/>
      <c r="H433" s="1850"/>
      <c r="I433" s="1850"/>
      <c r="J433" s="1850"/>
      <c r="K433" s="1850"/>
      <c r="L433" s="1850"/>
      <c r="M433" s="1850"/>
      <c r="N433" s="202"/>
      <c r="O433" s="202"/>
      <c r="P433" s="202"/>
    </row>
    <row r="434" spans="1:16" s="266" customFormat="1" ht="15.75" customHeight="1" x14ac:dyDescent="0.2">
      <c r="A434" s="885"/>
      <c r="B434" s="888"/>
      <c r="C434" s="888"/>
      <c r="D434" s="888"/>
      <c r="E434" s="888"/>
      <c r="F434" s="888"/>
      <c r="G434" s="888"/>
      <c r="H434" s="888"/>
      <c r="I434" s="887"/>
      <c r="J434" s="887"/>
      <c r="K434" s="887"/>
      <c r="L434" s="887"/>
      <c r="M434" s="887"/>
      <c r="N434" s="887"/>
      <c r="O434" s="887"/>
      <c r="P434" s="887"/>
    </row>
    <row r="435" spans="1:16" s="266" customFormat="1" ht="14.25" customHeight="1" x14ac:dyDescent="0.2">
      <c r="A435" s="887"/>
      <c r="B435" s="892" t="s">
        <v>47</v>
      </c>
      <c r="C435" s="893">
        <v>1</v>
      </c>
      <c r="D435" s="894" t="s">
        <v>834</v>
      </c>
      <c r="E435" s="887"/>
      <c r="F435" s="887"/>
      <c r="G435" s="887"/>
      <c r="H435" s="887"/>
      <c r="I435" s="887"/>
      <c r="J435" s="887"/>
      <c r="K435" s="887"/>
      <c r="L435" s="887"/>
      <c r="M435" s="887"/>
      <c r="N435" s="887"/>
      <c r="O435" s="887"/>
      <c r="P435" s="887"/>
    </row>
    <row r="436" spans="1:16" s="266" customFormat="1" ht="14.25" customHeight="1" x14ac:dyDescent="0.2">
      <c r="A436" s="887"/>
      <c r="B436" s="887"/>
      <c r="C436" s="887"/>
      <c r="D436" s="887"/>
      <c r="E436" s="887"/>
      <c r="F436" s="887"/>
      <c r="G436" s="887"/>
      <c r="H436" s="887"/>
      <c r="I436" s="887"/>
      <c r="J436" s="887"/>
      <c r="K436" s="887"/>
      <c r="L436" s="887"/>
      <c r="M436" s="887"/>
      <c r="N436" s="887"/>
      <c r="O436" s="887"/>
      <c r="P436" s="887"/>
    </row>
    <row r="437" spans="1:16" ht="15.75" customHeight="1" x14ac:dyDescent="0.2">
      <c r="A437" s="254" t="str">
        <f>ORÇ!A383</f>
        <v>13.5.5.2</v>
      </c>
      <c r="B437" s="1850" t="str">
        <f>ORÇ!D383</f>
        <v>ESCADA DE MARINHEIRO S/ PROTEÇÃO</v>
      </c>
      <c r="C437" s="1850"/>
      <c r="D437" s="1850"/>
      <c r="E437" s="1850"/>
      <c r="F437" s="1850"/>
      <c r="G437" s="1850"/>
      <c r="H437" s="1850"/>
      <c r="I437" s="1850"/>
      <c r="J437" s="1850"/>
      <c r="K437" s="1850"/>
      <c r="L437" s="1850"/>
      <c r="M437" s="1850"/>
      <c r="N437" s="202"/>
      <c r="O437" s="202"/>
      <c r="P437" s="202"/>
    </row>
    <row r="438" spans="1:16" s="266" customFormat="1" ht="15.75" customHeight="1" x14ac:dyDescent="0.2">
      <c r="A438" s="885"/>
      <c r="B438" s="888"/>
      <c r="C438" s="888"/>
      <c r="D438" s="888"/>
      <c r="E438" s="888"/>
      <c r="F438" s="888"/>
      <c r="G438" s="888"/>
      <c r="H438" s="888"/>
      <c r="I438" s="887"/>
      <c r="J438" s="887"/>
      <c r="K438" s="887"/>
      <c r="L438" s="887"/>
      <c r="M438" s="887"/>
      <c r="N438" s="887"/>
      <c r="O438" s="887"/>
      <c r="P438" s="887"/>
    </row>
    <row r="439" spans="1:16" s="266" customFormat="1" ht="14.25" customHeight="1" x14ac:dyDescent="0.2">
      <c r="A439" s="887"/>
      <c r="B439" s="892" t="s">
        <v>47</v>
      </c>
      <c r="C439" s="893">
        <v>4.13</v>
      </c>
      <c r="D439" s="894" t="s">
        <v>12</v>
      </c>
      <c r="E439" s="887"/>
      <c r="F439" s="887"/>
      <c r="G439" s="887"/>
      <c r="H439" s="887"/>
      <c r="I439" s="887"/>
      <c r="J439" s="887"/>
      <c r="K439" s="887"/>
      <c r="L439" s="887"/>
      <c r="M439" s="887"/>
      <c r="N439" s="887"/>
      <c r="O439" s="887"/>
      <c r="P439" s="887"/>
    </row>
    <row r="440" spans="1:16" s="266" customFormat="1" ht="14.25" customHeight="1" x14ac:dyDescent="0.2">
      <c r="A440" s="887"/>
      <c r="B440" s="887"/>
      <c r="C440" s="887"/>
      <c r="D440" s="887"/>
      <c r="E440" s="887"/>
      <c r="F440" s="887"/>
      <c r="G440" s="887"/>
      <c r="H440" s="887"/>
      <c r="I440" s="887"/>
      <c r="J440" s="887"/>
      <c r="K440" s="887"/>
      <c r="L440" s="887"/>
      <c r="M440" s="887"/>
      <c r="N440" s="887"/>
      <c r="O440" s="887"/>
      <c r="P440" s="887"/>
    </row>
    <row r="441" spans="1:16" ht="45" customHeight="1" x14ac:dyDescent="0.2">
      <c r="A441" s="254" t="str">
        <f>ORÇ!A384</f>
        <v>13.5.5.3</v>
      </c>
      <c r="B441" s="1850" t="str">
        <f>ORÇ!D384</f>
        <v>GUARDA-CORPO DE AÇO GALVANIZADO DE 1,10M DE ALTURA, MONTANTES TUBULARES DE 1.1/2 ESPAÇADOS DE 1,20M, TRAVESSA SUPERIOR DE 2, GRADIL FORMADO POR BARRAS CHATAS EM FERRO DE 32X4,8MM, FIXADO COM CHUMBADOR MECÂNICO. AF_04/2019_P</v>
      </c>
      <c r="C441" s="1850"/>
      <c r="D441" s="1850"/>
      <c r="E441" s="1850"/>
      <c r="F441" s="1850"/>
      <c r="G441" s="1850"/>
      <c r="H441" s="1850"/>
      <c r="I441" s="1850"/>
      <c r="J441" s="1850"/>
      <c r="K441" s="1850"/>
      <c r="L441" s="1850"/>
      <c r="M441" s="1850"/>
      <c r="N441" s="202"/>
      <c r="O441" s="202"/>
      <c r="P441" s="202"/>
    </row>
    <row r="442" spans="1:16" s="266" customFormat="1" ht="15.75" customHeight="1" x14ac:dyDescent="0.2">
      <c r="A442" s="885"/>
      <c r="B442" s="888"/>
      <c r="C442" s="888"/>
      <c r="D442" s="888"/>
      <c r="E442" s="888"/>
      <c r="F442" s="888"/>
      <c r="G442" s="888"/>
      <c r="H442" s="888"/>
      <c r="I442" s="887"/>
      <c r="J442" s="887"/>
      <c r="K442" s="887"/>
      <c r="L442" s="887"/>
      <c r="M442" s="887"/>
      <c r="N442" s="887"/>
      <c r="O442" s="887"/>
      <c r="P442" s="887"/>
    </row>
    <row r="443" spans="1:16" s="266" customFormat="1" ht="14.25" customHeight="1" x14ac:dyDescent="0.2">
      <c r="A443" s="887"/>
      <c r="B443" s="892" t="s">
        <v>47</v>
      </c>
      <c r="C443" s="893">
        <v>8.2899999999999991</v>
      </c>
      <c r="D443" s="894" t="s">
        <v>12</v>
      </c>
      <c r="E443" s="887"/>
      <c r="F443" s="887"/>
      <c r="G443" s="887"/>
      <c r="H443" s="887"/>
      <c r="I443" s="887"/>
      <c r="J443" s="887"/>
      <c r="K443" s="887"/>
      <c r="L443" s="887"/>
      <c r="M443" s="887"/>
      <c r="N443" s="887"/>
      <c r="O443" s="887"/>
      <c r="P443" s="887"/>
    </row>
    <row r="444" spans="1:16" s="266" customFormat="1" ht="14.25" customHeight="1" x14ac:dyDescent="0.2">
      <c r="A444" s="887"/>
      <c r="B444" s="887"/>
      <c r="C444" s="887"/>
      <c r="D444" s="887"/>
      <c r="E444" s="887"/>
      <c r="F444" s="887"/>
      <c r="G444" s="887"/>
      <c r="H444" s="887"/>
      <c r="I444" s="887"/>
      <c r="J444" s="887"/>
      <c r="K444" s="887"/>
      <c r="L444" s="887"/>
      <c r="M444" s="887"/>
      <c r="N444" s="887"/>
      <c r="O444" s="887"/>
      <c r="P444" s="887"/>
    </row>
    <row r="445" spans="1:16" ht="27.75" customHeight="1" x14ac:dyDescent="0.2">
      <c r="A445" s="254" t="str">
        <f>ORÇ!A385</f>
        <v>13.5.5.4</v>
      </c>
      <c r="B445" s="1850" t="str">
        <f>ORÇ!D385</f>
        <v>CURVA 90 GRAUS, PVC, SOLDÁVEL, DN  25 MM, INSTALADO EM RESERVAÇÃO DE ÁGUA DE EDIFICAÇÃO QUE POSSUA RESERVATÓRIO DE FIBRA/FIBROCIMENTO   FORNECIMENTO E INSTALAÇÃO. AF_06/2016</v>
      </c>
      <c r="C445" s="1850"/>
      <c r="D445" s="1850"/>
      <c r="E445" s="1850"/>
      <c r="F445" s="1850"/>
      <c r="G445" s="1850"/>
      <c r="H445" s="1850"/>
      <c r="I445" s="1850"/>
      <c r="J445" s="1850"/>
      <c r="K445" s="1850"/>
      <c r="L445" s="1850"/>
      <c r="M445" s="1850"/>
      <c r="N445" s="202"/>
      <c r="O445" s="202"/>
      <c r="P445" s="202"/>
    </row>
    <row r="446" spans="1:16" s="266" customFormat="1" ht="15.75" customHeight="1" x14ac:dyDescent="0.2">
      <c r="A446" s="885"/>
      <c r="B446" s="888"/>
      <c r="C446" s="888"/>
      <c r="D446" s="888"/>
      <c r="E446" s="888"/>
      <c r="F446" s="888"/>
      <c r="G446" s="888"/>
      <c r="H446" s="888"/>
      <c r="I446" s="887"/>
      <c r="J446" s="887"/>
      <c r="K446" s="887"/>
      <c r="L446" s="887"/>
      <c r="M446" s="887"/>
      <c r="N446" s="887"/>
      <c r="O446" s="887"/>
      <c r="P446" s="887"/>
    </row>
    <row r="447" spans="1:16" s="266" customFormat="1" ht="14.25" customHeight="1" x14ac:dyDescent="0.2">
      <c r="A447" s="887"/>
      <c r="B447" s="892" t="s">
        <v>47</v>
      </c>
      <c r="C447" s="893">
        <v>2</v>
      </c>
      <c r="D447" s="894" t="s">
        <v>668</v>
      </c>
      <c r="E447" s="887"/>
      <c r="F447" s="887"/>
      <c r="G447" s="887"/>
      <c r="H447" s="887"/>
      <c r="I447" s="887"/>
      <c r="J447" s="887"/>
      <c r="K447" s="887"/>
      <c r="L447" s="887"/>
      <c r="M447" s="887"/>
      <c r="N447" s="887"/>
      <c r="O447" s="887"/>
      <c r="P447" s="887"/>
    </row>
    <row r="448" spans="1:16" s="266" customFormat="1" ht="14.25" customHeight="1" x14ac:dyDescent="0.2">
      <c r="A448" s="887"/>
      <c r="B448" s="887"/>
      <c r="C448" s="887"/>
      <c r="D448" s="887"/>
      <c r="E448" s="887"/>
      <c r="F448" s="887"/>
      <c r="G448" s="887"/>
      <c r="H448" s="887"/>
      <c r="I448" s="887"/>
      <c r="J448" s="887"/>
      <c r="K448" s="887"/>
      <c r="L448" s="887"/>
      <c r="M448" s="887"/>
      <c r="N448" s="887"/>
      <c r="O448" s="887"/>
      <c r="P448" s="887"/>
    </row>
    <row r="449" spans="1:16" ht="15.75" customHeight="1" x14ac:dyDescent="0.2">
      <c r="A449" s="254" t="str">
        <f>ORÇ!A386</f>
        <v>13.5.5.5</v>
      </c>
      <c r="B449" s="1850" t="str">
        <f>ORÇ!D386</f>
        <v>ADAPTADOR LONGO PVC SR - 25MMX3/4"</v>
      </c>
      <c r="C449" s="1850"/>
      <c r="D449" s="1850"/>
      <c r="E449" s="1850"/>
      <c r="F449" s="1850"/>
      <c r="G449" s="1850"/>
      <c r="H449" s="1850"/>
      <c r="I449" s="1850"/>
      <c r="J449" s="1850"/>
      <c r="K449" s="1850"/>
      <c r="L449" s="1850"/>
      <c r="M449" s="1850"/>
      <c r="N449" s="202"/>
      <c r="O449" s="202"/>
      <c r="P449" s="202"/>
    </row>
    <row r="450" spans="1:16" s="266" customFormat="1" ht="15.75" customHeight="1" x14ac:dyDescent="0.2">
      <c r="A450" s="885"/>
      <c r="B450" s="1852"/>
      <c r="C450" s="1852"/>
      <c r="D450" s="1852"/>
      <c r="E450" s="1852"/>
      <c r="F450" s="1852"/>
      <c r="G450" s="1852"/>
      <c r="H450" s="1852"/>
      <c r="I450" s="887"/>
      <c r="J450" s="887"/>
      <c r="K450" s="887"/>
      <c r="L450" s="887"/>
      <c r="M450" s="887"/>
      <c r="N450" s="887"/>
      <c r="O450" s="887"/>
      <c r="P450" s="887"/>
    </row>
    <row r="451" spans="1:16" s="266" customFormat="1" ht="14.25" customHeight="1" x14ac:dyDescent="0.2">
      <c r="A451" s="887"/>
      <c r="B451" s="892" t="s">
        <v>47</v>
      </c>
      <c r="C451" s="893">
        <v>2</v>
      </c>
      <c r="D451" s="894" t="s">
        <v>668</v>
      </c>
      <c r="E451" s="887"/>
      <c r="F451" s="887"/>
      <c r="G451" s="887"/>
      <c r="H451" s="887"/>
      <c r="I451" s="887"/>
      <c r="J451" s="887"/>
      <c r="K451" s="887"/>
      <c r="L451" s="887"/>
      <c r="M451" s="887"/>
      <c r="N451" s="887"/>
      <c r="O451" s="887"/>
      <c r="P451" s="887"/>
    </row>
    <row r="452" spans="1:16" s="266" customFormat="1" ht="14.25" customHeight="1" x14ac:dyDescent="0.2">
      <c r="A452" s="887"/>
      <c r="B452" s="887"/>
      <c r="C452" s="887"/>
      <c r="D452" s="887"/>
      <c r="E452" s="887"/>
      <c r="F452" s="887"/>
      <c r="G452" s="887"/>
      <c r="H452" s="887"/>
      <c r="I452" s="887"/>
      <c r="J452" s="887"/>
      <c r="K452" s="887"/>
      <c r="L452" s="887"/>
      <c r="M452" s="887"/>
      <c r="N452" s="887"/>
      <c r="O452" s="887"/>
      <c r="P452" s="887"/>
    </row>
    <row r="453" spans="1:16" ht="32.25" customHeight="1" x14ac:dyDescent="0.2">
      <c r="A453" s="254" t="str">
        <f>ORÇ!A387</f>
        <v>13.5.5.6</v>
      </c>
      <c r="B453" s="1850" t="str">
        <f>ORÇ!D387</f>
        <v>LUVA SOLDÁVEL E COM ROSCA, PVC, SOLDÁVEL, DN 25MM X 3/4, INSTALADO EM RAMAL OU SUB-RAMAL DE ÁGUA - FORNECIMENTO E INSTALAÇÃO. AF_12/2014</v>
      </c>
      <c r="C453" s="1850"/>
      <c r="D453" s="1850"/>
      <c r="E453" s="1850"/>
      <c r="F453" s="1850"/>
      <c r="G453" s="1850"/>
      <c r="H453" s="1850"/>
      <c r="I453" s="1850"/>
      <c r="J453" s="1850"/>
      <c r="K453" s="1850"/>
      <c r="L453" s="1850"/>
      <c r="M453" s="1850"/>
      <c r="N453" s="202"/>
      <c r="O453" s="202"/>
      <c r="P453" s="202"/>
    </row>
    <row r="454" spans="1:16" s="266" customFormat="1" ht="15.75" customHeight="1" x14ac:dyDescent="0.2">
      <c r="A454" s="885"/>
      <c r="B454" s="1852"/>
      <c r="C454" s="1852"/>
      <c r="D454" s="1852"/>
      <c r="E454" s="1852"/>
      <c r="F454" s="1852"/>
      <c r="G454" s="1852"/>
      <c r="H454" s="1852"/>
      <c r="I454" s="887"/>
      <c r="J454" s="887"/>
      <c r="K454" s="887"/>
      <c r="L454" s="887"/>
      <c r="M454" s="887"/>
      <c r="N454" s="887"/>
      <c r="O454" s="887"/>
      <c r="P454" s="887"/>
    </row>
    <row r="455" spans="1:16" s="266" customFormat="1" ht="14.25" customHeight="1" x14ac:dyDescent="0.2">
      <c r="A455" s="887"/>
      <c r="B455" s="892" t="s">
        <v>47</v>
      </c>
      <c r="C455" s="893">
        <v>2</v>
      </c>
      <c r="D455" s="894" t="s">
        <v>668</v>
      </c>
      <c r="E455" s="887"/>
      <c r="F455" s="887"/>
      <c r="G455" s="887"/>
      <c r="H455" s="887"/>
      <c r="I455" s="887"/>
      <c r="J455" s="887"/>
      <c r="K455" s="887"/>
      <c r="L455" s="887"/>
      <c r="M455" s="887"/>
      <c r="N455" s="887"/>
      <c r="O455" s="887"/>
      <c r="P455" s="887"/>
    </row>
    <row r="456" spans="1:16" s="266" customFormat="1" ht="14.25" customHeight="1" x14ac:dyDescent="0.2">
      <c r="A456" s="887"/>
      <c r="B456" s="887"/>
      <c r="C456" s="887"/>
      <c r="D456" s="887"/>
      <c r="E456" s="887"/>
      <c r="F456" s="887"/>
      <c r="G456" s="887"/>
      <c r="H456" s="887"/>
      <c r="I456" s="887"/>
      <c r="J456" s="887"/>
      <c r="K456" s="887"/>
      <c r="L456" s="887"/>
      <c r="M456" s="887"/>
      <c r="N456" s="887"/>
      <c r="O456" s="887"/>
      <c r="P456" s="887"/>
    </row>
    <row r="457" spans="1:16" ht="15.75" customHeight="1" x14ac:dyDescent="0.2">
      <c r="A457" s="254" t="str">
        <f>ORÇ!A388</f>
        <v>13.5.5.7</v>
      </c>
      <c r="B457" s="1850" t="str">
        <f>ORÇ!D388</f>
        <v>TORNEIRA DE BOIA PARA CAIXA D'ÁGUA, ROSCÁVEL, 3/4" - FORNECIMENTO E INSTALAÇÃO. AF_08/2021</v>
      </c>
      <c r="C457" s="1850"/>
      <c r="D457" s="1850"/>
      <c r="E457" s="1850"/>
      <c r="F457" s="1850"/>
      <c r="G457" s="1850"/>
      <c r="H457" s="1850"/>
      <c r="I457" s="1850"/>
      <c r="J457" s="1850"/>
      <c r="K457" s="1850"/>
      <c r="L457" s="1850"/>
      <c r="M457" s="1850"/>
      <c r="N457" s="202"/>
      <c r="O457" s="202"/>
      <c r="P457" s="202"/>
    </row>
    <row r="458" spans="1:16" s="266" customFormat="1" ht="15.75" customHeight="1" x14ac:dyDescent="0.2">
      <c r="A458" s="885"/>
      <c r="B458" s="1852"/>
      <c r="C458" s="1852"/>
      <c r="D458" s="1852"/>
      <c r="E458" s="1852"/>
      <c r="F458" s="1852"/>
      <c r="G458" s="1852"/>
      <c r="H458" s="1852"/>
      <c r="I458" s="887"/>
      <c r="J458" s="887"/>
      <c r="K458" s="887"/>
      <c r="L458" s="887"/>
      <c r="M458" s="887"/>
      <c r="N458" s="887"/>
      <c r="O458" s="887"/>
      <c r="P458" s="887"/>
    </row>
    <row r="459" spans="1:16" s="266" customFormat="1" ht="14.25" customHeight="1" x14ac:dyDescent="0.2">
      <c r="A459" s="887"/>
      <c r="B459" s="892" t="s">
        <v>47</v>
      </c>
      <c r="C459" s="893">
        <v>1</v>
      </c>
      <c r="D459" s="894" t="s">
        <v>834</v>
      </c>
      <c r="E459" s="887"/>
      <c r="F459" s="887"/>
      <c r="G459" s="887"/>
      <c r="H459" s="887"/>
      <c r="I459" s="887"/>
      <c r="J459" s="887"/>
      <c r="K459" s="887"/>
      <c r="L459" s="887"/>
      <c r="M459" s="887"/>
      <c r="N459" s="887"/>
      <c r="O459" s="887"/>
      <c r="P459" s="887"/>
    </row>
    <row r="460" spans="1:16" s="266" customFormat="1" ht="14.25" customHeight="1" x14ac:dyDescent="0.2">
      <c r="A460" s="887"/>
      <c r="B460" s="887"/>
      <c r="C460" s="887"/>
      <c r="D460" s="887"/>
      <c r="E460" s="887"/>
      <c r="F460" s="887"/>
      <c r="G460" s="887"/>
      <c r="H460" s="887"/>
      <c r="I460" s="887"/>
      <c r="J460" s="887"/>
      <c r="K460" s="887"/>
      <c r="L460" s="887"/>
      <c r="M460" s="887"/>
      <c r="N460" s="887"/>
      <c r="O460" s="887"/>
      <c r="P460" s="887"/>
    </row>
    <row r="461" spans="1:16" ht="15.75" customHeight="1" x14ac:dyDescent="0.2">
      <c r="A461" s="254" t="str">
        <f>ORÇ!A389</f>
        <v>13.5.5.8</v>
      </c>
      <c r="B461" s="1850" t="str">
        <f>ORÇ!D389</f>
        <v>ADAPTADOR LONGO PVC SR - 32MMX1"</v>
      </c>
      <c r="C461" s="1850"/>
      <c r="D461" s="1850"/>
      <c r="E461" s="1850"/>
      <c r="F461" s="1850"/>
      <c r="G461" s="1850"/>
      <c r="H461" s="1850"/>
      <c r="I461" s="1850"/>
      <c r="J461" s="1850"/>
      <c r="K461" s="1850"/>
      <c r="L461" s="1850"/>
      <c r="M461" s="1850"/>
      <c r="N461" s="202"/>
      <c r="O461" s="202"/>
      <c r="P461" s="202"/>
    </row>
    <row r="462" spans="1:16" s="266" customFormat="1" ht="15.75" customHeight="1" x14ac:dyDescent="0.2">
      <c r="A462" s="885"/>
      <c r="B462" s="888"/>
      <c r="C462" s="888"/>
      <c r="D462" s="888"/>
      <c r="E462" s="888"/>
      <c r="F462" s="888"/>
      <c r="G462" s="888"/>
      <c r="H462" s="888"/>
      <c r="I462" s="887"/>
      <c r="J462" s="887"/>
      <c r="K462" s="887"/>
      <c r="L462" s="887"/>
      <c r="M462" s="887"/>
      <c r="N462" s="887"/>
      <c r="O462" s="887"/>
      <c r="P462" s="887"/>
    </row>
    <row r="463" spans="1:16" s="266" customFormat="1" x14ac:dyDescent="0.2">
      <c r="A463" s="885"/>
      <c r="B463" s="892" t="s">
        <v>47</v>
      </c>
      <c r="C463" s="893">
        <v>1</v>
      </c>
      <c r="D463" s="894" t="s">
        <v>834</v>
      </c>
      <c r="E463" s="888"/>
      <c r="F463" s="888"/>
      <c r="G463" s="888"/>
      <c r="H463" s="888"/>
      <c r="I463" s="887"/>
      <c r="J463" s="887"/>
      <c r="K463" s="887"/>
      <c r="L463" s="887"/>
      <c r="M463" s="887"/>
      <c r="N463" s="887"/>
      <c r="O463" s="887"/>
      <c r="P463" s="887"/>
    </row>
    <row r="464" spans="1:16" s="266" customFormat="1" ht="14.25" customHeight="1" x14ac:dyDescent="0.2">
      <c r="A464" s="887"/>
      <c r="B464" s="887"/>
      <c r="C464" s="887"/>
      <c r="D464" s="887"/>
      <c r="E464" s="887"/>
      <c r="F464" s="887"/>
      <c r="G464" s="887"/>
      <c r="H464" s="887"/>
      <c r="I464" s="887"/>
      <c r="J464" s="887"/>
      <c r="K464" s="887"/>
      <c r="L464" s="887"/>
      <c r="M464" s="887"/>
      <c r="N464" s="887"/>
      <c r="O464" s="887"/>
      <c r="P464" s="887"/>
    </row>
    <row r="465" spans="1:16" ht="15.75" customHeight="1" x14ac:dyDescent="0.2">
      <c r="A465" s="254" t="str">
        <f>ORÇ!A390</f>
        <v>13.5.5.9</v>
      </c>
      <c r="B465" s="1850" t="str">
        <f>ORÇ!D390</f>
        <v>ADAPTADOR LONGO PVC SR - 50MMX1 1/2"</v>
      </c>
      <c r="C465" s="1850"/>
      <c r="D465" s="1850"/>
      <c r="E465" s="1850"/>
      <c r="F465" s="1850"/>
      <c r="G465" s="1850"/>
      <c r="H465" s="1850"/>
      <c r="I465" s="1850"/>
      <c r="J465" s="1850"/>
      <c r="K465" s="1850"/>
      <c r="L465" s="1850"/>
      <c r="M465" s="1850"/>
      <c r="N465" s="202"/>
      <c r="O465" s="202"/>
      <c r="P465" s="202"/>
    </row>
    <row r="466" spans="1:16" s="266" customFormat="1" ht="15.75" customHeight="1" x14ac:dyDescent="0.2">
      <c r="A466" s="885"/>
      <c r="B466" s="888"/>
      <c r="C466" s="888"/>
      <c r="D466" s="888"/>
      <c r="E466" s="888"/>
      <c r="F466" s="888"/>
      <c r="G466" s="888"/>
      <c r="H466" s="888"/>
      <c r="I466" s="887"/>
      <c r="J466" s="887"/>
      <c r="K466" s="887"/>
      <c r="L466" s="887"/>
      <c r="M466" s="887"/>
      <c r="N466" s="887"/>
      <c r="O466" s="887"/>
      <c r="P466" s="887"/>
    </row>
    <row r="467" spans="1:16" s="266" customFormat="1" x14ac:dyDescent="0.2">
      <c r="A467" s="885"/>
      <c r="B467" s="892" t="s">
        <v>47</v>
      </c>
      <c r="C467" s="893">
        <v>1</v>
      </c>
      <c r="D467" s="894" t="s">
        <v>834</v>
      </c>
      <c r="E467" s="888"/>
      <c r="F467" s="888"/>
      <c r="G467" s="888"/>
      <c r="H467" s="888"/>
      <c r="I467" s="887"/>
      <c r="J467" s="887"/>
      <c r="K467" s="887"/>
      <c r="L467" s="887"/>
      <c r="M467" s="887"/>
      <c r="N467" s="887"/>
      <c r="O467" s="887"/>
      <c r="P467" s="887"/>
    </row>
    <row r="468" spans="1:16" s="266" customFormat="1" ht="14.25" customHeight="1" x14ac:dyDescent="0.2">
      <c r="A468" s="887"/>
      <c r="B468" s="887"/>
      <c r="C468" s="887"/>
      <c r="D468" s="887"/>
      <c r="E468" s="887"/>
      <c r="F468" s="887"/>
      <c r="G468" s="887"/>
      <c r="H468" s="887"/>
      <c r="I468" s="887"/>
      <c r="J468" s="887"/>
      <c r="K468" s="887"/>
      <c r="L468" s="887"/>
      <c r="M468" s="887"/>
      <c r="N468" s="887"/>
      <c r="O468" s="887"/>
      <c r="P468" s="887"/>
    </row>
    <row r="469" spans="1:16" ht="26.25" customHeight="1" x14ac:dyDescent="0.2">
      <c r="A469" s="254" t="str">
        <f>ORÇ!A391</f>
        <v>13.5.5.10</v>
      </c>
      <c r="B469" s="1850" t="str">
        <f>ORÇ!D391</f>
        <v>REGISTRO DE GAVETA BRUTO, LATÃO, ROSCÁVEL, 1 1/2", COM ACABAMENTO E CANOPLA CROMADOS - FORNECIMENTO E INSTALAÇÃO. AF_08/2021</v>
      </c>
      <c r="C469" s="1850"/>
      <c r="D469" s="1850"/>
      <c r="E469" s="1850"/>
      <c r="F469" s="1850"/>
      <c r="G469" s="1850"/>
      <c r="H469" s="1850"/>
      <c r="I469" s="1850"/>
      <c r="J469" s="1850"/>
      <c r="K469" s="1850"/>
      <c r="L469" s="1850"/>
      <c r="M469" s="1850"/>
      <c r="N469" s="202"/>
      <c r="O469" s="202"/>
      <c r="P469" s="202"/>
    </row>
    <row r="470" spans="1:16" s="266" customFormat="1" ht="15.75" customHeight="1" x14ac:dyDescent="0.2">
      <c r="A470" s="885"/>
      <c r="B470" s="888"/>
      <c r="C470" s="888"/>
      <c r="D470" s="888"/>
      <c r="E470" s="888"/>
      <c r="F470" s="888"/>
      <c r="G470" s="888"/>
      <c r="H470" s="888"/>
      <c r="I470" s="887"/>
      <c r="J470" s="887"/>
      <c r="K470" s="887"/>
      <c r="L470" s="887"/>
      <c r="M470" s="887"/>
      <c r="N470" s="887"/>
      <c r="O470" s="887"/>
      <c r="P470" s="887"/>
    </row>
    <row r="471" spans="1:16" s="266" customFormat="1" x14ac:dyDescent="0.2">
      <c r="A471" s="885"/>
      <c r="B471" s="892" t="s">
        <v>47</v>
      </c>
      <c r="C471" s="893">
        <v>1</v>
      </c>
      <c r="D471" s="894" t="s">
        <v>834</v>
      </c>
      <c r="E471" s="888"/>
      <c r="F471" s="888"/>
      <c r="G471" s="888"/>
      <c r="H471" s="888"/>
      <c r="I471" s="887"/>
      <c r="J471" s="887"/>
      <c r="K471" s="887"/>
      <c r="L471" s="887"/>
      <c r="M471" s="887"/>
      <c r="N471" s="887"/>
      <c r="O471" s="887"/>
      <c r="P471" s="887"/>
    </row>
    <row r="472" spans="1:16" s="266" customFormat="1" ht="14.25" customHeight="1" x14ac:dyDescent="0.2">
      <c r="A472" s="887"/>
      <c r="B472" s="887"/>
      <c r="C472" s="887"/>
      <c r="D472" s="887"/>
      <c r="E472" s="887"/>
      <c r="F472" s="887"/>
      <c r="G472" s="887"/>
      <c r="H472" s="887"/>
      <c r="I472" s="887"/>
      <c r="J472" s="887"/>
      <c r="K472" s="887"/>
      <c r="L472" s="887"/>
      <c r="M472" s="887"/>
      <c r="N472" s="887"/>
      <c r="O472" s="887"/>
      <c r="P472" s="887"/>
    </row>
    <row r="473" spans="1:16" ht="42" customHeight="1" x14ac:dyDescent="0.2">
      <c r="A473" s="254" t="str">
        <f>ORÇ!A392</f>
        <v>13.5.5.11</v>
      </c>
      <c r="B473" s="1850" t="str">
        <f>ORÇ!D392</f>
        <v>ADAPTADOR CURTO COM BOLSA E ROSCA PARA REGISTRO, PVC, SOLDÁVEL, DN 50 MM X 1 1/2 , INSTALADO EM RESERVAÇÃO DE ÁGUA DE EDIFICAÇÃO QUE POSSUA RESERVATÓRIO DE FIBRA/FIBROCIMENTO   FORNECIMENTO E INSTALAÇÃO. AF_06/2016</v>
      </c>
      <c r="C473" s="1850"/>
      <c r="D473" s="1850"/>
      <c r="E473" s="1850"/>
      <c r="F473" s="1850"/>
      <c r="G473" s="1850"/>
      <c r="H473" s="1850"/>
      <c r="I473" s="1850"/>
      <c r="J473" s="1850"/>
      <c r="K473" s="1850"/>
      <c r="L473" s="1850"/>
      <c r="M473" s="1850"/>
      <c r="N473" s="202"/>
      <c r="O473" s="202"/>
      <c r="P473" s="202"/>
    </row>
    <row r="474" spans="1:16" s="266" customFormat="1" ht="15.75" customHeight="1" x14ac:dyDescent="0.2">
      <c r="A474" s="885"/>
      <c r="B474" s="888"/>
      <c r="C474" s="888"/>
      <c r="D474" s="888"/>
      <c r="E474" s="888"/>
      <c r="F474" s="888"/>
      <c r="G474" s="888"/>
      <c r="H474" s="888"/>
      <c r="I474" s="887"/>
      <c r="J474" s="887"/>
      <c r="K474" s="887"/>
      <c r="L474" s="887"/>
      <c r="M474" s="887"/>
      <c r="N474" s="887"/>
      <c r="O474" s="887"/>
      <c r="P474" s="887"/>
    </row>
    <row r="475" spans="1:16" s="266" customFormat="1" x14ac:dyDescent="0.2">
      <c r="A475" s="885"/>
      <c r="B475" s="892" t="s">
        <v>47</v>
      </c>
      <c r="C475" s="893">
        <v>2</v>
      </c>
      <c r="D475" s="894" t="s">
        <v>668</v>
      </c>
      <c r="E475" s="888"/>
      <c r="F475" s="888"/>
      <c r="G475" s="888"/>
      <c r="H475" s="888"/>
      <c r="I475" s="887"/>
      <c r="J475" s="887"/>
      <c r="K475" s="887"/>
      <c r="L475" s="887"/>
      <c r="M475" s="887"/>
      <c r="N475" s="887"/>
      <c r="O475" s="887"/>
      <c r="P475" s="887"/>
    </row>
    <row r="476" spans="1:16" s="266" customFormat="1" ht="14.25" customHeight="1" x14ac:dyDescent="0.2">
      <c r="A476" s="887"/>
      <c r="B476" s="887"/>
      <c r="C476" s="887"/>
      <c r="D476" s="887"/>
      <c r="E476" s="887"/>
      <c r="F476" s="887"/>
      <c r="G476" s="887"/>
      <c r="H476" s="887"/>
      <c r="I476" s="887"/>
      <c r="J476" s="887"/>
      <c r="K476" s="887"/>
      <c r="L476" s="887"/>
      <c r="M476" s="887"/>
      <c r="N476" s="887"/>
      <c r="O476" s="887"/>
      <c r="P476" s="887"/>
    </row>
    <row r="477" spans="1:16" ht="26.25" customHeight="1" x14ac:dyDescent="0.2">
      <c r="A477" s="254" t="str">
        <f>ORÇ!A393</f>
        <v>13.5.5.12</v>
      </c>
      <c r="B477" s="1850" t="str">
        <f>ORÇ!D393</f>
        <v>CURVA 90 GRAUS, PVC, SOLDÁVEL, DN 50 MM, INSTALADO EM RESERVAÇÃO DE ÁGUA DE EDIFICAÇÃO QUE POSSUA RESERVATÓRIO DE FIBRA/FIBROCIMENTO   FORNECIMENTO E INSTALAÇÃO. AF_06/2016</v>
      </c>
      <c r="C477" s="1850"/>
      <c r="D477" s="1850"/>
      <c r="E477" s="1850"/>
      <c r="F477" s="1850"/>
      <c r="G477" s="1850"/>
      <c r="H477" s="1850"/>
      <c r="I477" s="1850"/>
      <c r="J477" s="1850"/>
      <c r="K477" s="1850"/>
      <c r="L477" s="1850"/>
      <c r="M477" s="1850"/>
      <c r="N477" s="202"/>
      <c r="O477" s="202"/>
      <c r="P477" s="202"/>
    </row>
    <row r="478" spans="1:16" s="266" customFormat="1" ht="15.75" customHeight="1" x14ac:dyDescent="0.2">
      <c r="A478" s="885"/>
      <c r="B478" s="888"/>
      <c r="C478" s="888"/>
      <c r="D478" s="888"/>
      <c r="E478" s="888"/>
      <c r="F478" s="888"/>
      <c r="G478" s="888"/>
      <c r="H478" s="888"/>
      <c r="I478" s="887"/>
      <c r="J478" s="887"/>
      <c r="K478" s="887"/>
      <c r="L478" s="887"/>
      <c r="M478" s="887"/>
      <c r="N478" s="887"/>
      <c r="O478" s="887"/>
      <c r="P478" s="887"/>
    </row>
    <row r="479" spans="1:16" s="266" customFormat="1" x14ac:dyDescent="0.2">
      <c r="A479" s="885"/>
      <c r="B479" s="892" t="s">
        <v>47</v>
      </c>
      <c r="C479" s="893">
        <v>2</v>
      </c>
      <c r="D479" s="894" t="s">
        <v>668</v>
      </c>
      <c r="E479" s="888"/>
      <c r="F479" s="888"/>
      <c r="G479" s="888"/>
      <c r="H479" s="888"/>
      <c r="I479" s="887"/>
      <c r="J479" s="887"/>
      <c r="K479" s="887"/>
      <c r="L479" s="887"/>
      <c r="M479" s="887"/>
      <c r="N479" s="887"/>
      <c r="O479" s="887"/>
      <c r="P479" s="887"/>
    </row>
    <row r="480" spans="1:16" s="266" customFormat="1" ht="14.25" customHeight="1" x14ac:dyDescent="0.2">
      <c r="A480" s="887"/>
      <c r="B480" s="887"/>
      <c r="C480" s="887"/>
      <c r="D480" s="887"/>
      <c r="E480" s="887"/>
      <c r="F480" s="887"/>
      <c r="G480" s="887"/>
      <c r="H480" s="887"/>
      <c r="I480" s="887"/>
      <c r="J480" s="887"/>
      <c r="K480" s="887"/>
      <c r="L480" s="887"/>
      <c r="M480" s="887"/>
      <c r="N480" s="887"/>
      <c r="O480" s="887"/>
      <c r="P480" s="887"/>
    </row>
    <row r="481" spans="1:16" ht="15.75" customHeight="1" x14ac:dyDescent="0.2">
      <c r="A481" s="254" t="str">
        <f>ORÇ!A394</f>
        <v>13.5.5.13</v>
      </c>
      <c r="B481" s="1850" t="str">
        <f>ORÇ!D394</f>
        <v>TE SOLDAVEL, PVC, 90 GRAUS, 50 MM. FORNECIMENTO E INSTALAÇÃO.</v>
      </c>
      <c r="C481" s="1850"/>
      <c r="D481" s="1850"/>
      <c r="E481" s="1850"/>
      <c r="F481" s="1850"/>
      <c r="G481" s="1850"/>
      <c r="H481" s="1850"/>
      <c r="I481" s="1850"/>
      <c r="J481" s="1850"/>
      <c r="K481" s="1850"/>
      <c r="L481" s="1850"/>
      <c r="M481" s="1850"/>
      <c r="N481" s="202"/>
      <c r="O481" s="202"/>
      <c r="P481" s="202"/>
    </row>
    <row r="482" spans="1:16" s="266" customFormat="1" ht="15.75" customHeight="1" x14ac:dyDescent="0.2">
      <c r="A482" s="885"/>
      <c r="B482" s="888"/>
      <c r="C482" s="888"/>
      <c r="D482" s="888"/>
      <c r="E482" s="888"/>
      <c r="F482" s="888"/>
      <c r="G482" s="888"/>
      <c r="H482" s="888"/>
      <c r="I482" s="887"/>
      <c r="J482" s="887"/>
      <c r="K482" s="887"/>
      <c r="L482" s="887"/>
      <c r="M482" s="887"/>
      <c r="N482" s="887"/>
      <c r="O482" s="887"/>
      <c r="P482" s="887"/>
    </row>
    <row r="483" spans="1:16" s="266" customFormat="1" x14ac:dyDescent="0.2">
      <c r="A483" s="885"/>
      <c r="B483" s="892" t="s">
        <v>47</v>
      </c>
      <c r="C483" s="893">
        <v>1</v>
      </c>
      <c r="D483" s="894" t="s">
        <v>834</v>
      </c>
      <c r="E483" s="888"/>
      <c r="F483" s="888"/>
      <c r="G483" s="888"/>
      <c r="H483" s="888"/>
      <c r="I483" s="887"/>
      <c r="J483" s="887"/>
      <c r="K483" s="887"/>
      <c r="L483" s="887"/>
      <c r="M483" s="887"/>
      <c r="N483" s="887"/>
      <c r="O483" s="887"/>
      <c r="P483" s="887"/>
    </row>
    <row r="484" spans="1:16" s="266" customFormat="1" ht="14.25" customHeight="1" x14ac:dyDescent="0.2">
      <c r="A484" s="887"/>
      <c r="B484" s="887"/>
      <c r="C484" s="887"/>
      <c r="D484" s="887"/>
      <c r="E484" s="887"/>
      <c r="F484" s="887"/>
      <c r="G484" s="887"/>
      <c r="H484" s="887"/>
      <c r="I484" s="887"/>
      <c r="J484" s="887"/>
      <c r="K484" s="887"/>
      <c r="L484" s="887"/>
      <c r="M484" s="887"/>
      <c r="N484" s="887"/>
      <c r="O484" s="887"/>
      <c r="P484" s="887"/>
    </row>
    <row r="485" spans="1:16" ht="27.75" customHeight="1" x14ac:dyDescent="0.2">
      <c r="A485" s="254" t="str">
        <f>ORÇ!A395</f>
        <v>13.5.5.14</v>
      </c>
      <c r="B485" s="1850" t="str">
        <f>ORÇ!D395</f>
        <v>CURVA 90 GRAUS, PVC, SOLDÁVEL, DN  25 MM, INSTALADO EM RESERVAÇÃO DE ÁGUA DE EDIFICAÇÃO QUE POSSUA RESERVATÓRIO DE FIBRA/FIBROCIMENTO FORNECIMENTO E INSTALAÇÃO. AF_06/2016</v>
      </c>
      <c r="C485" s="1850"/>
      <c r="D485" s="1850"/>
      <c r="E485" s="1850"/>
      <c r="F485" s="1850"/>
      <c r="G485" s="1850"/>
      <c r="H485" s="1850"/>
      <c r="I485" s="1850"/>
      <c r="J485" s="1850"/>
      <c r="K485" s="1850"/>
      <c r="L485" s="1850"/>
      <c r="M485" s="1850"/>
      <c r="N485" s="202"/>
      <c r="O485" s="202"/>
      <c r="P485" s="202"/>
    </row>
    <row r="486" spans="1:16" s="266" customFormat="1" ht="15.75" customHeight="1" x14ac:dyDescent="0.2">
      <c r="A486" s="885"/>
      <c r="B486" s="888"/>
      <c r="C486" s="888"/>
      <c r="D486" s="888"/>
      <c r="E486" s="888"/>
      <c r="F486" s="888"/>
      <c r="G486" s="888"/>
      <c r="H486" s="888"/>
      <c r="I486" s="887"/>
      <c r="J486" s="887"/>
      <c r="K486" s="887"/>
      <c r="L486" s="887"/>
      <c r="M486" s="887"/>
      <c r="N486" s="887"/>
      <c r="O486" s="887"/>
      <c r="P486" s="887"/>
    </row>
    <row r="487" spans="1:16" s="266" customFormat="1" x14ac:dyDescent="0.2">
      <c r="A487" s="885"/>
      <c r="B487" s="892" t="s">
        <v>47</v>
      </c>
      <c r="C487" s="893">
        <v>2</v>
      </c>
      <c r="D487" s="894" t="s">
        <v>668</v>
      </c>
      <c r="E487" s="888"/>
      <c r="F487" s="888"/>
      <c r="G487" s="888"/>
      <c r="H487" s="888"/>
      <c r="I487" s="887"/>
      <c r="J487" s="887"/>
      <c r="K487" s="887"/>
      <c r="L487" s="887"/>
      <c r="M487" s="887"/>
      <c r="N487" s="887"/>
      <c r="O487" s="887"/>
      <c r="P487" s="887"/>
    </row>
    <row r="488" spans="1:16" s="266" customFormat="1" ht="14.25" customHeight="1" x14ac:dyDescent="0.2">
      <c r="A488" s="887"/>
      <c r="B488" s="887"/>
      <c r="C488" s="887"/>
      <c r="D488" s="887"/>
      <c r="E488" s="887"/>
      <c r="F488" s="887"/>
      <c r="G488" s="887"/>
      <c r="H488" s="887"/>
      <c r="I488" s="887"/>
      <c r="J488" s="887"/>
      <c r="K488" s="887"/>
      <c r="L488" s="887"/>
      <c r="M488" s="887"/>
      <c r="N488" s="887"/>
      <c r="O488" s="887"/>
      <c r="P488" s="887"/>
    </row>
    <row r="489" spans="1:16" ht="21" customHeight="1" x14ac:dyDescent="0.2">
      <c r="A489" s="254" t="str">
        <f>ORÇ!A396</f>
        <v>13.5.5.15</v>
      </c>
      <c r="B489" s="1850" t="str">
        <f>ORÇ!D396</f>
        <v>REGISTRO DE GAVETA S/ CANOPLA -  3/4"</v>
      </c>
      <c r="C489" s="1850"/>
      <c r="D489" s="1850"/>
      <c r="E489" s="1850"/>
      <c r="F489" s="1850"/>
      <c r="G489" s="1850"/>
      <c r="H489" s="1850"/>
      <c r="I489" s="1850"/>
      <c r="J489" s="1850"/>
      <c r="K489" s="1850"/>
      <c r="L489" s="1850"/>
      <c r="M489" s="1850"/>
      <c r="N489" s="202"/>
      <c r="O489" s="202"/>
      <c r="P489" s="202"/>
    </row>
    <row r="490" spans="1:16" s="266" customFormat="1" ht="15.75" customHeight="1" x14ac:dyDescent="0.2">
      <c r="A490" s="885"/>
      <c r="B490" s="1852"/>
      <c r="C490" s="1852"/>
      <c r="D490" s="1852"/>
      <c r="E490" s="1852"/>
      <c r="F490" s="1852"/>
      <c r="G490" s="1852"/>
      <c r="H490" s="1852"/>
      <c r="I490" s="887"/>
      <c r="J490" s="887"/>
      <c r="K490" s="887"/>
      <c r="L490" s="887"/>
      <c r="M490" s="887"/>
      <c r="N490" s="887"/>
      <c r="O490" s="887"/>
      <c r="P490" s="887"/>
    </row>
    <row r="491" spans="1:16" s="266" customFormat="1" x14ac:dyDescent="0.2">
      <c r="A491" s="885"/>
      <c r="B491" s="892" t="s">
        <v>47</v>
      </c>
      <c r="C491" s="893">
        <v>1</v>
      </c>
      <c r="D491" s="894" t="s">
        <v>834</v>
      </c>
      <c r="E491" s="888"/>
      <c r="F491" s="888"/>
      <c r="G491" s="888"/>
      <c r="H491" s="888"/>
      <c r="I491" s="887"/>
      <c r="J491" s="887"/>
      <c r="K491" s="887"/>
      <c r="L491" s="887"/>
      <c r="M491" s="887"/>
      <c r="N491" s="887"/>
      <c r="O491" s="887"/>
      <c r="P491" s="887"/>
    </row>
    <row r="492" spans="1:16" s="266" customFormat="1" ht="14.25" customHeight="1" x14ac:dyDescent="0.2">
      <c r="A492" s="887"/>
      <c r="B492" s="887"/>
      <c r="C492" s="887"/>
      <c r="D492" s="887"/>
      <c r="E492" s="887"/>
      <c r="F492" s="887"/>
      <c r="G492" s="887"/>
      <c r="H492" s="887"/>
      <c r="I492" s="887"/>
      <c r="J492" s="887"/>
      <c r="K492" s="887"/>
      <c r="L492" s="887"/>
      <c r="M492" s="887"/>
      <c r="N492" s="887"/>
      <c r="O492" s="887"/>
      <c r="P492" s="887"/>
    </row>
    <row r="493" spans="1:16" ht="40.5" customHeight="1" x14ac:dyDescent="0.2">
      <c r="A493" s="254" t="str">
        <f>ORÇ!A397</f>
        <v>13.5.5.16</v>
      </c>
      <c r="B493" s="1850" t="str">
        <f>ORÇ!D397</f>
        <v>ADAPTADOR CURTO COM BOLSA E ROSCA PARA REGISTRO, PVC, SOLDÁVEL, DN  25 MM X 3/4 , INSTALADO EM RESERVAÇÃO DE ÁGUA DE EDIFICAÇÃO QUE POSSUA RESERVATÓRIO DE FIBRA/FIBROCIMENTO   FORNECIMENTO E INSTALAÇÃO. AF_06/2016</v>
      </c>
      <c r="C493" s="1850"/>
      <c r="D493" s="1850"/>
      <c r="E493" s="1850"/>
      <c r="F493" s="1850"/>
      <c r="G493" s="1850"/>
      <c r="H493" s="1850"/>
      <c r="I493" s="1850"/>
      <c r="J493" s="1850"/>
      <c r="K493" s="1850"/>
      <c r="L493" s="1850"/>
      <c r="M493" s="1850"/>
      <c r="N493" s="202"/>
      <c r="O493" s="202"/>
      <c r="P493" s="202"/>
    </row>
    <row r="494" spans="1:16" s="266" customFormat="1" ht="15.75" customHeight="1" x14ac:dyDescent="0.2">
      <c r="A494" s="885"/>
      <c r="B494" s="1852"/>
      <c r="C494" s="1852"/>
      <c r="D494" s="1852"/>
      <c r="E494" s="1852"/>
      <c r="F494" s="1852"/>
      <c r="G494" s="1852"/>
      <c r="H494" s="1852"/>
      <c r="I494" s="887"/>
      <c r="J494" s="887"/>
      <c r="K494" s="887"/>
      <c r="L494" s="887"/>
      <c r="M494" s="887"/>
      <c r="N494" s="887"/>
      <c r="O494" s="887"/>
      <c r="P494" s="887"/>
    </row>
    <row r="495" spans="1:16" s="266" customFormat="1" x14ac:dyDescent="0.2">
      <c r="A495" s="885"/>
      <c r="B495" s="892" t="s">
        <v>47</v>
      </c>
      <c r="C495" s="893">
        <v>2</v>
      </c>
      <c r="D495" s="894" t="s">
        <v>668</v>
      </c>
      <c r="E495" s="888"/>
      <c r="F495" s="888"/>
      <c r="G495" s="888"/>
      <c r="H495" s="888"/>
      <c r="I495" s="887"/>
      <c r="J495" s="887"/>
      <c r="K495" s="887"/>
      <c r="L495" s="887"/>
      <c r="M495" s="887"/>
      <c r="N495" s="887"/>
      <c r="O495" s="887"/>
      <c r="P495" s="887"/>
    </row>
    <row r="496" spans="1:16" s="266" customFormat="1" ht="14.25" customHeight="1" x14ac:dyDescent="0.2">
      <c r="A496" s="887"/>
      <c r="B496" s="887"/>
      <c r="C496" s="887"/>
      <c r="D496" s="887"/>
      <c r="E496" s="887"/>
      <c r="F496" s="887"/>
      <c r="G496" s="887"/>
      <c r="H496" s="887"/>
      <c r="I496" s="887"/>
      <c r="J496" s="887"/>
      <c r="K496" s="887"/>
      <c r="L496" s="887"/>
      <c r="M496" s="887"/>
      <c r="N496" s="887"/>
      <c r="O496" s="887"/>
      <c r="P496" s="887"/>
    </row>
    <row r="497" spans="1:16" ht="15.75" customHeight="1" x14ac:dyDescent="0.2">
      <c r="A497" s="254" t="str">
        <f>ORÇ!A398</f>
        <v>13.5.5.17</v>
      </c>
      <c r="B497" s="1850" t="str">
        <f>ORÇ!D398</f>
        <v>TÊ NORMAL, PPR, DN 90 MM, CLASSE PN 25, INSTALADO EM PRUMADA DE ÁGUA  FORNECIMENTO E INSTALAÇÃO . AF_06/2015</v>
      </c>
      <c r="C497" s="1850"/>
      <c r="D497" s="1850"/>
      <c r="E497" s="1850"/>
      <c r="F497" s="1850"/>
      <c r="G497" s="1850"/>
      <c r="H497" s="1850"/>
      <c r="I497" s="1850"/>
      <c r="J497" s="1850"/>
      <c r="K497" s="1850"/>
      <c r="L497" s="1850"/>
      <c r="M497" s="1850"/>
      <c r="N497" s="202"/>
      <c r="O497" s="202"/>
      <c r="P497" s="202"/>
    </row>
    <row r="498" spans="1:16" s="266" customFormat="1" ht="15.75" customHeight="1" x14ac:dyDescent="0.2">
      <c r="A498" s="885"/>
      <c r="B498" s="1852"/>
      <c r="C498" s="1852"/>
      <c r="D498" s="1852"/>
      <c r="E498" s="1852"/>
      <c r="F498" s="1852"/>
      <c r="G498" s="1852"/>
      <c r="H498" s="1852"/>
      <c r="I498" s="887"/>
      <c r="J498" s="887"/>
      <c r="K498" s="887"/>
      <c r="L498" s="887"/>
      <c r="M498" s="887"/>
      <c r="N498" s="887"/>
      <c r="O498" s="887"/>
      <c r="P498" s="887"/>
    </row>
    <row r="499" spans="1:16" s="266" customFormat="1" x14ac:dyDescent="0.2">
      <c r="A499" s="885"/>
      <c r="B499" s="892" t="s">
        <v>47</v>
      </c>
      <c r="C499" s="893">
        <v>1</v>
      </c>
      <c r="D499" s="894" t="s">
        <v>834</v>
      </c>
      <c r="E499" s="888"/>
      <c r="F499" s="888"/>
      <c r="G499" s="888"/>
      <c r="H499" s="888"/>
      <c r="I499" s="887"/>
      <c r="J499" s="887"/>
      <c r="K499" s="887"/>
      <c r="L499" s="887"/>
      <c r="M499" s="887"/>
      <c r="N499" s="887"/>
      <c r="O499" s="887"/>
      <c r="P499" s="887"/>
    </row>
    <row r="500" spans="1:16" s="266" customFormat="1" ht="14.25" customHeight="1" x14ac:dyDescent="0.2">
      <c r="A500" s="887"/>
      <c r="B500" s="887"/>
      <c r="C500" s="887"/>
      <c r="D500" s="887"/>
      <c r="E500" s="887"/>
      <c r="F500" s="887"/>
      <c r="G500" s="887"/>
      <c r="H500" s="887"/>
      <c r="I500" s="887"/>
      <c r="J500" s="887"/>
      <c r="K500" s="887"/>
      <c r="L500" s="887"/>
      <c r="M500" s="887"/>
      <c r="N500" s="887"/>
      <c r="O500" s="887"/>
      <c r="P500" s="887"/>
    </row>
    <row r="501" spans="1:16" s="266" customFormat="1" ht="29.25" customHeight="1" x14ac:dyDescent="0.2">
      <c r="A501" s="254" t="str">
        <f>ORÇ!A399</f>
        <v>13.5.5.18</v>
      </c>
      <c r="B501" s="1850" t="str">
        <f>ORÇ!D399</f>
        <v>TUBO, PVC, SOLDÁVEL, DN  25 MM, INSTALADO EM RESERVAÇÃO DE ÁGUA DE EDIFICAÇÃO QUE POSSUA RESERVATÓRIO DE FIBRA/FIBROCIMENTO   FORNECIMENTO E INSTALAÇÃO. AF_06/2016</v>
      </c>
      <c r="C501" s="1850"/>
      <c r="D501" s="1850"/>
      <c r="E501" s="1850"/>
      <c r="F501" s="1850"/>
      <c r="G501" s="1850"/>
      <c r="H501" s="1850"/>
      <c r="I501" s="1850"/>
      <c r="J501" s="1850"/>
      <c r="K501" s="1850"/>
      <c r="L501" s="1850"/>
      <c r="M501" s="1850"/>
      <c r="N501" s="202"/>
      <c r="O501" s="202"/>
      <c r="P501" s="202"/>
    </row>
    <row r="502" spans="1:16" s="266" customFormat="1" ht="15.75" customHeight="1" x14ac:dyDescent="0.2">
      <c r="A502" s="885"/>
      <c r="B502" s="1852"/>
      <c r="C502" s="1852"/>
      <c r="D502" s="1852"/>
      <c r="E502" s="1852"/>
      <c r="F502" s="1852"/>
      <c r="G502" s="1852"/>
      <c r="H502" s="1852"/>
      <c r="I502" s="887"/>
      <c r="J502" s="887"/>
      <c r="K502" s="887"/>
      <c r="L502" s="887"/>
      <c r="M502" s="887"/>
      <c r="N502" s="887"/>
      <c r="O502" s="887"/>
      <c r="P502" s="887"/>
    </row>
    <row r="503" spans="1:16" s="266" customFormat="1" x14ac:dyDescent="0.2">
      <c r="A503" s="885"/>
      <c r="B503" s="892" t="s">
        <v>47</v>
      </c>
      <c r="C503" s="893">
        <v>21.14</v>
      </c>
      <c r="D503" s="894" t="s">
        <v>12</v>
      </c>
      <c r="E503" s="888"/>
      <c r="F503" s="888"/>
      <c r="G503" s="888"/>
      <c r="H503" s="888"/>
      <c r="I503" s="887"/>
      <c r="J503" s="887"/>
      <c r="K503" s="887"/>
      <c r="L503" s="887"/>
      <c r="M503" s="887"/>
      <c r="N503" s="887"/>
      <c r="O503" s="887"/>
      <c r="P503" s="887"/>
    </row>
    <row r="504" spans="1:16" s="266" customFormat="1" ht="14.25" customHeight="1" x14ac:dyDescent="0.2">
      <c r="A504" s="887"/>
      <c r="B504" s="887"/>
      <c r="C504" s="887"/>
      <c r="D504" s="887"/>
      <c r="E504" s="887"/>
      <c r="F504" s="887"/>
      <c r="G504" s="887"/>
      <c r="H504" s="887"/>
      <c r="I504" s="887"/>
      <c r="J504" s="887"/>
      <c r="K504" s="887"/>
      <c r="L504" s="887"/>
      <c r="M504" s="887"/>
      <c r="N504" s="887"/>
      <c r="O504" s="887"/>
      <c r="P504" s="887"/>
    </row>
    <row r="505" spans="1:16" s="266" customFormat="1" ht="29.25" customHeight="1" x14ac:dyDescent="0.2">
      <c r="A505" s="254" t="str">
        <f>ORÇ!A400</f>
        <v>13.5.5.19</v>
      </c>
      <c r="B505" s="1850" t="str">
        <f>ORÇ!D400</f>
        <v>TUBO, PVC, SOLDÁVEL, DN 32MM, INSTALADO EM RAMAL DE DISTRIBUIÇÃO DE ÁGUA - FORNECIMENTO E INSTALAÇÃO. AF_12/2014</v>
      </c>
      <c r="C505" s="1850"/>
      <c r="D505" s="1850"/>
      <c r="E505" s="1850"/>
      <c r="F505" s="1850"/>
      <c r="G505" s="1850"/>
      <c r="H505" s="1850"/>
      <c r="I505" s="1850"/>
      <c r="J505" s="1850"/>
      <c r="K505" s="1850"/>
      <c r="L505" s="1850"/>
      <c r="M505" s="1850"/>
      <c r="N505" s="202"/>
      <c r="O505" s="202"/>
      <c r="P505" s="202"/>
    </row>
    <row r="506" spans="1:16" s="266" customFormat="1" ht="15.75" customHeight="1" x14ac:dyDescent="0.2">
      <c r="A506" s="885"/>
      <c r="B506" s="1852"/>
      <c r="C506" s="1852"/>
      <c r="D506" s="1852"/>
      <c r="E506" s="1852"/>
      <c r="F506" s="1852"/>
      <c r="G506" s="1852"/>
      <c r="H506" s="1852"/>
      <c r="I506" s="887"/>
      <c r="J506" s="887"/>
      <c r="K506" s="887"/>
      <c r="L506" s="887"/>
      <c r="M506" s="887"/>
      <c r="N506" s="887"/>
      <c r="O506" s="887"/>
      <c r="P506" s="887"/>
    </row>
    <row r="507" spans="1:16" s="266" customFormat="1" x14ac:dyDescent="0.2">
      <c r="A507" s="885"/>
      <c r="B507" s="892" t="s">
        <v>47</v>
      </c>
      <c r="C507" s="893">
        <v>14.8</v>
      </c>
      <c r="D507" s="894" t="s">
        <v>12</v>
      </c>
      <c r="E507" s="888"/>
      <c r="F507" s="888"/>
      <c r="G507" s="888"/>
      <c r="H507" s="888"/>
      <c r="I507" s="887"/>
      <c r="J507" s="887"/>
      <c r="K507" s="887"/>
      <c r="L507" s="887"/>
      <c r="M507" s="887"/>
      <c r="N507" s="887"/>
      <c r="O507" s="887"/>
      <c r="P507" s="887"/>
    </row>
    <row r="508" spans="1:16" s="266" customFormat="1" ht="14.25" customHeight="1" x14ac:dyDescent="0.2">
      <c r="A508" s="887"/>
      <c r="B508" s="887"/>
      <c r="C508" s="887"/>
      <c r="D508" s="887"/>
      <c r="E508" s="887"/>
      <c r="F508" s="887"/>
      <c r="G508" s="887"/>
      <c r="H508" s="887"/>
      <c r="I508" s="887"/>
      <c r="J508" s="887"/>
      <c r="K508" s="887"/>
      <c r="L508" s="887"/>
      <c r="M508" s="887"/>
      <c r="N508" s="887"/>
      <c r="O508" s="887"/>
      <c r="P508" s="887"/>
    </row>
    <row r="509" spans="1:16" s="266" customFormat="1" ht="29.25" customHeight="1" x14ac:dyDescent="0.2">
      <c r="A509" s="254" t="str">
        <f>ORÇ!A401</f>
        <v>13.5.5.20</v>
      </c>
      <c r="B509" s="1850" t="str">
        <f>ORÇ!D401</f>
        <v>TUBO, PVC, SOLDÁVEL, DN 50 MM, INSTALADO EM RESERVAÇÃO DE ÁGUA DE EDIFICAÇÃO QUE POSSUA RESERVATÓRIO DE FIBRA/FIBROCIMENTO   FORNECIMENTO E INSTALAÇÃO. AF_06/2016</v>
      </c>
      <c r="C509" s="1850"/>
      <c r="D509" s="1850"/>
      <c r="E509" s="1850"/>
      <c r="F509" s="1850"/>
      <c r="G509" s="1850"/>
      <c r="H509" s="1850"/>
      <c r="I509" s="1850"/>
      <c r="J509" s="1850"/>
      <c r="K509" s="1850"/>
      <c r="L509" s="1850"/>
      <c r="M509" s="1850"/>
      <c r="N509" s="202"/>
      <c r="O509" s="202"/>
      <c r="P509" s="202"/>
    </row>
    <row r="510" spans="1:16" s="266" customFormat="1" ht="15.75" customHeight="1" x14ac:dyDescent="0.2">
      <c r="A510" s="885"/>
      <c r="B510" s="1852"/>
      <c r="C510" s="1852"/>
      <c r="D510" s="1852"/>
      <c r="E510" s="1852"/>
      <c r="F510" s="1852"/>
      <c r="G510" s="1852"/>
      <c r="H510" s="1852"/>
      <c r="I510" s="887"/>
      <c r="J510" s="887"/>
      <c r="K510" s="887"/>
      <c r="L510" s="887"/>
      <c r="M510" s="887"/>
      <c r="N510" s="887"/>
      <c r="O510" s="887"/>
      <c r="P510" s="887"/>
    </row>
    <row r="511" spans="1:16" s="266" customFormat="1" x14ac:dyDescent="0.2">
      <c r="A511" s="885"/>
      <c r="B511" s="892" t="s">
        <v>47</v>
      </c>
      <c r="C511" s="893">
        <v>3.2</v>
      </c>
      <c r="D511" s="894" t="s">
        <v>12</v>
      </c>
      <c r="E511" s="888"/>
      <c r="F511" s="888"/>
      <c r="G511" s="888"/>
      <c r="H511" s="888"/>
      <c r="I511" s="887"/>
      <c r="J511" s="887"/>
      <c r="K511" s="887"/>
      <c r="L511" s="887"/>
      <c r="M511" s="887"/>
      <c r="N511" s="887"/>
      <c r="O511" s="887"/>
      <c r="P511" s="887"/>
    </row>
    <row r="512" spans="1:16" s="266" customFormat="1" ht="14.25" customHeight="1" x14ac:dyDescent="0.2">
      <c r="A512" s="887"/>
      <c r="B512" s="887"/>
      <c r="C512" s="887"/>
      <c r="D512" s="887"/>
      <c r="E512" s="887"/>
      <c r="F512" s="887"/>
      <c r="G512" s="887"/>
      <c r="H512" s="887"/>
      <c r="I512" s="887"/>
      <c r="J512" s="887"/>
      <c r="K512" s="887"/>
      <c r="L512" s="887"/>
      <c r="M512" s="887"/>
      <c r="N512" s="887"/>
      <c r="O512" s="887"/>
      <c r="P512" s="887"/>
    </row>
    <row r="513" spans="1:16" s="266" customFormat="1" ht="14.25" customHeight="1" x14ac:dyDescent="0.2">
      <c r="A513" s="887"/>
      <c r="B513" s="887"/>
      <c r="C513" s="887"/>
      <c r="D513" s="887"/>
      <c r="E513" s="887"/>
      <c r="F513" s="887"/>
      <c r="G513" s="887"/>
      <c r="H513" s="887"/>
      <c r="I513" s="887"/>
      <c r="J513" s="887"/>
      <c r="K513" s="887"/>
      <c r="L513" s="887"/>
      <c r="M513" s="887"/>
      <c r="N513" s="887"/>
      <c r="O513" s="887"/>
      <c r="P513" s="887"/>
    </row>
    <row r="514" spans="1:16" s="266" customFormat="1" ht="14.25" customHeight="1" x14ac:dyDescent="0.2">
      <c r="A514" s="887"/>
      <c r="B514" s="887"/>
      <c r="C514" s="887"/>
      <c r="D514" s="887"/>
      <c r="E514" s="887"/>
      <c r="F514" s="887"/>
      <c r="G514" s="887"/>
      <c r="H514" s="887"/>
      <c r="I514" s="887"/>
      <c r="J514" s="887"/>
      <c r="K514" s="887"/>
      <c r="L514" s="887"/>
      <c r="M514" s="887"/>
      <c r="N514" s="887"/>
      <c r="O514" s="887"/>
      <c r="P514" s="887"/>
    </row>
    <row r="515" spans="1:16" s="266" customFormat="1" ht="14.25" customHeight="1" x14ac:dyDescent="0.2">
      <c r="A515" s="887"/>
      <c r="B515" s="887"/>
      <c r="C515" s="887"/>
      <c r="D515" s="887"/>
      <c r="E515" s="887"/>
      <c r="F515" s="887"/>
      <c r="G515" s="887"/>
      <c r="H515" s="887"/>
      <c r="I515" s="887"/>
      <c r="J515" s="887"/>
      <c r="K515" s="887"/>
      <c r="L515" s="887"/>
      <c r="M515" s="887"/>
      <c r="N515" s="887"/>
      <c r="O515" s="887"/>
      <c r="P515" s="887"/>
    </row>
    <row r="516" spans="1:16" x14ac:dyDescent="0.2">
      <c r="A516" s="202"/>
      <c r="B516" s="202"/>
      <c r="C516" s="202"/>
      <c r="D516" s="202"/>
      <c r="E516" s="202"/>
      <c r="F516" s="202"/>
      <c r="G516" s="202"/>
      <c r="H516" s="202"/>
      <c r="I516" s="202"/>
      <c r="J516" s="202"/>
      <c r="K516" s="202"/>
      <c r="L516" s="202"/>
      <c r="M516" s="202"/>
      <c r="N516" s="202"/>
      <c r="O516" s="202"/>
      <c r="P516" s="202"/>
    </row>
    <row r="517" spans="1:16" x14ac:dyDescent="0.2">
      <c r="A517" s="202"/>
      <c r="B517" s="202"/>
      <c r="C517" s="202"/>
      <c r="D517" s="202"/>
      <c r="E517" s="202"/>
      <c r="F517" s="202"/>
      <c r="G517" s="202"/>
      <c r="H517" s="202"/>
      <c r="I517" s="202"/>
      <c r="J517" s="202"/>
      <c r="K517" s="202"/>
      <c r="L517" s="202"/>
      <c r="M517" s="202"/>
      <c r="N517" s="202"/>
      <c r="O517" s="202"/>
      <c r="P517" s="202"/>
    </row>
    <row r="518" spans="1:16" x14ac:dyDescent="0.2">
      <c r="A518" s="202"/>
      <c r="B518" s="202"/>
      <c r="C518" s="202"/>
      <c r="D518" s="202"/>
      <c r="E518" s="202"/>
      <c r="F518" s="202"/>
      <c r="G518" s="202"/>
      <c r="H518" s="202"/>
      <c r="I518" s="202"/>
      <c r="J518" s="202"/>
      <c r="K518" s="202"/>
      <c r="L518" s="202"/>
      <c r="M518" s="202"/>
      <c r="N518" s="202"/>
      <c r="O518" s="202"/>
      <c r="P518" s="202"/>
    </row>
    <row r="519" spans="1:16" x14ac:dyDescent="0.2">
      <c r="A519" s="202"/>
      <c r="B519" s="202"/>
      <c r="C519" s="202"/>
      <c r="D519" s="202"/>
      <c r="E519" s="202"/>
      <c r="F519" s="202"/>
      <c r="G519" s="202"/>
      <c r="H519" s="202"/>
      <c r="I519" s="202"/>
      <c r="J519" s="202"/>
      <c r="K519" s="202"/>
      <c r="L519" s="202"/>
      <c r="M519" s="202"/>
      <c r="N519" s="202"/>
      <c r="O519" s="202"/>
      <c r="P519" s="202"/>
    </row>
    <row r="520" spans="1:16" x14ac:dyDescent="0.2">
      <c r="A520" s="202"/>
      <c r="B520" s="202"/>
      <c r="C520" s="202"/>
      <c r="D520" s="202"/>
      <c r="E520" s="202"/>
      <c r="F520" s="202"/>
      <c r="G520" s="202"/>
      <c r="H520" s="202"/>
      <c r="I520" s="202"/>
      <c r="J520" s="202"/>
      <c r="K520" s="202"/>
      <c r="L520" s="202"/>
      <c r="M520" s="202"/>
      <c r="N520" s="202"/>
      <c r="O520" s="202"/>
      <c r="P520" s="202"/>
    </row>
    <row r="521" spans="1:16" x14ac:dyDescent="0.2">
      <c r="A521" s="202"/>
      <c r="B521" s="202"/>
      <c r="C521" s="202"/>
      <c r="D521" s="202"/>
      <c r="E521" s="202"/>
      <c r="F521" s="202"/>
      <c r="G521" s="202"/>
      <c r="H521" s="202"/>
      <c r="I521" s="202"/>
      <c r="J521" s="202"/>
      <c r="K521" s="202"/>
      <c r="L521" s="202"/>
      <c r="M521" s="202"/>
      <c r="N521" s="202"/>
      <c r="O521" s="202"/>
      <c r="P521" s="202"/>
    </row>
    <row r="522" spans="1:16" x14ac:dyDescent="0.2">
      <c r="A522" s="202"/>
      <c r="B522" s="202"/>
      <c r="C522" s="202"/>
      <c r="D522" s="202"/>
      <c r="E522" s="202"/>
      <c r="F522" s="202"/>
      <c r="G522" s="202"/>
      <c r="H522" s="202"/>
      <c r="I522" s="202"/>
      <c r="J522" s="202"/>
      <c r="K522" s="202"/>
      <c r="L522" s="202"/>
      <c r="M522" s="202"/>
      <c r="N522" s="202"/>
      <c r="O522" s="202"/>
      <c r="P522" s="202"/>
    </row>
    <row r="523" spans="1:16" x14ac:dyDescent="0.2">
      <c r="A523" s="202"/>
      <c r="B523" s="202"/>
      <c r="C523" s="202"/>
      <c r="D523" s="202"/>
      <c r="E523" s="202"/>
      <c r="F523" s="202"/>
      <c r="G523" s="202"/>
      <c r="H523" s="202"/>
      <c r="I523" s="202"/>
      <c r="J523" s="202"/>
      <c r="K523" s="202"/>
      <c r="L523" s="202"/>
      <c r="M523" s="202"/>
      <c r="N523" s="202"/>
      <c r="O523" s="202"/>
      <c r="P523" s="202"/>
    </row>
    <row r="524" spans="1:16" x14ac:dyDescent="0.2">
      <c r="A524" s="202"/>
      <c r="B524" s="202"/>
      <c r="C524" s="202"/>
      <c r="D524" s="202"/>
      <c r="E524" s="202"/>
      <c r="F524" s="202"/>
      <c r="G524" s="202"/>
      <c r="H524" s="202"/>
      <c r="I524" s="202"/>
      <c r="J524" s="202"/>
      <c r="K524" s="202"/>
      <c r="L524" s="202"/>
      <c r="M524" s="202"/>
      <c r="N524" s="202"/>
      <c r="O524" s="202"/>
      <c r="P524" s="202"/>
    </row>
    <row r="525" spans="1:16" x14ac:dyDescent="0.2">
      <c r="A525" s="202"/>
      <c r="B525" s="202"/>
      <c r="C525" s="202"/>
      <c r="D525" s="202"/>
      <c r="E525" s="202"/>
      <c r="F525" s="202"/>
      <c r="G525" s="202"/>
      <c r="H525" s="202"/>
      <c r="I525" s="202"/>
      <c r="J525" s="202"/>
      <c r="K525" s="202"/>
      <c r="L525" s="202"/>
      <c r="M525" s="202"/>
      <c r="N525" s="202"/>
      <c r="O525" s="202"/>
      <c r="P525" s="202"/>
    </row>
    <row r="526" spans="1:16" x14ac:dyDescent="0.2">
      <c r="A526" s="202"/>
      <c r="B526" s="202"/>
      <c r="C526" s="202"/>
      <c r="D526" s="202"/>
      <c r="E526" s="202"/>
      <c r="F526" s="202"/>
      <c r="G526" s="202"/>
      <c r="H526" s="202"/>
      <c r="I526" s="202"/>
      <c r="J526" s="202"/>
      <c r="K526" s="202"/>
      <c r="L526" s="202"/>
      <c r="M526" s="202"/>
      <c r="N526" s="202"/>
      <c r="O526" s="202"/>
      <c r="P526" s="202"/>
    </row>
    <row r="527" spans="1:16" x14ac:dyDescent="0.2">
      <c r="A527" s="202"/>
      <c r="B527" s="202"/>
      <c r="C527" s="202"/>
      <c r="D527" s="202"/>
      <c r="E527" s="202"/>
      <c r="F527" s="202"/>
      <c r="G527" s="202"/>
      <c r="H527" s="202"/>
      <c r="I527" s="202"/>
      <c r="J527" s="202"/>
      <c r="K527" s="202"/>
      <c r="L527" s="202"/>
      <c r="M527" s="202"/>
      <c r="N527" s="202"/>
      <c r="O527" s="202"/>
      <c r="P527" s="202"/>
    </row>
    <row r="528" spans="1:16" x14ac:dyDescent="0.2">
      <c r="A528" s="202"/>
      <c r="B528" s="202"/>
      <c r="C528" s="202"/>
      <c r="D528" s="202"/>
      <c r="E528" s="202"/>
      <c r="F528" s="202"/>
      <c r="G528" s="202"/>
      <c r="H528" s="202"/>
      <c r="I528" s="202"/>
      <c r="J528" s="202"/>
      <c r="K528" s="202"/>
      <c r="L528" s="202"/>
      <c r="M528" s="202"/>
      <c r="N528" s="202"/>
      <c r="O528" s="202"/>
      <c r="P528" s="202"/>
    </row>
    <row r="529" spans="1:16" x14ac:dyDescent="0.2">
      <c r="A529" s="202"/>
      <c r="B529" s="202"/>
      <c r="C529" s="202"/>
      <c r="D529" s="202"/>
      <c r="E529" s="202"/>
      <c r="F529" s="202"/>
      <c r="G529" s="202"/>
      <c r="H529" s="202"/>
      <c r="I529" s="202"/>
      <c r="J529" s="202"/>
      <c r="K529" s="202"/>
      <c r="L529" s="202"/>
      <c r="M529" s="202"/>
      <c r="N529" s="202"/>
      <c r="O529" s="202"/>
      <c r="P529" s="202"/>
    </row>
    <row r="530" spans="1:16" x14ac:dyDescent="0.2">
      <c r="A530" s="202"/>
      <c r="B530" s="202"/>
      <c r="C530" s="202"/>
      <c r="D530" s="202"/>
      <c r="E530" s="202"/>
      <c r="F530" s="202"/>
      <c r="G530" s="202"/>
      <c r="H530" s="202"/>
      <c r="I530" s="202"/>
      <c r="J530" s="202"/>
      <c r="K530" s="202"/>
      <c r="L530" s="202"/>
      <c r="M530" s="202"/>
      <c r="N530" s="202"/>
      <c r="O530" s="202"/>
      <c r="P530" s="202"/>
    </row>
    <row r="531" spans="1:16" x14ac:dyDescent="0.2">
      <c r="A531" s="202"/>
      <c r="B531" s="202"/>
      <c r="C531" s="202"/>
      <c r="D531" s="202"/>
      <c r="E531" s="202"/>
      <c r="F531" s="202"/>
      <c r="G531" s="202"/>
      <c r="H531" s="202"/>
      <c r="I531" s="202"/>
      <c r="J531" s="202"/>
      <c r="K531" s="202"/>
      <c r="L531" s="202"/>
      <c r="M531" s="202"/>
      <c r="N531" s="202"/>
      <c r="O531" s="202"/>
      <c r="P531" s="202"/>
    </row>
    <row r="532" spans="1:16" x14ac:dyDescent="0.2">
      <c r="A532" s="202"/>
      <c r="B532" s="202"/>
      <c r="C532" s="202"/>
      <c r="D532" s="202"/>
      <c r="E532" s="202"/>
      <c r="F532" s="202"/>
      <c r="G532" s="202"/>
      <c r="H532" s="202"/>
      <c r="I532" s="202"/>
      <c r="J532" s="202"/>
      <c r="K532" s="202"/>
      <c r="L532" s="202"/>
      <c r="M532" s="202"/>
      <c r="N532" s="202"/>
      <c r="O532" s="202"/>
      <c r="P532" s="202"/>
    </row>
    <row r="533" spans="1:16" x14ac:dyDescent="0.2">
      <c r="A533" s="202"/>
      <c r="B533" s="202"/>
      <c r="C533" s="202"/>
      <c r="D533" s="202"/>
      <c r="E533" s="202"/>
      <c r="F533" s="202"/>
      <c r="G533" s="202"/>
      <c r="H533" s="202"/>
      <c r="I533" s="202"/>
      <c r="J533" s="202"/>
      <c r="K533" s="202"/>
      <c r="L533" s="202"/>
      <c r="M533" s="202"/>
      <c r="N533" s="202"/>
      <c r="O533" s="202"/>
      <c r="P533" s="202"/>
    </row>
    <row r="534" spans="1:16" x14ac:dyDescent="0.2">
      <c r="A534" s="202"/>
      <c r="B534" s="202"/>
      <c r="C534" s="202"/>
      <c r="D534" s="202"/>
      <c r="E534" s="202"/>
      <c r="F534" s="202"/>
      <c r="G534" s="202"/>
      <c r="H534" s="202"/>
      <c r="I534" s="202"/>
      <c r="J534" s="202"/>
      <c r="K534" s="202"/>
      <c r="L534" s="202"/>
      <c r="M534" s="202"/>
      <c r="N534" s="202"/>
      <c r="O534" s="202"/>
      <c r="P534" s="202"/>
    </row>
    <row r="535" spans="1:16" x14ac:dyDescent="0.2">
      <c r="A535" s="202"/>
      <c r="B535" s="202"/>
      <c r="C535" s="202"/>
      <c r="D535" s="202"/>
      <c r="E535" s="202"/>
      <c r="F535" s="202"/>
      <c r="G535" s="202"/>
      <c r="H535" s="202"/>
      <c r="I535" s="202"/>
      <c r="J535" s="202"/>
      <c r="K535" s="202"/>
      <c r="L535" s="202"/>
      <c r="M535" s="202"/>
      <c r="N535" s="202"/>
      <c r="O535" s="202"/>
      <c r="P535" s="202"/>
    </row>
    <row r="536" spans="1:16" x14ac:dyDescent="0.2">
      <c r="A536" s="202"/>
      <c r="B536" s="202"/>
      <c r="C536" s="202"/>
      <c r="D536" s="202"/>
      <c r="E536" s="202"/>
      <c r="F536" s="202"/>
      <c r="G536" s="202"/>
      <c r="H536" s="202"/>
      <c r="I536" s="202"/>
      <c r="J536" s="202"/>
      <c r="K536" s="202"/>
      <c r="L536" s="202"/>
      <c r="M536" s="202"/>
      <c r="N536" s="202"/>
      <c r="O536" s="202"/>
      <c r="P536" s="202"/>
    </row>
    <row r="537" spans="1:16" ht="24.75" customHeight="1" x14ac:dyDescent="0.2">
      <c r="A537" s="202"/>
      <c r="B537" s="202"/>
      <c r="C537" s="202"/>
      <c r="D537" s="202"/>
      <c r="E537" s="202"/>
      <c r="F537" s="202"/>
      <c r="G537" s="202"/>
      <c r="H537" s="202"/>
      <c r="I537" s="202"/>
      <c r="J537" s="202"/>
      <c r="K537" s="202"/>
      <c r="L537" s="202"/>
      <c r="M537" s="202"/>
      <c r="N537" s="202"/>
      <c r="O537" s="202"/>
      <c r="P537" s="202"/>
    </row>
    <row r="538" spans="1:16" x14ac:dyDescent="0.2">
      <c r="A538" s="202"/>
      <c r="B538" s="202"/>
      <c r="C538" s="202"/>
      <c r="D538" s="202"/>
      <c r="E538" s="202"/>
      <c r="F538" s="202"/>
      <c r="G538" s="202"/>
      <c r="H538" s="202"/>
      <c r="I538" s="202"/>
      <c r="J538" s="202"/>
      <c r="K538" s="202"/>
      <c r="L538" s="202"/>
      <c r="M538" s="202"/>
      <c r="N538" s="202"/>
      <c r="O538" s="202"/>
      <c r="P538" s="202"/>
    </row>
    <row r="539" spans="1:16" x14ac:dyDescent="0.2">
      <c r="A539" s="202"/>
      <c r="B539" s="202"/>
      <c r="C539" s="202"/>
      <c r="D539" s="202"/>
      <c r="E539" s="202"/>
      <c r="F539" s="202"/>
      <c r="G539" s="202"/>
      <c r="H539" s="202"/>
      <c r="I539" s="202"/>
      <c r="J539" s="202"/>
      <c r="K539" s="202"/>
      <c r="L539" s="202"/>
      <c r="M539" s="202"/>
      <c r="N539" s="202"/>
      <c r="O539" s="202"/>
      <c r="P539" s="202"/>
    </row>
    <row r="540" spans="1:16" x14ac:dyDescent="0.2">
      <c r="A540" s="202"/>
      <c r="B540" s="202"/>
      <c r="C540" s="202"/>
      <c r="D540" s="202"/>
      <c r="E540" s="202"/>
      <c r="F540" s="202"/>
      <c r="G540" s="202"/>
      <c r="H540" s="202"/>
      <c r="I540" s="202"/>
      <c r="J540" s="202"/>
      <c r="K540" s="202"/>
      <c r="L540" s="202"/>
      <c r="M540" s="202"/>
      <c r="N540" s="202"/>
      <c r="O540" s="202"/>
      <c r="P540" s="202"/>
    </row>
    <row r="541" spans="1:16" x14ac:dyDescent="0.2">
      <c r="A541" s="202"/>
      <c r="B541" s="202"/>
      <c r="C541" s="202"/>
      <c r="D541" s="202"/>
      <c r="E541" s="202"/>
      <c r="F541" s="202"/>
      <c r="G541" s="202"/>
      <c r="H541" s="202"/>
      <c r="I541" s="202"/>
      <c r="J541" s="202"/>
      <c r="K541" s="202"/>
      <c r="L541" s="202"/>
      <c r="M541" s="202"/>
      <c r="N541" s="202"/>
      <c r="O541" s="202"/>
      <c r="P541" s="202"/>
    </row>
    <row r="542" spans="1:16" x14ac:dyDescent="0.2">
      <c r="A542" s="202"/>
      <c r="B542" s="202"/>
      <c r="C542" s="202"/>
      <c r="D542" s="202"/>
      <c r="E542" s="202"/>
      <c r="F542" s="202"/>
      <c r="G542" s="202"/>
      <c r="H542" s="202"/>
      <c r="I542" s="202"/>
      <c r="J542" s="202"/>
      <c r="K542" s="202"/>
      <c r="L542" s="202"/>
      <c r="M542" s="202"/>
      <c r="N542" s="202"/>
      <c r="O542" s="202"/>
      <c r="P542" s="202"/>
    </row>
    <row r="543" spans="1:16" x14ac:dyDescent="0.2">
      <c r="A543" s="202"/>
      <c r="B543" s="202"/>
      <c r="C543" s="202"/>
      <c r="D543" s="202"/>
      <c r="E543" s="202"/>
      <c r="F543" s="202"/>
      <c r="G543" s="202"/>
      <c r="H543" s="202"/>
      <c r="I543" s="202"/>
      <c r="J543" s="202"/>
      <c r="K543" s="202"/>
      <c r="L543" s="202"/>
      <c r="M543" s="202"/>
      <c r="N543" s="202"/>
      <c r="O543" s="202"/>
      <c r="P543" s="202"/>
    </row>
    <row r="544" spans="1:16" x14ac:dyDescent="0.2">
      <c r="A544" s="202"/>
      <c r="B544" s="202"/>
      <c r="C544" s="202"/>
      <c r="D544" s="202"/>
      <c r="E544" s="202"/>
      <c r="F544" s="202"/>
      <c r="G544" s="202"/>
      <c r="H544" s="202"/>
      <c r="I544" s="202"/>
      <c r="J544" s="202"/>
      <c r="K544" s="202"/>
      <c r="L544" s="202"/>
      <c r="M544" s="202"/>
      <c r="N544" s="202"/>
      <c r="O544" s="202"/>
      <c r="P544" s="202"/>
    </row>
    <row r="545" spans="1:16" x14ac:dyDescent="0.2">
      <c r="A545" s="202"/>
      <c r="B545" s="202"/>
      <c r="C545" s="202"/>
      <c r="D545" s="202"/>
      <c r="E545" s="202"/>
      <c r="F545" s="202"/>
      <c r="G545" s="202"/>
      <c r="H545" s="202"/>
      <c r="I545" s="202"/>
      <c r="J545" s="202"/>
      <c r="K545" s="202"/>
      <c r="L545" s="202"/>
      <c r="M545" s="202"/>
      <c r="N545" s="202"/>
      <c r="O545" s="202"/>
      <c r="P545" s="202"/>
    </row>
    <row r="546" spans="1:16" x14ac:dyDescent="0.2">
      <c r="A546" s="202"/>
      <c r="B546" s="202"/>
      <c r="C546" s="202"/>
      <c r="D546" s="202"/>
      <c r="E546" s="202"/>
      <c r="F546" s="202"/>
      <c r="G546" s="202"/>
      <c r="H546" s="202"/>
      <c r="I546" s="202"/>
      <c r="J546" s="202"/>
      <c r="K546" s="202"/>
      <c r="L546" s="202"/>
      <c r="M546" s="202"/>
      <c r="N546" s="202"/>
      <c r="O546" s="202"/>
      <c r="P546" s="202"/>
    </row>
    <row r="547" spans="1:16" x14ac:dyDescent="0.2">
      <c r="A547" s="202"/>
      <c r="B547" s="202"/>
      <c r="C547" s="202"/>
      <c r="D547" s="202"/>
      <c r="E547" s="202"/>
      <c r="F547" s="202"/>
      <c r="G547" s="202"/>
      <c r="H547" s="202"/>
      <c r="I547" s="202"/>
      <c r="J547" s="202"/>
      <c r="K547" s="202"/>
      <c r="L547" s="202"/>
      <c r="M547" s="202"/>
      <c r="N547" s="202"/>
      <c r="O547" s="202"/>
      <c r="P547" s="202"/>
    </row>
    <row r="548" spans="1:16" x14ac:dyDescent="0.2">
      <c r="A548" s="202"/>
      <c r="B548" s="202"/>
      <c r="C548" s="202"/>
      <c r="D548" s="202"/>
      <c r="E548" s="202"/>
      <c r="F548" s="202"/>
      <c r="G548" s="202"/>
      <c r="H548" s="202"/>
      <c r="I548" s="202"/>
      <c r="J548" s="202"/>
      <c r="K548" s="202"/>
      <c r="L548" s="202"/>
      <c r="M548" s="202"/>
      <c r="N548" s="202"/>
      <c r="O548" s="202"/>
      <c r="P548" s="202"/>
    </row>
    <row r="549" spans="1:16" x14ac:dyDescent="0.2">
      <c r="A549" s="202"/>
      <c r="B549" s="202"/>
      <c r="C549" s="202"/>
      <c r="D549" s="202"/>
      <c r="E549" s="202"/>
      <c r="F549" s="202"/>
      <c r="G549" s="202"/>
      <c r="H549" s="202"/>
      <c r="I549" s="202"/>
      <c r="J549" s="202"/>
      <c r="K549" s="202"/>
      <c r="L549" s="202"/>
      <c r="M549" s="202"/>
      <c r="N549" s="202"/>
      <c r="O549" s="202"/>
      <c r="P549" s="202"/>
    </row>
    <row r="550" spans="1:16" ht="14.25" customHeight="1" x14ac:dyDescent="0.2">
      <c r="A550" s="202"/>
      <c r="B550" s="202"/>
      <c r="C550" s="202"/>
      <c r="D550" s="202"/>
      <c r="E550" s="202"/>
      <c r="F550" s="202"/>
      <c r="G550" s="202"/>
      <c r="H550" s="202"/>
      <c r="I550" s="202"/>
      <c r="J550" s="202"/>
      <c r="K550" s="202"/>
      <c r="L550" s="202"/>
      <c r="M550" s="202"/>
      <c r="N550" s="202"/>
      <c r="O550" s="202"/>
      <c r="P550" s="202"/>
    </row>
    <row r="551" spans="1:16" ht="14.25" customHeight="1" x14ac:dyDescent="0.2">
      <c r="A551" s="202"/>
      <c r="B551" s="202"/>
      <c r="C551" s="202"/>
      <c r="D551" s="202"/>
      <c r="E551" s="202"/>
      <c r="F551" s="202"/>
      <c r="G551" s="202"/>
      <c r="H551" s="202"/>
      <c r="I551" s="202"/>
      <c r="J551" s="202"/>
      <c r="K551" s="202"/>
      <c r="L551" s="202"/>
      <c r="M551" s="202"/>
      <c r="N551" s="202"/>
      <c r="O551" s="202"/>
      <c r="P551" s="202"/>
    </row>
    <row r="552" spans="1:16" ht="14.25" customHeight="1" x14ac:dyDescent="0.2">
      <c r="A552" s="202"/>
      <c r="B552" s="202"/>
      <c r="C552" s="202"/>
      <c r="D552" s="202"/>
      <c r="E552" s="202"/>
      <c r="F552" s="202"/>
      <c r="G552" s="202"/>
      <c r="H552" s="202"/>
      <c r="I552" s="202"/>
      <c r="J552" s="202"/>
      <c r="K552" s="202"/>
      <c r="L552" s="202"/>
      <c r="M552" s="202"/>
      <c r="N552" s="202"/>
      <c r="O552" s="202"/>
      <c r="P552" s="202"/>
    </row>
    <row r="553" spans="1:16" ht="14.25" customHeight="1" x14ac:dyDescent="0.2">
      <c r="A553" s="202"/>
      <c r="B553" s="202"/>
      <c r="C553" s="202"/>
      <c r="D553" s="202"/>
      <c r="E553" s="202"/>
      <c r="F553" s="202"/>
      <c r="G553" s="202"/>
      <c r="H553" s="202"/>
      <c r="I553" s="202"/>
      <c r="J553" s="202"/>
      <c r="K553" s="202"/>
      <c r="L553" s="202"/>
      <c r="M553" s="202"/>
      <c r="N553" s="202"/>
      <c r="O553" s="202"/>
      <c r="P553" s="202"/>
    </row>
    <row r="554" spans="1:16" x14ac:dyDescent="0.2">
      <c r="A554" s="202"/>
      <c r="B554" s="202"/>
      <c r="C554" s="202"/>
      <c r="D554" s="202"/>
      <c r="E554" s="202"/>
      <c r="F554" s="202"/>
      <c r="G554" s="202"/>
      <c r="H554" s="202"/>
      <c r="I554" s="202"/>
      <c r="J554" s="202"/>
      <c r="K554" s="202"/>
      <c r="L554" s="202"/>
      <c r="M554" s="202"/>
      <c r="N554" s="202"/>
      <c r="O554" s="202"/>
      <c r="P554" s="202"/>
    </row>
    <row r="555" spans="1:16" x14ac:dyDescent="0.2">
      <c r="A555" s="202"/>
      <c r="B555" s="202"/>
      <c r="C555" s="202"/>
      <c r="D555" s="202"/>
      <c r="E555" s="202"/>
      <c r="F555" s="202"/>
      <c r="G555" s="202"/>
      <c r="H555" s="202"/>
      <c r="I555" s="202"/>
      <c r="J555" s="202"/>
      <c r="K555" s="202"/>
      <c r="L555" s="202"/>
      <c r="M555" s="202"/>
      <c r="N555" s="202"/>
      <c r="O555" s="202"/>
      <c r="P555" s="202"/>
    </row>
    <row r="556" spans="1:16" ht="24.75" customHeight="1" x14ac:dyDescent="0.2">
      <c r="A556" s="202"/>
      <c r="B556" s="202"/>
      <c r="C556" s="202"/>
      <c r="D556" s="202"/>
      <c r="E556" s="202"/>
      <c r="F556" s="202"/>
      <c r="G556" s="202"/>
      <c r="H556" s="202"/>
      <c r="I556" s="202"/>
      <c r="J556" s="202"/>
      <c r="K556" s="202"/>
      <c r="L556" s="202"/>
      <c r="M556" s="202"/>
      <c r="N556" s="202"/>
      <c r="O556" s="202"/>
      <c r="P556" s="202"/>
    </row>
    <row r="557" spans="1:16" x14ac:dyDescent="0.2">
      <c r="A557" s="202"/>
      <c r="B557" s="202"/>
      <c r="C557" s="202"/>
      <c r="D557" s="202"/>
      <c r="E557" s="202"/>
      <c r="F557" s="202"/>
      <c r="G557" s="202"/>
      <c r="H557" s="202"/>
      <c r="I557" s="202"/>
      <c r="J557" s="202"/>
      <c r="K557" s="202"/>
      <c r="L557" s="202"/>
      <c r="M557" s="202"/>
      <c r="N557" s="202"/>
      <c r="O557" s="202"/>
      <c r="P557" s="202"/>
    </row>
    <row r="558" spans="1:16" ht="12.75" customHeight="1" x14ac:dyDescent="0.2">
      <c r="A558" s="202"/>
      <c r="B558" s="202"/>
      <c r="C558" s="202"/>
      <c r="D558" s="202"/>
      <c r="E558" s="202"/>
      <c r="F558" s="202"/>
      <c r="G558" s="202"/>
      <c r="H558" s="202"/>
      <c r="I558" s="202"/>
      <c r="J558" s="202"/>
      <c r="K558" s="202"/>
      <c r="L558" s="202"/>
      <c r="M558" s="202"/>
      <c r="N558" s="202"/>
      <c r="O558" s="202"/>
      <c r="P558" s="202"/>
    </row>
    <row r="559" spans="1:16" x14ac:dyDescent="0.2">
      <c r="A559" s="202"/>
      <c r="B559" s="202"/>
      <c r="C559" s="202"/>
      <c r="D559" s="202"/>
      <c r="E559" s="202"/>
      <c r="F559" s="202"/>
      <c r="G559" s="202"/>
      <c r="H559" s="202"/>
      <c r="I559" s="202"/>
      <c r="J559" s="202"/>
      <c r="K559" s="202"/>
      <c r="L559" s="202"/>
      <c r="M559" s="202"/>
      <c r="N559" s="202"/>
      <c r="O559" s="202"/>
      <c r="P559" s="202"/>
    </row>
    <row r="560" spans="1:16" x14ac:dyDescent="0.2">
      <c r="A560" s="202"/>
      <c r="B560" s="202"/>
      <c r="C560" s="202"/>
      <c r="D560" s="202"/>
      <c r="E560" s="202"/>
      <c r="F560" s="202"/>
      <c r="G560" s="202"/>
      <c r="H560" s="202"/>
      <c r="I560" s="202"/>
      <c r="J560" s="202"/>
      <c r="K560" s="202"/>
      <c r="L560" s="202"/>
      <c r="M560" s="202"/>
      <c r="N560" s="202"/>
      <c r="O560" s="202"/>
      <c r="P560" s="202"/>
    </row>
    <row r="561" spans="1:16" x14ac:dyDescent="0.2">
      <c r="A561" s="202"/>
      <c r="B561" s="202"/>
      <c r="C561" s="202"/>
      <c r="D561" s="202"/>
      <c r="E561" s="202"/>
      <c r="F561" s="202"/>
      <c r="G561" s="202"/>
      <c r="H561" s="202"/>
      <c r="I561" s="202"/>
      <c r="J561" s="202"/>
      <c r="K561" s="202"/>
      <c r="L561" s="202"/>
      <c r="M561" s="202"/>
      <c r="N561" s="202"/>
      <c r="O561" s="202"/>
      <c r="P561" s="202"/>
    </row>
    <row r="562" spans="1:16" x14ac:dyDescent="0.2">
      <c r="A562" s="202"/>
      <c r="B562" s="202"/>
      <c r="C562" s="202"/>
      <c r="D562" s="202"/>
      <c r="E562" s="202"/>
      <c r="F562" s="202"/>
      <c r="G562" s="202"/>
      <c r="H562" s="202"/>
      <c r="I562" s="202"/>
      <c r="J562" s="202"/>
      <c r="K562" s="202"/>
      <c r="L562" s="202"/>
      <c r="M562" s="202"/>
      <c r="N562" s="202"/>
      <c r="O562" s="202"/>
      <c r="P562" s="202"/>
    </row>
    <row r="563" spans="1:16" x14ac:dyDescent="0.2">
      <c r="A563" s="202"/>
      <c r="B563" s="202"/>
      <c r="C563" s="202"/>
      <c r="D563" s="202"/>
      <c r="E563" s="202"/>
      <c r="F563" s="202"/>
      <c r="G563" s="202"/>
      <c r="H563" s="202"/>
      <c r="I563" s="202"/>
      <c r="J563" s="202"/>
      <c r="K563" s="202"/>
      <c r="L563" s="202"/>
      <c r="M563" s="202"/>
      <c r="N563" s="202"/>
      <c r="O563" s="202"/>
      <c r="P563" s="202"/>
    </row>
    <row r="564" spans="1:16" x14ac:dyDescent="0.2">
      <c r="A564" s="202"/>
      <c r="B564" s="202"/>
      <c r="C564" s="202"/>
      <c r="D564" s="202"/>
      <c r="E564" s="202"/>
      <c r="F564" s="202"/>
      <c r="G564" s="202"/>
      <c r="H564" s="202"/>
      <c r="I564" s="202"/>
      <c r="J564" s="202"/>
      <c r="K564" s="202"/>
      <c r="L564" s="202"/>
      <c r="M564" s="202"/>
      <c r="N564" s="202"/>
      <c r="O564" s="202"/>
      <c r="P564" s="202"/>
    </row>
    <row r="565" spans="1:16" ht="14.25" customHeight="1" x14ac:dyDescent="0.2">
      <c r="A565" s="202"/>
      <c r="B565" s="202"/>
      <c r="C565" s="202"/>
      <c r="D565" s="202"/>
      <c r="E565" s="202"/>
      <c r="F565" s="202"/>
      <c r="G565" s="202"/>
      <c r="H565" s="202"/>
      <c r="I565" s="202"/>
      <c r="J565" s="202"/>
      <c r="K565" s="202"/>
      <c r="L565" s="202"/>
      <c r="M565" s="202"/>
      <c r="N565" s="202"/>
      <c r="O565" s="202"/>
      <c r="P565" s="202"/>
    </row>
    <row r="566" spans="1:16" x14ac:dyDescent="0.2">
      <c r="A566" s="202"/>
      <c r="B566" s="202"/>
      <c r="C566" s="202"/>
      <c r="D566" s="202"/>
      <c r="E566" s="202"/>
      <c r="F566" s="202"/>
      <c r="G566" s="202"/>
      <c r="H566" s="202"/>
      <c r="I566" s="202"/>
      <c r="J566" s="202"/>
      <c r="K566" s="202"/>
      <c r="L566" s="202"/>
      <c r="M566" s="202"/>
      <c r="N566" s="202"/>
      <c r="O566" s="202"/>
      <c r="P566" s="202"/>
    </row>
    <row r="567" spans="1:16" ht="14.25" customHeight="1" x14ac:dyDescent="0.2">
      <c r="A567" s="202"/>
      <c r="B567" s="202"/>
      <c r="C567" s="202"/>
      <c r="D567" s="202"/>
      <c r="E567" s="202"/>
      <c r="F567" s="202"/>
      <c r="G567" s="202"/>
      <c r="H567" s="202"/>
      <c r="I567" s="202"/>
      <c r="J567" s="202"/>
      <c r="K567" s="202"/>
      <c r="L567" s="202"/>
      <c r="M567" s="202"/>
      <c r="N567" s="202"/>
      <c r="O567" s="202"/>
      <c r="P567" s="202"/>
    </row>
    <row r="568" spans="1:16" ht="14.25" customHeight="1" x14ac:dyDescent="0.2">
      <c r="A568" s="202"/>
      <c r="B568" s="202"/>
      <c r="C568" s="202"/>
      <c r="D568" s="202"/>
      <c r="E568" s="202"/>
      <c r="F568" s="202"/>
      <c r="G568" s="202"/>
      <c r="H568" s="202"/>
      <c r="I568" s="202"/>
      <c r="J568" s="202"/>
      <c r="K568" s="202"/>
      <c r="L568" s="202"/>
      <c r="M568" s="202"/>
      <c r="N568" s="202"/>
      <c r="O568" s="202"/>
      <c r="P568" s="202"/>
    </row>
    <row r="569" spans="1:16" ht="14.25" customHeight="1" x14ac:dyDescent="0.2">
      <c r="A569" s="202"/>
      <c r="B569" s="202"/>
      <c r="C569" s="202"/>
      <c r="D569" s="202"/>
      <c r="E569" s="202"/>
      <c r="F569" s="202"/>
      <c r="G569" s="202"/>
      <c r="H569" s="202"/>
      <c r="I569" s="202"/>
      <c r="J569" s="202"/>
      <c r="K569" s="202"/>
      <c r="L569" s="202"/>
      <c r="M569" s="202"/>
      <c r="N569" s="202"/>
      <c r="O569" s="202"/>
      <c r="P569" s="202"/>
    </row>
    <row r="570" spans="1:16" ht="14.25" customHeight="1" x14ac:dyDescent="0.2">
      <c r="A570" s="202"/>
      <c r="B570" s="202"/>
      <c r="C570" s="202"/>
      <c r="D570" s="202"/>
      <c r="E570" s="202"/>
      <c r="F570" s="202"/>
      <c r="G570" s="202"/>
      <c r="H570" s="202"/>
      <c r="I570" s="202"/>
      <c r="J570" s="202"/>
      <c r="K570" s="202"/>
      <c r="L570" s="202"/>
      <c r="M570" s="202"/>
      <c r="N570" s="202"/>
      <c r="O570" s="202"/>
      <c r="P570" s="202"/>
    </row>
    <row r="571" spans="1:16" ht="14.25" customHeight="1" x14ac:dyDescent="0.2">
      <c r="A571" s="202"/>
      <c r="B571" s="202"/>
      <c r="C571" s="202"/>
      <c r="D571" s="202"/>
      <c r="E571" s="202"/>
      <c r="F571" s="202"/>
      <c r="G571" s="202"/>
      <c r="H571" s="202"/>
      <c r="I571" s="202"/>
      <c r="J571" s="202"/>
      <c r="K571" s="202"/>
      <c r="L571" s="202"/>
      <c r="M571" s="202"/>
      <c r="N571" s="202"/>
      <c r="O571" s="202"/>
      <c r="P571" s="202"/>
    </row>
    <row r="572" spans="1:16" ht="14.25" customHeight="1" x14ac:dyDescent="0.2">
      <c r="A572" s="202"/>
      <c r="B572" s="202"/>
      <c r="C572" s="202"/>
      <c r="D572" s="202"/>
      <c r="E572" s="202"/>
      <c r="F572" s="202"/>
      <c r="G572" s="202"/>
      <c r="H572" s="202"/>
      <c r="I572" s="202"/>
      <c r="J572" s="202"/>
      <c r="K572" s="202"/>
      <c r="L572" s="202"/>
      <c r="M572" s="202"/>
      <c r="N572" s="202"/>
      <c r="O572" s="202"/>
      <c r="P572" s="202"/>
    </row>
    <row r="573" spans="1:16" ht="14.25" customHeight="1" x14ac:dyDescent="0.2">
      <c r="A573" s="202"/>
      <c r="B573" s="202"/>
      <c r="C573" s="202"/>
      <c r="D573" s="202"/>
      <c r="E573" s="202"/>
      <c r="F573" s="202"/>
      <c r="G573" s="202"/>
      <c r="H573" s="202"/>
      <c r="I573" s="202"/>
      <c r="J573" s="202"/>
      <c r="K573" s="202"/>
      <c r="L573" s="202"/>
      <c r="M573" s="202"/>
      <c r="N573" s="202"/>
      <c r="O573" s="202"/>
      <c r="P573" s="202"/>
    </row>
    <row r="574" spans="1:16" ht="15" customHeight="1" x14ac:dyDescent="0.2">
      <c r="A574" s="202"/>
      <c r="B574" s="202"/>
      <c r="C574" s="202"/>
      <c r="D574" s="202"/>
      <c r="E574" s="202"/>
      <c r="F574" s="202"/>
      <c r="G574" s="202"/>
      <c r="H574" s="202"/>
      <c r="I574" s="202"/>
      <c r="J574" s="202"/>
      <c r="K574" s="202"/>
      <c r="L574" s="202"/>
      <c r="M574" s="202"/>
      <c r="N574" s="202"/>
      <c r="O574" s="202"/>
      <c r="P574" s="202"/>
    </row>
    <row r="575" spans="1:16" ht="15" customHeight="1" x14ac:dyDescent="0.2">
      <c r="A575" s="202"/>
      <c r="B575" s="202"/>
      <c r="C575" s="202"/>
      <c r="D575" s="202"/>
      <c r="E575" s="202"/>
      <c r="F575" s="202"/>
      <c r="G575" s="202"/>
      <c r="H575" s="202"/>
      <c r="I575" s="202"/>
      <c r="J575" s="202"/>
      <c r="K575" s="202"/>
      <c r="L575" s="202"/>
      <c r="M575" s="202"/>
      <c r="N575" s="202"/>
      <c r="O575" s="202"/>
      <c r="P575" s="202"/>
    </row>
    <row r="576" spans="1:16" ht="15" customHeight="1" x14ac:dyDescent="0.2">
      <c r="A576" s="202"/>
      <c r="B576" s="202"/>
      <c r="C576" s="202"/>
      <c r="D576" s="202"/>
      <c r="E576" s="202"/>
      <c r="F576" s="202"/>
      <c r="G576" s="202"/>
      <c r="H576" s="202"/>
      <c r="I576" s="202"/>
      <c r="J576" s="202"/>
      <c r="K576" s="202"/>
      <c r="L576" s="202"/>
      <c r="M576" s="202"/>
      <c r="N576" s="202"/>
      <c r="O576" s="202"/>
      <c r="P576" s="202"/>
    </row>
    <row r="577" spans="1:16" ht="15" customHeight="1" x14ac:dyDescent="0.2">
      <c r="A577" s="202"/>
      <c r="B577" s="202"/>
      <c r="C577" s="202"/>
      <c r="D577" s="202"/>
      <c r="E577" s="202"/>
      <c r="F577" s="202"/>
      <c r="G577" s="202"/>
      <c r="H577" s="202"/>
      <c r="I577" s="202"/>
      <c r="J577" s="202"/>
      <c r="K577" s="202"/>
      <c r="L577" s="202"/>
      <c r="M577" s="202"/>
      <c r="N577" s="202"/>
      <c r="O577" s="202"/>
      <c r="P577" s="202"/>
    </row>
    <row r="578" spans="1:16" ht="15" customHeight="1" x14ac:dyDescent="0.2">
      <c r="A578" s="202"/>
      <c r="B578" s="202"/>
      <c r="C578" s="202"/>
      <c r="D578" s="202"/>
      <c r="E578" s="202"/>
      <c r="F578" s="202"/>
      <c r="G578" s="202"/>
      <c r="H578" s="202"/>
      <c r="I578" s="202"/>
      <c r="J578" s="202"/>
      <c r="K578" s="202"/>
      <c r="L578" s="202"/>
      <c r="M578" s="202"/>
      <c r="N578" s="202"/>
      <c r="O578" s="202"/>
      <c r="P578" s="202"/>
    </row>
    <row r="579" spans="1:16" ht="15" customHeight="1" x14ac:dyDescent="0.2">
      <c r="A579" s="202"/>
      <c r="B579" s="202"/>
      <c r="C579" s="202"/>
      <c r="D579" s="202"/>
      <c r="E579" s="202"/>
      <c r="F579" s="202"/>
      <c r="G579" s="202"/>
      <c r="H579" s="202"/>
      <c r="I579" s="202"/>
      <c r="J579" s="202"/>
      <c r="K579" s="202"/>
      <c r="L579" s="202"/>
      <c r="M579" s="202"/>
      <c r="N579" s="202"/>
      <c r="O579" s="202"/>
      <c r="P579" s="202"/>
    </row>
    <row r="580" spans="1:16" ht="15" customHeight="1" x14ac:dyDescent="0.2">
      <c r="A580" s="202"/>
      <c r="B580" s="202"/>
      <c r="C580" s="202"/>
      <c r="D580" s="202"/>
      <c r="E580" s="202"/>
      <c r="F580" s="202"/>
      <c r="G580" s="202"/>
      <c r="H580" s="202"/>
      <c r="I580" s="202"/>
      <c r="J580" s="202"/>
      <c r="K580" s="202"/>
      <c r="L580" s="202"/>
      <c r="M580" s="202"/>
      <c r="N580" s="202"/>
      <c r="O580" s="202"/>
      <c r="P580" s="202"/>
    </row>
    <row r="581" spans="1:16" ht="15" customHeight="1" x14ac:dyDescent="0.2">
      <c r="A581" s="202"/>
      <c r="B581" s="202"/>
      <c r="C581" s="202"/>
      <c r="D581" s="202"/>
      <c r="E581" s="202"/>
      <c r="F581" s="202"/>
      <c r="G581" s="202"/>
      <c r="H581" s="202"/>
      <c r="I581" s="202"/>
      <c r="J581" s="202"/>
      <c r="K581" s="202"/>
      <c r="L581" s="202"/>
      <c r="M581" s="202"/>
      <c r="N581" s="202"/>
      <c r="O581" s="202"/>
      <c r="P581" s="202"/>
    </row>
    <row r="582" spans="1:16" ht="15" customHeight="1" x14ac:dyDescent="0.2">
      <c r="A582" s="202"/>
      <c r="B582" s="202"/>
      <c r="C582" s="202"/>
      <c r="D582" s="202"/>
      <c r="E582" s="202"/>
      <c r="F582" s="202"/>
      <c r="G582" s="202"/>
      <c r="H582" s="202"/>
      <c r="I582" s="202"/>
      <c r="J582" s="202"/>
      <c r="K582" s="202"/>
      <c r="L582" s="202"/>
      <c r="M582" s="202"/>
      <c r="N582" s="202"/>
      <c r="O582" s="202"/>
      <c r="P582" s="202"/>
    </row>
    <row r="583" spans="1:16" ht="12" customHeight="1" x14ac:dyDescent="0.2">
      <c r="A583" s="202"/>
      <c r="B583" s="202"/>
      <c r="C583" s="202"/>
      <c r="D583" s="202"/>
      <c r="E583" s="202"/>
      <c r="F583" s="202"/>
      <c r="G583" s="202"/>
      <c r="H583" s="202"/>
      <c r="I583" s="202"/>
      <c r="J583" s="202"/>
      <c r="K583" s="202"/>
      <c r="L583" s="202"/>
      <c r="M583" s="202"/>
      <c r="N583" s="202"/>
      <c r="O583" s="202"/>
      <c r="P583" s="202"/>
    </row>
    <row r="584" spans="1:16" s="161" customFormat="1" ht="12" customHeight="1" x14ac:dyDescent="0.2">
      <c r="A584" s="202"/>
      <c r="B584" s="202"/>
      <c r="C584" s="202"/>
      <c r="D584" s="202"/>
      <c r="E584" s="202"/>
      <c r="F584" s="202"/>
      <c r="G584" s="202"/>
      <c r="H584" s="202"/>
      <c r="I584" s="202"/>
      <c r="J584" s="202"/>
      <c r="K584" s="202"/>
      <c r="L584" s="202"/>
      <c r="M584" s="202"/>
      <c r="N584" s="202"/>
      <c r="O584" s="202"/>
      <c r="P584" s="202"/>
    </row>
    <row r="585" spans="1:16" ht="12" customHeight="1" x14ac:dyDescent="0.2">
      <c r="A585" s="202"/>
      <c r="B585" s="202"/>
      <c r="C585" s="202"/>
      <c r="D585" s="202"/>
      <c r="E585" s="202"/>
      <c r="F585" s="202"/>
      <c r="G585" s="202"/>
      <c r="H585" s="202"/>
      <c r="I585" s="202"/>
      <c r="J585" s="202"/>
      <c r="K585" s="202"/>
      <c r="L585" s="202"/>
      <c r="M585" s="202"/>
      <c r="N585" s="202"/>
      <c r="O585" s="202"/>
      <c r="P585" s="202"/>
    </row>
    <row r="586" spans="1:16" ht="12" customHeight="1" x14ac:dyDescent="0.2">
      <c r="A586" s="202"/>
      <c r="B586" s="202"/>
      <c r="C586" s="202"/>
      <c r="D586" s="202"/>
      <c r="E586" s="202"/>
      <c r="F586" s="202"/>
      <c r="G586" s="202"/>
      <c r="H586" s="202"/>
      <c r="I586" s="202"/>
      <c r="J586" s="202"/>
      <c r="K586" s="202"/>
      <c r="L586" s="202"/>
      <c r="M586" s="202"/>
      <c r="N586" s="202"/>
      <c r="O586" s="202"/>
      <c r="P586" s="202"/>
    </row>
    <row r="587" spans="1:16" ht="12" customHeight="1" x14ac:dyDescent="0.2">
      <c r="A587" s="202"/>
      <c r="B587" s="202"/>
      <c r="C587" s="202"/>
      <c r="D587" s="202"/>
      <c r="E587" s="202"/>
      <c r="F587" s="202"/>
      <c r="G587" s="202"/>
      <c r="H587" s="202"/>
      <c r="I587" s="202"/>
      <c r="J587" s="202"/>
      <c r="K587" s="202"/>
      <c r="L587" s="202"/>
      <c r="M587" s="202"/>
      <c r="N587" s="202"/>
      <c r="O587" s="202"/>
      <c r="P587" s="202"/>
    </row>
    <row r="588" spans="1:16" ht="13.5" customHeight="1" x14ac:dyDescent="0.2">
      <c r="A588" s="202"/>
      <c r="B588" s="202"/>
      <c r="C588" s="202"/>
      <c r="D588" s="202"/>
      <c r="E588" s="202"/>
      <c r="F588" s="202"/>
      <c r="G588" s="202"/>
      <c r="H588" s="202"/>
      <c r="I588" s="202"/>
      <c r="J588" s="202"/>
      <c r="K588" s="202"/>
      <c r="L588" s="202"/>
      <c r="M588" s="202"/>
      <c r="N588" s="202"/>
      <c r="O588" s="202"/>
      <c r="P588" s="202"/>
    </row>
    <row r="589" spans="1:16" ht="12" customHeight="1" x14ac:dyDescent="0.2">
      <c r="A589" s="202"/>
      <c r="B589" s="202"/>
      <c r="C589" s="202"/>
      <c r="D589" s="202"/>
      <c r="E589" s="202"/>
      <c r="F589" s="202"/>
      <c r="G589" s="202"/>
      <c r="H589" s="202"/>
      <c r="I589" s="202"/>
      <c r="J589" s="202"/>
      <c r="K589" s="202"/>
      <c r="L589" s="202"/>
      <c r="M589" s="202"/>
      <c r="N589" s="202"/>
      <c r="O589" s="202"/>
      <c r="P589" s="202"/>
    </row>
    <row r="590" spans="1:16" ht="12" customHeight="1" x14ac:dyDescent="0.2">
      <c r="A590" s="202"/>
      <c r="B590" s="202"/>
      <c r="C590" s="202"/>
      <c r="D590" s="202"/>
      <c r="E590" s="202"/>
      <c r="F590" s="202"/>
      <c r="G590" s="202"/>
      <c r="H590" s="202"/>
      <c r="I590" s="202"/>
      <c r="J590" s="202"/>
      <c r="K590" s="202"/>
      <c r="L590" s="202"/>
      <c r="M590" s="202"/>
      <c r="N590" s="202"/>
      <c r="O590" s="202"/>
      <c r="P590" s="202"/>
    </row>
    <row r="591" spans="1:16" ht="12" customHeight="1" x14ac:dyDescent="0.2">
      <c r="A591" s="202"/>
      <c r="B591" s="202"/>
      <c r="C591" s="202"/>
      <c r="D591" s="202"/>
      <c r="E591" s="202"/>
      <c r="F591" s="202"/>
      <c r="G591" s="202"/>
      <c r="H591" s="202"/>
      <c r="I591" s="202"/>
      <c r="J591" s="202"/>
      <c r="K591" s="202"/>
      <c r="L591" s="202"/>
      <c r="M591" s="202"/>
      <c r="N591" s="202"/>
      <c r="O591" s="202"/>
      <c r="P591" s="202"/>
    </row>
    <row r="592" spans="1:16" ht="12" customHeight="1" x14ac:dyDescent="0.2">
      <c r="A592" s="202"/>
      <c r="B592" s="202"/>
      <c r="C592" s="202"/>
      <c r="D592" s="202"/>
      <c r="E592" s="202"/>
      <c r="F592" s="202"/>
      <c r="G592" s="202"/>
      <c r="H592" s="202"/>
      <c r="I592" s="202"/>
      <c r="J592" s="202"/>
      <c r="K592" s="202"/>
      <c r="L592" s="202"/>
      <c r="M592" s="202"/>
      <c r="N592" s="202"/>
      <c r="O592" s="202"/>
      <c r="P592" s="202"/>
    </row>
    <row r="593" spans="1:16" ht="12" customHeight="1" x14ac:dyDescent="0.2">
      <c r="A593" s="202"/>
      <c r="B593" s="202"/>
      <c r="C593" s="202"/>
      <c r="D593" s="202"/>
      <c r="E593" s="202"/>
      <c r="F593" s="202"/>
      <c r="G593" s="202"/>
      <c r="H593" s="202"/>
      <c r="I593" s="202"/>
      <c r="J593" s="202"/>
      <c r="K593" s="202"/>
      <c r="L593" s="202"/>
      <c r="M593" s="202"/>
      <c r="N593" s="202"/>
      <c r="O593" s="202"/>
      <c r="P593" s="202"/>
    </row>
    <row r="594" spans="1:16" ht="12" customHeight="1" x14ac:dyDescent="0.2">
      <c r="A594" s="202"/>
      <c r="B594" s="202"/>
      <c r="C594" s="202"/>
      <c r="D594" s="202"/>
      <c r="E594" s="202"/>
      <c r="F594" s="202"/>
      <c r="G594" s="202"/>
      <c r="H594" s="202"/>
      <c r="I594" s="202"/>
      <c r="J594" s="202"/>
      <c r="K594" s="202"/>
      <c r="L594" s="202"/>
      <c r="M594" s="202"/>
      <c r="N594" s="202"/>
      <c r="O594" s="202"/>
      <c r="P594" s="202"/>
    </row>
    <row r="595" spans="1:16" ht="12" customHeight="1" x14ac:dyDescent="0.2">
      <c r="A595" s="202"/>
      <c r="B595" s="202"/>
      <c r="C595" s="202"/>
      <c r="D595" s="202"/>
      <c r="E595" s="202"/>
      <c r="F595" s="202"/>
      <c r="G595" s="202"/>
      <c r="H595" s="202"/>
      <c r="I595" s="202"/>
      <c r="J595" s="202"/>
      <c r="K595" s="202"/>
      <c r="L595" s="202"/>
      <c r="M595" s="202"/>
      <c r="N595" s="202"/>
      <c r="O595" s="202"/>
      <c r="P595" s="202"/>
    </row>
    <row r="596" spans="1:16" ht="12" customHeight="1" x14ac:dyDescent="0.2">
      <c r="A596" s="202"/>
      <c r="B596" s="202"/>
      <c r="C596" s="202"/>
      <c r="D596" s="202"/>
      <c r="E596" s="202"/>
      <c r="F596" s="202"/>
      <c r="G596" s="202"/>
      <c r="H596" s="202"/>
      <c r="I596" s="202"/>
      <c r="J596" s="202"/>
      <c r="K596" s="202"/>
      <c r="L596" s="202"/>
      <c r="M596" s="202"/>
      <c r="N596" s="202"/>
      <c r="O596" s="202"/>
      <c r="P596" s="202"/>
    </row>
    <row r="597" spans="1:16" ht="12" customHeight="1" x14ac:dyDescent="0.2">
      <c r="A597" s="202"/>
      <c r="B597" s="202"/>
      <c r="C597" s="202"/>
      <c r="D597" s="202"/>
      <c r="E597" s="202"/>
      <c r="F597" s="202"/>
      <c r="G597" s="202"/>
      <c r="H597" s="202"/>
      <c r="I597" s="202"/>
      <c r="J597" s="202"/>
      <c r="K597" s="202"/>
      <c r="L597" s="202"/>
      <c r="M597" s="202"/>
      <c r="N597" s="202"/>
      <c r="O597" s="202"/>
      <c r="P597" s="202"/>
    </row>
    <row r="598" spans="1:16" ht="15" customHeight="1" x14ac:dyDescent="0.2">
      <c r="A598" s="202"/>
      <c r="B598" s="202"/>
      <c r="C598" s="202"/>
      <c r="D598" s="202"/>
      <c r="E598" s="202"/>
      <c r="F598" s="202"/>
      <c r="G598" s="202"/>
      <c r="H598" s="202"/>
      <c r="I598" s="202"/>
      <c r="J598" s="202"/>
      <c r="K598" s="202"/>
      <c r="L598" s="202"/>
      <c r="M598" s="202"/>
      <c r="N598" s="202"/>
      <c r="O598" s="202"/>
      <c r="P598" s="202"/>
    </row>
    <row r="599" spans="1:16" ht="15" customHeight="1" x14ac:dyDescent="0.2">
      <c r="A599" s="202"/>
      <c r="B599" s="202"/>
      <c r="C599" s="202"/>
      <c r="D599" s="202"/>
      <c r="E599" s="202"/>
      <c r="F599" s="202"/>
      <c r="G599" s="202"/>
      <c r="H599" s="202"/>
      <c r="I599" s="202"/>
      <c r="J599" s="202"/>
      <c r="K599" s="202"/>
      <c r="L599" s="202"/>
      <c r="M599" s="202"/>
      <c r="N599" s="202"/>
      <c r="O599" s="202"/>
      <c r="P599" s="202"/>
    </row>
    <row r="600" spans="1:16" ht="15" customHeight="1" x14ac:dyDescent="0.2">
      <c r="A600" s="202"/>
      <c r="B600" s="202"/>
      <c r="C600" s="202"/>
      <c r="D600" s="202"/>
      <c r="E600" s="202"/>
      <c r="F600" s="202"/>
      <c r="G600" s="202"/>
      <c r="H600" s="202"/>
      <c r="I600" s="202"/>
      <c r="J600" s="202"/>
      <c r="K600" s="202"/>
      <c r="L600" s="202"/>
      <c r="M600" s="202"/>
      <c r="N600" s="202"/>
      <c r="O600" s="202"/>
      <c r="P600" s="202"/>
    </row>
    <row r="601" spans="1:16" ht="15" customHeight="1" x14ac:dyDescent="0.2">
      <c r="A601" s="202"/>
      <c r="B601" s="202"/>
      <c r="C601" s="202"/>
      <c r="D601" s="202"/>
      <c r="E601" s="202"/>
      <c r="F601" s="202"/>
      <c r="G601" s="202"/>
      <c r="H601" s="202"/>
      <c r="I601" s="202"/>
      <c r="J601" s="202"/>
      <c r="K601" s="202"/>
      <c r="L601" s="202"/>
      <c r="M601" s="202"/>
      <c r="N601" s="202"/>
      <c r="O601" s="202"/>
      <c r="P601" s="202"/>
    </row>
    <row r="602" spans="1:16" ht="15" customHeight="1" x14ac:dyDescent="0.2">
      <c r="A602" s="202"/>
      <c r="B602" s="202"/>
      <c r="C602" s="202"/>
      <c r="D602" s="202"/>
      <c r="E602" s="202"/>
      <c r="F602" s="202"/>
      <c r="G602" s="202"/>
      <c r="H602" s="202"/>
      <c r="I602" s="202"/>
      <c r="J602" s="202"/>
      <c r="K602" s="202"/>
      <c r="L602" s="202"/>
      <c r="M602" s="202"/>
      <c r="N602" s="202"/>
      <c r="O602" s="202"/>
      <c r="P602" s="202"/>
    </row>
    <row r="603" spans="1:16" ht="14.25" customHeight="1" x14ac:dyDescent="0.2">
      <c r="A603" s="202"/>
      <c r="B603" s="202"/>
      <c r="C603" s="202"/>
      <c r="D603" s="202"/>
      <c r="E603" s="202"/>
      <c r="F603" s="202"/>
      <c r="G603" s="202"/>
      <c r="H603" s="202"/>
      <c r="I603" s="202"/>
      <c r="J603" s="202"/>
      <c r="K603" s="202"/>
      <c r="L603" s="202"/>
      <c r="M603" s="202"/>
      <c r="N603" s="202"/>
      <c r="O603" s="202"/>
      <c r="P603" s="202"/>
    </row>
    <row r="604" spans="1:16" ht="14.25" customHeight="1" x14ac:dyDescent="0.2">
      <c r="A604" s="202"/>
      <c r="B604" s="202"/>
      <c r="C604" s="202"/>
      <c r="D604" s="202"/>
      <c r="E604" s="202"/>
      <c r="F604" s="202"/>
      <c r="G604" s="202"/>
      <c r="H604" s="202"/>
      <c r="I604" s="202"/>
      <c r="J604" s="202"/>
      <c r="K604" s="202"/>
      <c r="L604" s="202"/>
      <c r="M604" s="202"/>
      <c r="N604" s="202"/>
      <c r="O604" s="202"/>
      <c r="P604" s="202"/>
    </row>
    <row r="605" spans="1:16" x14ac:dyDescent="0.2">
      <c r="A605" s="202"/>
      <c r="B605" s="202"/>
      <c r="C605" s="202"/>
      <c r="D605" s="202"/>
      <c r="E605" s="202"/>
      <c r="F605" s="202"/>
      <c r="G605" s="202"/>
      <c r="H605" s="202"/>
      <c r="I605" s="202"/>
      <c r="J605" s="202"/>
      <c r="K605" s="202"/>
      <c r="L605" s="202"/>
      <c r="M605" s="202"/>
      <c r="N605" s="202"/>
      <c r="O605" s="202"/>
      <c r="P605" s="202"/>
    </row>
    <row r="606" spans="1:16" ht="15" customHeight="1" x14ac:dyDescent="0.2">
      <c r="A606" s="202"/>
      <c r="B606" s="202"/>
      <c r="C606" s="202"/>
      <c r="D606" s="202"/>
      <c r="E606" s="202"/>
      <c r="F606" s="202"/>
      <c r="G606" s="202"/>
      <c r="H606" s="202"/>
      <c r="I606" s="202"/>
      <c r="J606" s="202"/>
      <c r="K606" s="202"/>
      <c r="L606" s="202"/>
      <c r="M606" s="202"/>
      <c r="N606" s="202"/>
      <c r="O606" s="202"/>
      <c r="P606" s="202"/>
    </row>
    <row r="607" spans="1:16" ht="15" customHeight="1" x14ac:dyDescent="0.2">
      <c r="A607" s="202"/>
      <c r="B607" s="202"/>
      <c r="C607" s="202"/>
      <c r="D607" s="202"/>
      <c r="E607" s="202"/>
      <c r="F607" s="202"/>
      <c r="G607" s="202"/>
      <c r="H607" s="202"/>
      <c r="I607" s="202"/>
      <c r="J607" s="202"/>
      <c r="K607" s="202"/>
      <c r="L607" s="202"/>
      <c r="M607" s="202"/>
      <c r="N607" s="202"/>
      <c r="O607" s="202"/>
      <c r="P607" s="202"/>
    </row>
    <row r="608" spans="1:16" ht="15" customHeight="1" x14ac:dyDescent="0.2">
      <c r="A608" s="202"/>
      <c r="B608" s="202"/>
      <c r="C608" s="202"/>
      <c r="D608" s="202"/>
      <c r="E608" s="202"/>
      <c r="F608" s="202"/>
      <c r="G608" s="202"/>
      <c r="H608" s="202"/>
      <c r="I608" s="202"/>
      <c r="J608" s="202"/>
      <c r="K608" s="202"/>
      <c r="L608" s="202"/>
      <c r="M608" s="202"/>
      <c r="N608" s="202"/>
      <c r="O608" s="202"/>
      <c r="P608" s="202"/>
    </row>
    <row r="609" spans="1:16" ht="15" customHeight="1" x14ac:dyDescent="0.2">
      <c r="A609" s="202"/>
      <c r="B609" s="202"/>
      <c r="C609" s="202"/>
      <c r="D609" s="202"/>
      <c r="E609" s="202"/>
      <c r="F609" s="202"/>
      <c r="G609" s="202"/>
      <c r="H609" s="202"/>
      <c r="I609" s="202"/>
      <c r="J609" s="202"/>
      <c r="K609" s="202"/>
      <c r="L609" s="202"/>
      <c r="M609" s="202"/>
      <c r="N609" s="202"/>
      <c r="O609" s="202"/>
      <c r="P609" s="202"/>
    </row>
    <row r="610" spans="1:16" ht="15" customHeight="1" x14ac:dyDescent="0.2">
      <c r="A610" s="202"/>
      <c r="B610" s="202"/>
      <c r="C610" s="202"/>
      <c r="D610" s="202"/>
      <c r="E610" s="202"/>
      <c r="F610" s="202"/>
      <c r="G610" s="202"/>
      <c r="H610" s="202"/>
      <c r="I610" s="202"/>
      <c r="J610" s="202"/>
      <c r="K610" s="202"/>
      <c r="L610" s="202"/>
      <c r="M610" s="202"/>
      <c r="N610" s="202"/>
      <c r="O610" s="202"/>
      <c r="P610" s="202"/>
    </row>
    <row r="611" spans="1:16" ht="15" customHeight="1" x14ac:dyDescent="0.2">
      <c r="A611" s="202"/>
      <c r="B611" s="202"/>
      <c r="C611" s="202"/>
      <c r="D611" s="202"/>
      <c r="E611" s="202"/>
      <c r="F611" s="202"/>
      <c r="G611" s="202"/>
      <c r="H611" s="202"/>
      <c r="I611" s="202"/>
      <c r="J611" s="202"/>
      <c r="K611" s="202"/>
      <c r="L611" s="202"/>
      <c r="M611" s="202"/>
      <c r="N611" s="202"/>
      <c r="O611" s="202"/>
      <c r="P611" s="202"/>
    </row>
    <row r="612" spans="1:16" ht="15" customHeight="1" x14ac:dyDescent="0.2">
      <c r="A612" s="202"/>
      <c r="B612" s="202"/>
      <c r="C612" s="202"/>
      <c r="D612" s="202"/>
      <c r="E612" s="202"/>
      <c r="F612" s="202"/>
      <c r="G612" s="202"/>
      <c r="H612" s="202"/>
      <c r="I612" s="202"/>
      <c r="J612" s="202"/>
      <c r="K612" s="202"/>
      <c r="L612" s="202"/>
      <c r="M612" s="202"/>
      <c r="N612" s="202"/>
      <c r="O612" s="202"/>
      <c r="P612" s="202"/>
    </row>
    <row r="613" spans="1:16" ht="15" customHeight="1" x14ac:dyDescent="0.2">
      <c r="A613" s="202"/>
      <c r="B613" s="202"/>
      <c r="C613" s="202"/>
      <c r="D613" s="202"/>
      <c r="E613" s="202"/>
      <c r="F613" s="202"/>
      <c r="G613" s="202"/>
      <c r="H613" s="202"/>
      <c r="I613" s="202"/>
      <c r="J613" s="202"/>
      <c r="K613" s="202"/>
      <c r="L613" s="202"/>
      <c r="M613" s="202"/>
      <c r="N613" s="202"/>
      <c r="O613" s="202"/>
      <c r="P613" s="202"/>
    </row>
    <row r="614" spans="1:16" ht="15" customHeight="1" x14ac:dyDescent="0.2">
      <c r="A614" s="202"/>
      <c r="B614" s="202"/>
      <c r="C614" s="202"/>
      <c r="D614" s="202"/>
      <c r="E614" s="202"/>
      <c r="F614" s="202"/>
      <c r="G614" s="202"/>
      <c r="H614" s="202"/>
      <c r="I614" s="202"/>
      <c r="J614" s="202"/>
      <c r="K614" s="202"/>
      <c r="L614" s="202"/>
      <c r="M614" s="202"/>
      <c r="N614" s="202"/>
      <c r="O614" s="202"/>
      <c r="P614" s="202"/>
    </row>
    <row r="615" spans="1:16" ht="15" customHeight="1" x14ac:dyDescent="0.2">
      <c r="A615" s="202"/>
      <c r="B615" s="202"/>
      <c r="C615" s="202"/>
      <c r="D615" s="202"/>
      <c r="E615" s="202"/>
      <c r="F615" s="202"/>
      <c r="G615" s="202"/>
      <c r="H615" s="202"/>
      <c r="I615" s="202"/>
      <c r="J615" s="202"/>
      <c r="K615" s="202"/>
      <c r="L615" s="202"/>
      <c r="M615" s="202"/>
      <c r="N615" s="202"/>
      <c r="O615" s="202"/>
      <c r="P615" s="202"/>
    </row>
    <row r="616" spans="1:16" ht="15" customHeight="1" x14ac:dyDescent="0.2">
      <c r="A616" s="202"/>
      <c r="B616" s="202"/>
      <c r="C616" s="202"/>
      <c r="D616" s="202"/>
      <c r="E616" s="202"/>
      <c r="F616" s="202"/>
      <c r="G616" s="202"/>
      <c r="H616" s="202"/>
      <c r="I616" s="202"/>
      <c r="J616" s="202"/>
      <c r="K616" s="202"/>
      <c r="L616" s="202"/>
      <c r="M616" s="202"/>
      <c r="N616" s="202"/>
      <c r="O616" s="202"/>
      <c r="P616" s="202"/>
    </row>
    <row r="617" spans="1:16" ht="14.25" customHeight="1" x14ac:dyDescent="0.2">
      <c r="A617" s="202"/>
      <c r="B617" s="202"/>
      <c r="C617" s="202"/>
      <c r="D617" s="202"/>
      <c r="E617" s="202"/>
      <c r="F617" s="202"/>
      <c r="G617" s="202"/>
      <c r="H617" s="202"/>
      <c r="I617" s="202"/>
      <c r="J617" s="202"/>
      <c r="K617" s="202"/>
      <c r="L617" s="202"/>
      <c r="M617" s="202"/>
      <c r="N617" s="202"/>
      <c r="O617" s="202"/>
      <c r="P617" s="202"/>
    </row>
    <row r="618" spans="1:16" ht="14.25" customHeight="1" x14ac:dyDescent="0.2">
      <c r="A618" s="202"/>
      <c r="B618" s="202"/>
      <c r="C618" s="202"/>
      <c r="D618" s="202"/>
      <c r="E618" s="202"/>
      <c r="F618" s="202"/>
      <c r="G618" s="202"/>
      <c r="H618" s="202"/>
      <c r="I618" s="202"/>
      <c r="J618" s="202"/>
      <c r="K618" s="202"/>
      <c r="L618" s="202"/>
      <c r="M618" s="202"/>
      <c r="N618" s="202"/>
      <c r="O618" s="202"/>
      <c r="P618" s="202"/>
    </row>
    <row r="619" spans="1:16" x14ac:dyDescent="0.2">
      <c r="A619" s="202"/>
      <c r="B619" s="202"/>
      <c r="C619" s="202"/>
      <c r="D619" s="202"/>
      <c r="E619" s="202"/>
      <c r="F619" s="202"/>
      <c r="G619" s="202"/>
      <c r="H619" s="202"/>
      <c r="I619" s="202"/>
      <c r="J619" s="202"/>
      <c r="K619" s="202"/>
      <c r="L619" s="202"/>
      <c r="M619" s="202"/>
      <c r="N619" s="202"/>
      <c r="O619" s="202"/>
      <c r="P619" s="202"/>
    </row>
    <row r="620" spans="1:16" ht="15" customHeight="1" x14ac:dyDescent="0.2">
      <c r="A620" s="202"/>
      <c r="B620" s="202"/>
      <c r="C620" s="202"/>
      <c r="D620" s="202"/>
      <c r="E620" s="202"/>
      <c r="F620" s="202"/>
      <c r="G620" s="202"/>
      <c r="H620" s="202"/>
      <c r="I620" s="202"/>
      <c r="J620" s="202"/>
      <c r="K620" s="202"/>
      <c r="L620" s="202"/>
      <c r="M620" s="202"/>
      <c r="N620" s="202"/>
      <c r="O620" s="202"/>
      <c r="P620" s="202"/>
    </row>
    <row r="621" spans="1:16" ht="15" customHeight="1" x14ac:dyDescent="0.2">
      <c r="A621" s="202"/>
      <c r="B621" s="202"/>
      <c r="C621" s="202"/>
      <c r="D621" s="202"/>
      <c r="E621" s="202"/>
      <c r="F621" s="202"/>
      <c r="G621" s="202"/>
      <c r="H621" s="202"/>
      <c r="I621" s="202"/>
      <c r="J621" s="202"/>
      <c r="K621" s="202"/>
      <c r="L621" s="202"/>
      <c r="M621" s="202"/>
      <c r="N621" s="202"/>
      <c r="O621" s="202"/>
      <c r="P621" s="202"/>
    </row>
    <row r="622" spans="1:16" ht="14.25" customHeight="1" x14ac:dyDescent="0.2">
      <c r="A622" s="202"/>
      <c r="B622" s="202"/>
      <c r="C622" s="202"/>
      <c r="D622" s="202"/>
      <c r="E622" s="202"/>
      <c r="F622" s="202"/>
      <c r="G622" s="202"/>
      <c r="H622" s="202"/>
      <c r="I622" s="202"/>
      <c r="J622" s="202"/>
      <c r="K622" s="202"/>
      <c r="L622" s="202"/>
      <c r="M622" s="202"/>
      <c r="N622" s="202"/>
      <c r="O622" s="202"/>
      <c r="P622" s="202"/>
    </row>
    <row r="623" spans="1:16" x14ac:dyDescent="0.2">
      <c r="A623" s="202"/>
      <c r="B623" s="202"/>
      <c r="C623" s="202"/>
      <c r="D623" s="202"/>
      <c r="E623" s="202"/>
      <c r="F623" s="202"/>
      <c r="G623" s="202"/>
      <c r="H623" s="202"/>
      <c r="I623" s="202"/>
      <c r="J623" s="202"/>
      <c r="K623" s="202"/>
      <c r="L623" s="202"/>
      <c r="M623" s="202"/>
      <c r="N623" s="202"/>
      <c r="O623" s="202"/>
      <c r="P623" s="202"/>
    </row>
    <row r="624" spans="1:16" ht="15" customHeight="1" x14ac:dyDescent="0.2">
      <c r="A624" s="202"/>
      <c r="B624" s="202"/>
      <c r="C624" s="202"/>
      <c r="D624" s="202"/>
      <c r="E624" s="202"/>
      <c r="F624" s="202"/>
      <c r="G624" s="202"/>
      <c r="H624" s="202"/>
      <c r="I624" s="202"/>
      <c r="J624" s="202"/>
      <c r="K624" s="202"/>
      <c r="L624" s="202"/>
      <c r="M624" s="202"/>
      <c r="N624" s="202"/>
      <c r="O624" s="202"/>
      <c r="P624" s="202"/>
    </row>
    <row r="625" spans="1:16" ht="15" customHeight="1" x14ac:dyDescent="0.2">
      <c r="A625" s="202"/>
      <c r="B625" s="202"/>
      <c r="C625" s="202"/>
      <c r="D625" s="202"/>
      <c r="E625" s="202"/>
      <c r="F625" s="202"/>
      <c r="G625" s="202"/>
      <c r="H625" s="202"/>
      <c r="I625" s="202"/>
      <c r="J625" s="202"/>
      <c r="K625" s="202"/>
      <c r="L625" s="202"/>
      <c r="M625" s="202"/>
      <c r="N625" s="202"/>
      <c r="O625" s="202"/>
      <c r="P625" s="202"/>
    </row>
    <row r="626" spans="1:16" ht="14.25" customHeight="1" x14ac:dyDescent="0.2">
      <c r="A626" s="202"/>
      <c r="B626" s="202"/>
      <c r="C626" s="202"/>
      <c r="D626" s="202"/>
      <c r="E626" s="202"/>
      <c r="F626" s="202"/>
      <c r="G626" s="202"/>
      <c r="H626" s="202"/>
      <c r="I626" s="202"/>
      <c r="J626" s="202"/>
      <c r="K626" s="202"/>
      <c r="L626" s="202"/>
      <c r="M626" s="202"/>
      <c r="N626" s="202"/>
      <c r="O626" s="202"/>
      <c r="P626" s="202"/>
    </row>
    <row r="627" spans="1:16" x14ac:dyDescent="0.2">
      <c r="A627" s="202"/>
      <c r="B627" s="202"/>
      <c r="C627" s="202"/>
      <c r="D627" s="202"/>
      <c r="E627" s="202"/>
      <c r="F627" s="202"/>
      <c r="G627" s="202"/>
      <c r="H627" s="202"/>
      <c r="I627" s="202"/>
      <c r="J627" s="202"/>
      <c r="K627" s="202"/>
      <c r="L627" s="202"/>
      <c r="M627" s="202"/>
      <c r="N627" s="202"/>
      <c r="O627" s="202"/>
      <c r="P627" s="202"/>
    </row>
    <row r="628" spans="1:16" ht="15" customHeight="1" x14ac:dyDescent="0.2">
      <c r="A628" s="202"/>
      <c r="B628" s="202"/>
      <c r="C628" s="202"/>
      <c r="D628" s="202"/>
      <c r="E628" s="202"/>
      <c r="F628" s="202"/>
      <c r="G628" s="202"/>
      <c r="H628" s="202"/>
      <c r="I628" s="202"/>
      <c r="J628" s="202"/>
      <c r="K628" s="202"/>
      <c r="L628" s="202"/>
      <c r="M628" s="202"/>
      <c r="N628" s="202"/>
      <c r="O628" s="202"/>
      <c r="P628" s="202"/>
    </row>
    <row r="629" spans="1:16" ht="15" customHeight="1" x14ac:dyDescent="0.2">
      <c r="A629" s="202"/>
      <c r="B629" s="202"/>
      <c r="C629" s="202"/>
      <c r="D629" s="202"/>
      <c r="E629" s="202"/>
      <c r="F629" s="202"/>
      <c r="G629" s="202"/>
      <c r="H629" s="202"/>
      <c r="I629" s="202"/>
      <c r="J629" s="202"/>
      <c r="K629" s="202"/>
      <c r="L629" s="202"/>
      <c r="M629" s="202"/>
      <c r="N629" s="202"/>
      <c r="O629" s="202"/>
      <c r="P629" s="202"/>
    </row>
    <row r="630" spans="1:16" ht="14.25" customHeight="1" x14ac:dyDescent="0.2">
      <c r="A630" s="202"/>
      <c r="B630" s="202"/>
      <c r="C630" s="202"/>
      <c r="D630" s="202"/>
      <c r="E630" s="202"/>
      <c r="F630" s="202"/>
      <c r="G630" s="202"/>
      <c r="H630" s="202"/>
      <c r="I630" s="202"/>
      <c r="J630" s="202"/>
      <c r="K630" s="202"/>
      <c r="L630" s="202"/>
      <c r="M630" s="202"/>
      <c r="N630" s="202"/>
      <c r="O630" s="202"/>
      <c r="P630" s="202"/>
    </row>
    <row r="631" spans="1:16" x14ac:dyDescent="0.2">
      <c r="A631" s="202"/>
      <c r="B631" s="202"/>
      <c r="C631" s="202"/>
      <c r="D631" s="202"/>
      <c r="E631" s="202"/>
      <c r="F631" s="202"/>
      <c r="G631" s="202"/>
      <c r="H631" s="202"/>
      <c r="I631" s="202"/>
      <c r="J631" s="202"/>
      <c r="K631" s="202"/>
      <c r="L631" s="202"/>
      <c r="M631" s="202"/>
      <c r="N631" s="202"/>
      <c r="O631" s="202"/>
      <c r="P631" s="202"/>
    </row>
    <row r="632" spans="1:16" ht="15" customHeight="1" x14ac:dyDescent="0.2">
      <c r="A632" s="202"/>
      <c r="B632" s="202"/>
      <c r="C632" s="202"/>
      <c r="D632" s="202"/>
      <c r="E632" s="202"/>
      <c r="F632" s="202"/>
      <c r="G632" s="202"/>
      <c r="H632" s="202"/>
      <c r="I632" s="202"/>
      <c r="J632" s="202"/>
      <c r="K632" s="202"/>
      <c r="L632" s="202"/>
      <c r="M632" s="202"/>
      <c r="N632" s="202"/>
      <c r="O632" s="202"/>
      <c r="P632" s="202"/>
    </row>
    <row r="633" spans="1:16" ht="15" customHeight="1" x14ac:dyDescent="0.2">
      <c r="A633" s="202"/>
      <c r="B633" s="202"/>
      <c r="C633" s="202"/>
      <c r="D633" s="202"/>
      <c r="E633" s="202"/>
      <c r="F633" s="202"/>
      <c r="G633" s="202"/>
      <c r="H633" s="202"/>
      <c r="I633" s="202"/>
      <c r="J633" s="202"/>
      <c r="K633" s="202"/>
      <c r="L633" s="202"/>
      <c r="M633" s="202"/>
      <c r="N633" s="202"/>
      <c r="O633" s="202"/>
      <c r="P633" s="202"/>
    </row>
    <row r="634" spans="1:16" ht="14.25" customHeight="1" x14ac:dyDescent="0.2">
      <c r="A634" s="202"/>
      <c r="B634" s="202"/>
      <c r="C634" s="202"/>
      <c r="D634" s="202"/>
      <c r="E634" s="202"/>
      <c r="F634" s="202"/>
      <c r="G634" s="202"/>
      <c r="H634" s="202"/>
      <c r="I634" s="202"/>
      <c r="J634" s="202"/>
      <c r="K634" s="202"/>
      <c r="L634" s="202"/>
      <c r="M634" s="202"/>
      <c r="N634" s="202"/>
      <c r="O634" s="202"/>
      <c r="P634" s="202"/>
    </row>
    <row r="635" spans="1:16" x14ac:dyDescent="0.2">
      <c r="A635" s="202"/>
      <c r="B635" s="202"/>
      <c r="C635" s="202"/>
      <c r="D635" s="202"/>
      <c r="E635" s="202"/>
      <c r="F635" s="202"/>
      <c r="G635" s="202"/>
      <c r="H635" s="202"/>
      <c r="I635" s="202"/>
      <c r="J635" s="202"/>
      <c r="K635" s="202"/>
      <c r="L635" s="202"/>
      <c r="M635" s="202"/>
      <c r="N635" s="202"/>
      <c r="O635" s="202"/>
      <c r="P635" s="202"/>
    </row>
    <row r="636" spans="1:16" ht="15" customHeight="1" x14ac:dyDescent="0.2">
      <c r="A636" s="202"/>
      <c r="B636" s="202"/>
      <c r="C636" s="202"/>
      <c r="D636" s="202"/>
      <c r="E636" s="202"/>
      <c r="F636" s="202"/>
      <c r="G636" s="202"/>
      <c r="H636" s="202"/>
      <c r="I636" s="202"/>
      <c r="J636" s="202"/>
      <c r="K636" s="202"/>
      <c r="L636" s="202"/>
      <c r="M636" s="202"/>
      <c r="N636" s="202"/>
      <c r="O636" s="202"/>
      <c r="P636" s="202"/>
    </row>
    <row r="637" spans="1:16" ht="15" customHeight="1" x14ac:dyDescent="0.2">
      <c r="A637" s="202"/>
      <c r="B637" s="202"/>
      <c r="C637" s="202"/>
      <c r="D637" s="202"/>
      <c r="E637" s="202"/>
      <c r="F637" s="202"/>
      <c r="G637" s="202"/>
      <c r="H637" s="202"/>
      <c r="I637" s="202"/>
      <c r="J637" s="202"/>
      <c r="K637" s="202"/>
      <c r="L637" s="202"/>
      <c r="M637" s="202"/>
      <c r="N637" s="202"/>
      <c r="O637" s="202"/>
      <c r="P637" s="202"/>
    </row>
    <row r="638" spans="1:16" ht="15" customHeight="1" x14ac:dyDescent="0.2">
      <c r="A638" s="202"/>
      <c r="B638" s="202"/>
      <c r="C638" s="202"/>
      <c r="D638" s="202"/>
      <c r="E638" s="202"/>
      <c r="F638" s="202"/>
      <c r="G638" s="202"/>
      <c r="H638" s="202"/>
      <c r="I638" s="202"/>
      <c r="J638" s="202"/>
      <c r="K638" s="202"/>
      <c r="L638" s="202"/>
      <c r="M638" s="202"/>
      <c r="N638" s="202"/>
      <c r="O638" s="202"/>
      <c r="P638" s="202"/>
    </row>
    <row r="639" spans="1:16" x14ac:dyDescent="0.2">
      <c r="A639" s="202"/>
      <c r="B639" s="202"/>
      <c r="C639" s="202"/>
      <c r="D639" s="202"/>
      <c r="E639" s="202"/>
      <c r="F639" s="202"/>
      <c r="G639" s="202"/>
      <c r="H639" s="202"/>
      <c r="I639" s="202"/>
      <c r="J639" s="202"/>
      <c r="K639" s="202"/>
      <c r="L639" s="202"/>
      <c r="M639" s="202"/>
      <c r="N639" s="202"/>
      <c r="O639" s="202"/>
      <c r="P639" s="202"/>
    </row>
    <row r="640" spans="1:16" ht="15" customHeight="1" x14ac:dyDescent="0.2">
      <c r="A640" s="202"/>
      <c r="B640" s="202"/>
      <c r="C640" s="202"/>
      <c r="D640" s="202"/>
      <c r="E640" s="202"/>
      <c r="F640" s="202"/>
      <c r="G640" s="202"/>
      <c r="H640" s="202"/>
      <c r="I640" s="202"/>
      <c r="J640" s="202"/>
      <c r="K640" s="202"/>
      <c r="L640" s="202"/>
      <c r="M640" s="202"/>
      <c r="N640" s="202"/>
      <c r="O640" s="202"/>
      <c r="P640" s="202"/>
    </row>
    <row r="641" spans="1:16" ht="15" customHeight="1" x14ac:dyDescent="0.2">
      <c r="A641" s="202"/>
      <c r="B641" s="202"/>
      <c r="C641" s="202"/>
      <c r="D641" s="202"/>
      <c r="E641" s="202"/>
      <c r="F641" s="202"/>
      <c r="G641" s="202"/>
      <c r="H641" s="202"/>
      <c r="I641" s="202"/>
      <c r="J641" s="202"/>
      <c r="K641" s="202"/>
      <c r="L641" s="202"/>
      <c r="M641" s="202"/>
      <c r="N641" s="202"/>
      <c r="O641" s="202"/>
      <c r="P641" s="202"/>
    </row>
    <row r="642" spans="1:16" ht="14.25" customHeight="1" x14ac:dyDescent="0.2">
      <c r="A642" s="202"/>
      <c r="B642" s="202"/>
      <c r="C642" s="202"/>
      <c r="D642" s="202"/>
      <c r="E642" s="202"/>
      <c r="F642" s="202"/>
      <c r="G642" s="202"/>
      <c r="H642" s="202"/>
      <c r="I642" s="202"/>
      <c r="J642" s="202"/>
      <c r="K642" s="202"/>
      <c r="L642" s="202"/>
      <c r="M642" s="202"/>
      <c r="N642" s="202"/>
      <c r="O642" s="202"/>
      <c r="P642" s="202"/>
    </row>
    <row r="643" spans="1:16" x14ac:dyDescent="0.2">
      <c r="A643" s="202"/>
      <c r="B643" s="202"/>
      <c r="C643" s="202"/>
      <c r="D643" s="202"/>
      <c r="E643" s="202"/>
      <c r="F643" s="202"/>
      <c r="G643" s="202"/>
      <c r="H643" s="202"/>
      <c r="I643" s="202"/>
      <c r="J643" s="202"/>
      <c r="K643" s="202"/>
      <c r="L643" s="202"/>
      <c r="M643" s="202"/>
      <c r="N643" s="202"/>
      <c r="O643" s="202"/>
      <c r="P643" s="202"/>
    </row>
    <row r="644" spans="1:16" ht="15" customHeight="1" x14ac:dyDescent="0.2">
      <c r="A644" s="202"/>
      <c r="B644" s="202"/>
      <c r="C644" s="202"/>
      <c r="D644" s="202"/>
      <c r="E644" s="202"/>
      <c r="F644" s="202"/>
      <c r="G644" s="202"/>
      <c r="H644" s="202"/>
      <c r="I644" s="202"/>
      <c r="J644" s="202"/>
      <c r="K644" s="202"/>
      <c r="L644" s="202"/>
      <c r="M644" s="202"/>
      <c r="N644" s="202"/>
      <c r="O644" s="202"/>
      <c r="P644" s="202"/>
    </row>
    <row r="645" spans="1:16" ht="15" customHeight="1" x14ac:dyDescent="0.2">
      <c r="A645" s="202"/>
      <c r="B645" s="202"/>
      <c r="C645" s="202"/>
      <c r="D645" s="202"/>
      <c r="E645" s="202"/>
      <c r="F645" s="202"/>
      <c r="G645" s="202"/>
      <c r="H645" s="202"/>
      <c r="I645" s="202"/>
      <c r="J645" s="202"/>
      <c r="K645" s="202"/>
      <c r="L645" s="202"/>
      <c r="M645" s="202"/>
      <c r="N645" s="202"/>
      <c r="O645" s="202"/>
      <c r="P645" s="202"/>
    </row>
    <row r="646" spans="1:16" ht="14.25" customHeight="1" x14ac:dyDescent="0.2">
      <c r="A646" s="202"/>
      <c r="B646" s="202"/>
      <c r="C646" s="202"/>
      <c r="D646" s="202"/>
      <c r="E646" s="202"/>
      <c r="F646" s="202"/>
      <c r="G646" s="202"/>
      <c r="H646" s="202"/>
      <c r="I646" s="202"/>
      <c r="J646" s="202"/>
      <c r="K646" s="202"/>
      <c r="L646" s="202"/>
      <c r="M646" s="202"/>
      <c r="N646" s="202"/>
      <c r="O646" s="202"/>
      <c r="P646" s="202"/>
    </row>
    <row r="647" spans="1:16" x14ac:dyDescent="0.2">
      <c r="A647" s="202"/>
      <c r="B647" s="202"/>
      <c r="C647" s="202"/>
      <c r="D647" s="202"/>
      <c r="E647" s="202"/>
      <c r="F647" s="202"/>
      <c r="G647" s="202"/>
      <c r="H647" s="202"/>
      <c r="I647" s="202"/>
      <c r="J647" s="202"/>
      <c r="K647" s="202"/>
      <c r="L647" s="202"/>
      <c r="M647" s="202"/>
      <c r="N647" s="202"/>
      <c r="O647" s="202"/>
      <c r="P647" s="202"/>
    </row>
    <row r="648" spans="1:16" ht="15" customHeight="1" x14ac:dyDescent="0.2">
      <c r="A648" s="202"/>
      <c r="B648" s="202"/>
      <c r="C648" s="202"/>
      <c r="D648" s="202"/>
      <c r="E648" s="202"/>
      <c r="F648" s="202"/>
      <c r="G648" s="202"/>
      <c r="H648" s="202"/>
      <c r="I648" s="202"/>
      <c r="J648" s="202"/>
      <c r="K648" s="202"/>
      <c r="L648" s="202"/>
      <c r="M648" s="202"/>
      <c r="N648" s="202"/>
      <c r="O648" s="202"/>
      <c r="P648" s="202"/>
    </row>
    <row r="649" spans="1:16" ht="15" customHeight="1" x14ac:dyDescent="0.2">
      <c r="A649" s="202"/>
      <c r="B649" s="202"/>
      <c r="C649" s="202"/>
      <c r="D649" s="202"/>
      <c r="E649" s="202"/>
      <c r="F649" s="202"/>
      <c r="G649" s="202"/>
      <c r="H649" s="202"/>
      <c r="I649" s="202"/>
      <c r="J649" s="202"/>
      <c r="K649" s="202"/>
      <c r="L649" s="202"/>
      <c r="M649" s="202"/>
      <c r="N649" s="202"/>
      <c r="O649" s="202"/>
      <c r="P649" s="202"/>
    </row>
    <row r="650" spans="1:16" ht="14.25" customHeight="1" x14ac:dyDescent="0.2">
      <c r="A650" s="202"/>
      <c r="B650" s="202"/>
      <c r="C650" s="202"/>
      <c r="D650" s="202"/>
      <c r="E650" s="202"/>
      <c r="F650" s="202"/>
      <c r="G650" s="202"/>
      <c r="H650" s="202"/>
      <c r="I650" s="202"/>
      <c r="J650" s="202"/>
      <c r="K650" s="202"/>
      <c r="L650" s="202"/>
      <c r="M650" s="202"/>
      <c r="N650" s="202"/>
      <c r="O650" s="202"/>
      <c r="P650" s="202"/>
    </row>
    <row r="651" spans="1:16" x14ac:dyDescent="0.2">
      <c r="A651" s="202"/>
      <c r="B651" s="202"/>
      <c r="C651" s="202"/>
      <c r="D651" s="202"/>
      <c r="E651" s="202"/>
      <c r="F651" s="202"/>
      <c r="G651" s="202"/>
      <c r="H651" s="202"/>
      <c r="I651" s="202"/>
      <c r="J651" s="202"/>
      <c r="K651" s="202"/>
      <c r="L651" s="202"/>
      <c r="M651" s="202"/>
      <c r="N651" s="202"/>
      <c r="O651" s="202"/>
      <c r="P651" s="202"/>
    </row>
    <row r="652" spans="1:16" ht="15" customHeight="1" x14ac:dyDescent="0.2">
      <c r="A652" s="202"/>
      <c r="B652" s="202"/>
      <c r="C652" s="202"/>
      <c r="D652" s="202"/>
      <c r="E652" s="202"/>
      <c r="F652" s="202"/>
      <c r="G652" s="202"/>
      <c r="H652" s="202"/>
      <c r="I652" s="202"/>
      <c r="J652" s="202"/>
      <c r="K652" s="202"/>
      <c r="L652" s="202"/>
      <c r="M652" s="202"/>
      <c r="N652" s="202"/>
      <c r="O652" s="202"/>
      <c r="P652" s="202"/>
    </row>
    <row r="653" spans="1:16" ht="15" customHeight="1" x14ac:dyDescent="0.2">
      <c r="A653" s="202"/>
      <c r="B653" s="202"/>
      <c r="C653" s="202"/>
      <c r="D653" s="202"/>
      <c r="E653" s="202"/>
      <c r="F653" s="202"/>
      <c r="G653" s="202"/>
      <c r="H653" s="202"/>
      <c r="I653" s="202"/>
      <c r="J653" s="202"/>
      <c r="K653" s="202"/>
      <c r="L653" s="202"/>
      <c r="M653" s="202"/>
      <c r="N653" s="202"/>
      <c r="O653" s="202"/>
      <c r="P653" s="202"/>
    </row>
    <row r="654" spans="1:16" ht="14.25" customHeight="1" x14ac:dyDescent="0.2">
      <c r="A654" s="202"/>
      <c r="B654" s="202"/>
      <c r="C654" s="202"/>
      <c r="D654" s="202"/>
      <c r="E654" s="202"/>
      <c r="F654" s="202"/>
      <c r="G654" s="202"/>
      <c r="H654" s="202"/>
      <c r="I654" s="202"/>
      <c r="J654" s="202"/>
      <c r="K654" s="202"/>
      <c r="L654" s="202"/>
      <c r="M654" s="202"/>
      <c r="N654" s="202"/>
      <c r="O654" s="202"/>
      <c r="P654" s="202"/>
    </row>
    <row r="655" spans="1:16" x14ac:dyDescent="0.2">
      <c r="A655" s="202"/>
      <c r="B655" s="202"/>
      <c r="C655" s="202"/>
      <c r="D655" s="202"/>
      <c r="E655" s="202"/>
      <c r="F655" s="202"/>
      <c r="G655" s="202"/>
      <c r="H655" s="202"/>
      <c r="I655" s="202"/>
      <c r="J655" s="202"/>
      <c r="K655" s="202"/>
      <c r="L655" s="202"/>
      <c r="M655" s="202"/>
      <c r="N655" s="202"/>
      <c r="O655" s="202"/>
      <c r="P655" s="202"/>
    </row>
    <row r="656" spans="1:16" x14ac:dyDescent="0.2">
      <c r="A656" s="202"/>
      <c r="B656" s="202"/>
      <c r="C656" s="202"/>
      <c r="D656" s="202"/>
      <c r="E656" s="202"/>
      <c r="F656" s="202"/>
      <c r="G656" s="202"/>
      <c r="H656" s="202"/>
      <c r="I656" s="202"/>
      <c r="J656" s="202"/>
      <c r="K656" s="202"/>
      <c r="L656" s="202"/>
      <c r="M656" s="202"/>
      <c r="N656" s="202"/>
      <c r="O656" s="202"/>
      <c r="P656" s="202"/>
    </row>
    <row r="657" spans="1:16" ht="15" customHeight="1" x14ac:dyDescent="0.2">
      <c r="A657" s="202"/>
      <c r="B657" s="202"/>
      <c r="C657" s="202"/>
      <c r="D657" s="202"/>
      <c r="E657" s="202"/>
      <c r="F657" s="202"/>
      <c r="G657" s="202"/>
      <c r="H657" s="202"/>
      <c r="I657" s="202"/>
      <c r="J657" s="202"/>
      <c r="K657" s="202"/>
      <c r="L657" s="202"/>
      <c r="M657" s="202"/>
      <c r="N657" s="202"/>
      <c r="O657" s="202"/>
      <c r="P657" s="202"/>
    </row>
    <row r="658" spans="1:16" ht="15" customHeight="1" x14ac:dyDescent="0.2">
      <c r="A658" s="202"/>
      <c r="B658" s="202"/>
      <c r="C658" s="202"/>
      <c r="D658" s="202"/>
      <c r="E658" s="202"/>
      <c r="F658" s="202"/>
      <c r="G658" s="202"/>
      <c r="H658" s="202"/>
      <c r="I658" s="202"/>
      <c r="J658" s="202"/>
      <c r="K658" s="202"/>
      <c r="L658" s="202"/>
      <c r="M658" s="202"/>
      <c r="N658" s="202"/>
      <c r="O658" s="202"/>
      <c r="P658" s="202"/>
    </row>
    <row r="659" spans="1:16" ht="15" customHeight="1" x14ac:dyDescent="0.2">
      <c r="A659" s="202"/>
      <c r="B659" s="202"/>
      <c r="C659" s="202"/>
      <c r="D659" s="202"/>
      <c r="E659" s="202"/>
      <c r="F659" s="202"/>
      <c r="G659" s="202"/>
      <c r="H659" s="202"/>
      <c r="I659" s="202"/>
      <c r="J659" s="202"/>
      <c r="K659" s="202"/>
      <c r="L659" s="202"/>
      <c r="M659" s="202"/>
      <c r="N659" s="202"/>
      <c r="O659" s="202"/>
      <c r="P659" s="202"/>
    </row>
    <row r="660" spans="1:16" ht="14.25" customHeight="1" x14ac:dyDescent="0.2">
      <c r="A660" s="202"/>
      <c r="B660" s="202"/>
      <c r="C660" s="202"/>
      <c r="D660" s="202"/>
      <c r="E660" s="202"/>
      <c r="F660" s="202"/>
      <c r="G660" s="202"/>
      <c r="H660" s="202"/>
      <c r="I660" s="202"/>
      <c r="J660" s="202"/>
      <c r="K660" s="202"/>
      <c r="L660" s="202"/>
      <c r="M660" s="202"/>
      <c r="N660" s="202"/>
      <c r="O660" s="202"/>
      <c r="P660" s="202"/>
    </row>
    <row r="661" spans="1:16" x14ac:dyDescent="0.2">
      <c r="A661" s="202"/>
      <c r="B661" s="202"/>
      <c r="C661" s="202"/>
      <c r="D661" s="202"/>
      <c r="E661" s="202"/>
      <c r="F661" s="202"/>
      <c r="G661" s="202"/>
      <c r="H661" s="202"/>
      <c r="I661" s="202"/>
      <c r="J661" s="202"/>
      <c r="K661" s="202"/>
      <c r="L661" s="202"/>
      <c r="M661" s="202"/>
      <c r="N661" s="202"/>
      <c r="O661" s="202"/>
      <c r="P661" s="202"/>
    </row>
    <row r="662" spans="1:16" ht="15" customHeight="1" x14ac:dyDescent="0.2">
      <c r="A662" s="202"/>
      <c r="B662" s="202"/>
      <c r="C662" s="202"/>
      <c r="D662" s="202"/>
      <c r="E662" s="202"/>
      <c r="F662" s="202"/>
      <c r="G662" s="202"/>
      <c r="H662" s="202"/>
      <c r="I662" s="202"/>
      <c r="J662" s="202"/>
      <c r="K662" s="202"/>
      <c r="L662" s="202"/>
      <c r="M662" s="202"/>
      <c r="N662" s="202"/>
      <c r="O662" s="202"/>
      <c r="P662" s="202"/>
    </row>
    <row r="663" spans="1:16" ht="15" customHeight="1" x14ac:dyDescent="0.2">
      <c r="A663" s="202"/>
      <c r="B663" s="202"/>
      <c r="C663" s="202"/>
      <c r="D663" s="202"/>
      <c r="E663" s="202"/>
      <c r="F663" s="202"/>
      <c r="G663" s="202"/>
      <c r="H663" s="202"/>
      <c r="I663" s="202"/>
      <c r="J663" s="202"/>
      <c r="K663" s="202"/>
      <c r="L663" s="202"/>
      <c r="M663" s="202"/>
      <c r="N663" s="202"/>
      <c r="O663" s="202"/>
      <c r="P663" s="202"/>
    </row>
    <row r="664" spans="1:16" ht="14.25" customHeight="1" x14ac:dyDescent="0.2">
      <c r="A664" s="202"/>
      <c r="B664" s="202"/>
      <c r="C664" s="202"/>
      <c r="D664" s="202"/>
      <c r="E664" s="202"/>
      <c r="F664" s="202"/>
      <c r="G664" s="202"/>
      <c r="H664" s="202"/>
      <c r="I664" s="202"/>
      <c r="J664" s="202"/>
      <c r="K664" s="202"/>
      <c r="L664" s="202"/>
      <c r="M664" s="202"/>
      <c r="N664" s="202"/>
      <c r="O664" s="202"/>
      <c r="P664" s="202"/>
    </row>
    <row r="665" spans="1:16" ht="14.25" customHeight="1" x14ac:dyDescent="0.2">
      <c r="A665" s="202"/>
      <c r="B665" s="202"/>
      <c r="C665" s="202"/>
      <c r="D665" s="202"/>
      <c r="E665" s="202"/>
      <c r="F665" s="202"/>
      <c r="G665" s="202"/>
      <c r="H665" s="202"/>
      <c r="I665" s="202"/>
      <c r="J665" s="202"/>
      <c r="K665" s="202"/>
      <c r="L665" s="202"/>
      <c r="M665" s="202"/>
      <c r="N665" s="202"/>
      <c r="O665" s="202"/>
      <c r="P665" s="202"/>
    </row>
    <row r="666" spans="1:16" x14ac:dyDescent="0.2">
      <c r="A666" s="202"/>
      <c r="B666" s="202"/>
      <c r="C666" s="202"/>
      <c r="D666" s="202"/>
      <c r="E666" s="202"/>
      <c r="F666" s="202"/>
      <c r="G666" s="202"/>
      <c r="H666" s="202"/>
      <c r="I666" s="202"/>
      <c r="J666" s="202"/>
      <c r="K666" s="202"/>
      <c r="L666" s="202"/>
      <c r="M666" s="202"/>
      <c r="N666" s="202"/>
      <c r="O666" s="202"/>
      <c r="P666" s="202"/>
    </row>
    <row r="667" spans="1:16" ht="14.25" customHeight="1" x14ac:dyDescent="0.2">
      <c r="A667" s="202"/>
      <c r="B667" s="202"/>
      <c r="C667" s="202"/>
      <c r="D667" s="202"/>
      <c r="E667" s="202"/>
      <c r="F667" s="202"/>
      <c r="G667" s="202"/>
      <c r="H667" s="202"/>
      <c r="I667" s="202"/>
      <c r="J667" s="202"/>
      <c r="K667" s="202"/>
      <c r="L667" s="202"/>
      <c r="M667" s="202"/>
      <c r="N667" s="202"/>
      <c r="O667" s="202"/>
      <c r="P667" s="202"/>
    </row>
    <row r="668" spans="1:16" x14ac:dyDescent="0.2">
      <c r="A668" s="202"/>
      <c r="B668" s="202"/>
      <c r="C668" s="202"/>
      <c r="D668" s="202"/>
      <c r="E668" s="202"/>
      <c r="F668" s="202"/>
      <c r="G668" s="202"/>
      <c r="H668" s="202"/>
      <c r="I668" s="202"/>
      <c r="J668" s="202"/>
      <c r="K668" s="202"/>
      <c r="L668" s="202"/>
      <c r="M668" s="202"/>
      <c r="N668" s="202"/>
      <c r="O668" s="202"/>
      <c r="P668" s="202"/>
    </row>
    <row r="669" spans="1:16" ht="15" customHeight="1" x14ac:dyDescent="0.2">
      <c r="A669" s="202"/>
      <c r="B669" s="202"/>
      <c r="C669" s="202"/>
      <c r="D669" s="202"/>
      <c r="E669" s="202"/>
      <c r="F669" s="202"/>
      <c r="G669" s="202"/>
      <c r="H669" s="202"/>
      <c r="I669" s="202"/>
      <c r="J669" s="202"/>
      <c r="K669" s="202"/>
      <c r="L669" s="202"/>
      <c r="M669" s="202"/>
      <c r="N669" s="202"/>
      <c r="O669" s="202"/>
      <c r="P669" s="202"/>
    </row>
    <row r="670" spans="1:16" ht="15" customHeight="1" x14ac:dyDescent="0.2">
      <c r="A670" s="202"/>
      <c r="B670" s="202"/>
      <c r="C670" s="202"/>
      <c r="D670" s="202"/>
      <c r="E670" s="202"/>
      <c r="F670" s="202"/>
      <c r="G670" s="202"/>
      <c r="H670" s="202"/>
      <c r="I670" s="202"/>
      <c r="J670" s="202"/>
      <c r="K670" s="202"/>
      <c r="L670" s="202"/>
      <c r="M670" s="202"/>
      <c r="N670" s="202"/>
      <c r="O670" s="202"/>
      <c r="P670" s="202"/>
    </row>
    <row r="671" spans="1:16" ht="14.25" customHeight="1" x14ac:dyDescent="0.2">
      <c r="A671" s="202"/>
      <c r="B671" s="202"/>
      <c r="C671" s="202"/>
      <c r="D671" s="202"/>
      <c r="E671" s="202"/>
      <c r="F671" s="202"/>
      <c r="G671" s="202"/>
      <c r="H671" s="202"/>
      <c r="I671" s="202"/>
      <c r="J671" s="202"/>
      <c r="K671" s="202"/>
      <c r="L671" s="202"/>
      <c r="M671" s="202"/>
      <c r="N671" s="202"/>
      <c r="O671" s="202"/>
      <c r="P671" s="202"/>
    </row>
    <row r="672" spans="1:16" x14ac:dyDescent="0.2">
      <c r="A672" s="202"/>
      <c r="B672" s="202"/>
      <c r="C672" s="202"/>
      <c r="D672" s="202"/>
      <c r="E672" s="202"/>
      <c r="F672" s="202"/>
      <c r="G672" s="202"/>
      <c r="H672" s="202"/>
      <c r="I672" s="202"/>
      <c r="J672" s="202"/>
      <c r="K672" s="202"/>
      <c r="L672" s="202"/>
      <c r="M672" s="202"/>
      <c r="N672" s="202"/>
      <c r="O672" s="202"/>
      <c r="P672" s="202"/>
    </row>
    <row r="673" spans="1:16" ht="15" customHeight="1" x14ac:dyDescent="0.2">
      <c r="A673" s="202"/>
      <c r="B673" s="202"/>
      <c r="C673" s="202"/>
      <c r="D673" s="202"/>
      <c r="E673" s="202"/>
      <c r="F673" s="202"/>
      <c r="G673" s="202"/>
      <c r="H673" s="202"/>
      <c r="I673" s="202"/>
      <c r="J673" s="202"/>
      <c r="K673" s="202"/>
      <c r="L673" s="202"/>
      <c r="M673" s="202"/>
      <c r="N673" s="202"/>
      <c r="O673" s="202"/>
      <c r="P673" s="202"/>
    </row>
    <row r="674" spans="1:16" x14ac:dyDescent="0.2">
      <c r="A674" s="202"/>
      <c r="B674" s="202"/>
      <c r="C674" s="202"/>
      <c r="D674" s="202"/>
      <c r="E674" s="202"/>
      <c r="F674" s="202"/>
      <c r="G674" s="202"/>
      <c r="H674" s="202"/>
      <c r="I674" s="202"/>
      <c r="J674" s="202"/>
      <c r="K674" s="202"/>
      <c r="L674" s="202"/>
      <c r="M674" s="202"/>
      <c r="N674" s="202"/>
      <c r="O674" s="202"/>
      <c r="P674" s="202"/>
    </row>
    <row r="675" spans="1:16" ht="14.25" customHeight="1" x14ac:dyDescent="0.2">
      <c r="A675" s="202"/>
      <c r="B675" s="202"/>
      <c r="C675" s="202"/>
      <c r="D675" s="202"/>
      <c r="E675" s="202"/>
      <c r="F675" s="202"/>
      <c r="G675" s="202"/>
      <c r="H675" s="202"/>
      <c r="I675" s="202"/>
      <c r="J675" s="202"/>
      <c r="K675" s="202"/>
      <c r="L675" s="202"/>
      <c r="M675" s="202"/>
      <c r="N675" s="202"/>
      <c r="O675" s="202"/>
      <c r="P675" s="202"/>
    </row>
    <row r="676" spans="1:16" x14ac:dyDescent="0.2">
      <c r="A676" s="202"/>
      <c r="B676" s="202"/>
      <c r="C676" s="202"/>
      <c r="D676" s="202"/>
      <c r="E676" s="202"/>
      <c r="F676" s="202"/>
      <c r="G676" s="202"/>
      <c r="H676" s="202"/>
      <c r="I676" s="202"/>
      <c r="J676" s="202"/>
      <c r="K676" s="202"/>
      <c r="L676" s="202"/>
      <c r="M676" s="202"/>
      <c r="N676" s="202"/>
      <c r="O676" s="202"/>
      <c r="P676" s="202"/>
    </row>
    <row r="677" spans="1:16" ht="15" customHeight="1" x14ac:dyDescent="0.2">
      <c r="A677" s="202"/>
      <c r="B677" s="202"/>
      <c r="C677" s="202"/>
      <c r="D677" s="202"/>
      <c r="E677" s="202"/>
      <c r="F677" s="202"/>
      <c r="G677" s="202"/>
      <c r="H677" s="202"/>
      <c r="I677" s="202"/>
      <c r="J677" s="202"/>
      <c r="K677" s="202"/>
      <c r="L677" s="202"/>
      <c r="M677" s="202"/>
      <c r="N677" s="202"/>
      <c r="O677" s="202"/>
      <c r="P677" s="202"/>
    </row>
    <row r="678" spans="1:16" ht="15" customHeight="1" x14ac:dyDescent="0.2">
      <c r="A678" s="202"/>
      <c r="B678" s="202"/>
      <c r="C678" s="202"/>
      <c r="D678" s="202"/>
      <c r="E678" s="202"/>
      <c r="F678" s="202"/>
      <c r="G678" s="202"/>
      <c r="H678" s="202"/>
      <c r="I678" s="202"/>
      <c r="J678" s="202"/>
      <c r="K678" s="202"/>
      <c r="L678" s="202"/>
      <c r="M678" s="202"/>
      <c r="N678" s="202"/>
      <c r="O678" s="202"/>
      <c r="P678" s="202"/>
    </row>
    <row r="679" spans="1:16" ht="14.25" customHeight="1" x14ac:dyDescent="0.2">
      <c r="A679" s="202"/>
      <c r="B679" s="202"/>
      <c r="C679" s="202"/>
      <c r="D679" s="202"/>
      <c r="E679" s="202"/>
      <c r="F679" s="202"/>
      <c r="G679" s="202"/>
      <c r="H679" s="202"/>
      <c r="I679" s="202"/>
      <c r="J679" s="202"/>
      <c r="K679" s="202"/>
      <c r="L679" s="202"/>
      <c r="M679" s="202"/>
      <c r="N679" s="202"/>
      <c r="O679" s="202"/>
      <c r="P679" s="202"/>
    </row>
    <row r="680" spans="1:16" x14ac:dyDescent="0.2">
      <c r="A680" s="202"/>
      <c r="B680" s="202"/>
      <c r="C680" s="202"/>
      <c r="D680" s="202"/>
      <c r="E680" s="202"/>
      <c r="F680" s="202"/>
      <c r="G680" s="202"/>
      <c r="H680" s="202"/>
      <c r="I680" s="202"/>
      <c r="J680" s="202"/>
      <c r="K680" s="202"/>
      <c r="L680" s="202"/>
      <c r="M680" s="202"/>
      <c r="N680" s="202"/>
      <c r="O680" s="202"/>
      <c r="P680" s="202"/>
    </row>
    <row r="681" spans="1:16" x14ac:dyDescent="0.2">
      <c r="A681" s="202"/>
      <c r="B681" s="202"/>
      <c r="C681" s="202"/>
      <c r="D681" s="202"/>
      <c r="E681" s="202"/>
      <c r="F681" s="202"/>
      <c r="G681" s="202"/>
      <c r="H681" s="202"/>
      <c r="I681" s="202"/>
      <c r="J681" s="202"/>
      <c r="K681" s="202"/>
      <c r="L681" s="202"/>
      <c r="M681" s="202"/>
      <c r="N681" s="202"/>
      <c r="O681" s="202"/>
      <c r="P681" s="202"/>
    </row>
    <row r="682" spans="1:16" x14ac:dyDescent="0.2">
      <c r="A682" s="202"/>
      <c r="B682" s="202"/>
      <c r="C682" s="202"/>
      <c r="D682" s="202"/>
      <c r="E682" s="202"/>
      <c r="F682" s="202"/>
      <c r="G682" s="202"/>
      <c r="H682" s="202"/>
      <c r="I682" s="202"/>
      <c r="J682" s="202"/>
      <c r="K682" s="202"/>
      <c r="L682" s="202"/>
      <c r="M682" s="202"/>
      <c r="N682" s="202"/>
      <c r="O682" s="202"/>
      <c r="P682" s="202"/>
    </row>
    <row r="683" spans="1:16" x14ac:dyDescent="0.2">
      <c r="A683" s="202"/>
      <c r="B683" s="202"/>
      <c r="C683" s="202"/>
      <c r="D683" s="202"/>
      <c r="E683" s="202"/>
      <c r="F683" s="202"/>
      <c r="G683" s="202"/>
      <c r="H683" s="202"/>
      <c r="I683" s="202"/>
      <c r="J683" s="202"/>
      <c r="K683" s="202"/>
      <c r="L683" s="202"/>
      <c r="M683" s="202"/>
      <c r="N683" s="202"/>
      <c r="O683" s="202"/>
      <c r="P683" s="202"/>
    </row>
    <row r="684" spans="1:16" x14ac:dyDescent="0.2">
      <c r="A684" s="202"/>
      <c r="B684" s="202"/>
      <c r="C684" s="202"/>
      <c r="D684" s="202"/>
      <c r="E684" s="202"/>
      <c r="F684" s="202"/>
      <c r="G684" s="202"/>
      <c r="H684" s="202"/>
      <c r="I684" s="202"/>
      <c r="J684" s="202"/>
      <c r="K684" s="202"/>
      <c r="L684" s="202"/>
      <c r="M684" s="202"/>
      <c r="N684" s="202"/>
      <c r="O684" s="202"/>
      <c r="P684" s="202"/>
    </row>
  </sheetData>
  <mergeCells count="165">
    <mergeCell ref="B501:M501"/>
    <mergeCell ref="B502:H502"/>
    <mergeCell ref="B505:M505"/>
    <mergeCell ref="B506:H506"/>
    <mergeCell ref="B509:M509"/>
    <mergeCell ref="B510:H510"/>
    <mergeCell ref="B39:M39"/>
    <mergeCell ref="B56:M56"/>
    <mergeCell ref="B60:M60"/>
    <mergeCell ref="B192:M192"/>
    <mergeCell ref="B196:M196"/>
    <mergeCell ref="B200:M200"/>
    <mergeCell ref="B188:M188"/>
    <mergeCell ref="B180:M180"/>
    <mergeCell ref="B184:M184"/>
    <mergeCell ref="B160:M160"/>
    <mergeCell ref="B164:M164"/>
    <mergeCell ref="B168:M168"/>
    <mergeCell ref="B172:M172"/>
    <mergeCell ref="B176:M176"/>
    <mergeCell ref="B204:M204"/>
    <mergeCell ref="B219:M219"/>
    <mergeCell ref="B223:M223"/>
    <mergeCell ref="B227:M227"/>
    <mergeCell ref="A9:M9"/>
    <mergeCell ref="E6:F6"/>
    <mergeCell ref="F3:G3"/>
    <mergeCell ref="B25:M25"/>
    <mergeCell ref="B21:M21"/>
    <mergeCell ref="A10:M10"/>
    <mergeCell ref="B17:M17"/>
    <mergeCell ref="B1:M2"/>
    <mergeCell ref="A7:B7"/>
    <mergeCell ref="C7:D7"/>
    <mergeCell ref="E7:F7"/>
    <mergeCell ref="H3:M3"/>
    <mergeCell ref="C4:M4"/>
    <mergeCell ref="C5:M5"/>
    <mergeCell ref="G6:M6"/>
    <mergeCell ref="G7:M7"/>
    <mergeCell ref="A4:B4"/>
    <mergeCell ref="A5:B5"/>
    <mergeCell ref="A6:B6"/>
    <mergeCell ref="C6:D6"/>
    <mergeCell ref="A3:B3"/>
    <mergeCell ref="C3:E3"/>
    <mergeCell ref="B29:M29"/>
    <mergeCell ref="B152:L152"/>
    <mergeCell ref="B140:M140"/>
    <mergeCell ref="B144:M144"/>
    <mergeCell ref="B148:M148"/>
    <mergeCell ref="B156:M156"/>
    <mergeCell ref="B135:H135"/>
    <mergeCell ref="B136:M136"/>
    <mergeCell ref="B32:B33"/>
    <mergeCell ref="B66:M66"/>
    <mergeCell ref="B70:M70"/>
    <mergeCell ref="B74:M74"/>
    <mergeCell ref="B78:M78"/>
    <mergeCell ref="B82:M82"/>
    <mergeCell ref="B86:M86"/>
    <mergeCell ref="B90:M90"/>
    <mergeCell ref="B94:M94"/>
    <mergeCell ref="B98:M98"/>
    <mergeCell ref="B102:M102"/>
    <mergeCell ref="B106:M106"/>
    <mergeCell ref="B34:B35"/>
    <mergeCell ref="B46:B51"/>
    <mergeCell ref="B42:B45"/>
    <mergeCell ref="B110:M110"/>
    <mergeCell ref="B232:H232"/>
    <mergeCell ref="B209:L209"/>
    <mergeCell ref="B210:L210"/>
    <mergeCell ref="B238:M238"/>
    <mergeCell ref="B243:M243"/>
    <mergeCell ref="B252:M252"/>
    <mergeCell ref="B258:M258"/>
    <mergeCell ref="B281:J281"/>
    <mergeCell ref="B282:I282"/>
    <mergeCell ref="B254:J254"/>
    <mergeCell ref="B255:I255"/>
    <mergeCell ref="D285:E285"/>
    <mergeCell ref="D286:E286"/>
    <mergeCell ref="B296:J296"/>
    <mergeCell ref="B297:I297"/>
    <mergeCell ref="B302:F302"/>
    <mergeCell ref="B311:H311"/>
    <mergeCell ref="B362:J362"/>
    <mergeCell ref="B266:M266"/>
    <mergeCell ref="B273:M273"/>
    <mergeCell ref="B288:M288"/>
    <mergeCell ref="B293:M293"/>
    <mergeCell ref="B294:M294"/>
    <mergeCell ref="B289:H289"/>
    <mergeCell ref="B300:M300"/>
    <mergeCell ref="B321:M321"/>
    <mergeCell ref="B329:M329"/>
    <mergeCell ref="B344:M344"/>
    <mergeCell ref="B498:H498"/>
    <mergeCell ref="B363:I363"/>
    <mergeCell ref="D366:E366"/>
    <mergeCell ref="D367:E367"/>
    <mergeCell ref="B353:H353"/>
    <mergeCell ref="B347:H347"/>
    <mergeCell ref="B373:J373"/>
    <mergeCell ref="B374:I374"/>
    <mergeCell ref="B378:G378"/>
    <mergeCell ref="B377:H377"/>
    <mergeCell ref="B393:H393"/>
    <mergeCell ref="B394:G394"/>
    <mergeCell ref="B401:G401"/>
    <mergeCell ref="B391:M391"/>
    <mergeCell ref="B397:M397"/>
    <mergeCell ref="B398:M398"/>
    <mergeCell ref="B404:M404"/>
    <mergeCell ref="B414:M414"/>
    <mergeCell ref="B422:M422"/>
    <mergeCell ref="B399:H399"/>
    <mergeCell ref="B400:H400"/>
    <mergeCell ref="B406:H406"/>
    <mergeCell ref="B490:H490"/>
    <mergeCell ref="B494:H494"/>
    <mergeCell ref="B469:M469"/>
    <mergeCell ref="B433:M433"/>
    <mergeCell ref="B437:M437"/>
    <mergeCell ref="B441:M441"/>
    <mergeCell ref="B445:M445"/>
    <mergeCell ref="B449:M449"/>
    <mergeCell ref="B370:M370"/>
    <mergeCell ref="B371:M371"/>
    <mergeCell ref="B384:M384"/>
    <mergeCell ref="B450:H450"/>
    <mergeCell ref="B454:H454"/>
    <mergeCell ref="B458:H458"/>
    <mergeCell ref="B427:M427"/>
    <mergeCell ref="B432:M432"/>
    <mergeCell ref="B424:H424"/>
    <mergeCell ref="B409:M409"/>
    <mergeCell ref="B411:H411"/>
    <mergeCell ref="B416:F416"/>
    <mergeCell ref="B429:H429"/>
    <mergeCell ref="B114:M114"/>
    <mergeCell ref="B118:M118"/>
    <mergeCell ref="B122:M122"/>
    <mergeCell ref="B126:M126"/>
    <mergeCell ref="B130:M130"/>
    <mergeCell ref="F116:M117"/>
    <mergeCell ref="B493:M493"/>
    <mergeCell ref="B497:M497"/>
    <mergeCell ref="B233:M233"/>
    <mergeCell ref="B239:H239"/>
    <mergeCell ref="B244:H244"/>
    <mergeCell ref="B253:H253"/>
    <mergeCell ref="B259:H259"/>
    <mergeCell ref="B267:H267"/>
    <mergeCell ref="B274:H274"/>
    <mergeCell ref="B473:M473"/>
    <mergeCell ref="B477:M477"/>
    <mergeCell ref="B481:M481"/>
    <mergeCell ref="B485:M485"/>
    <mergeCell ref="B489:M489"/>
    <mergeCell ref="B453:M453"/>
    <mergeCell ref="B457:M457"/>
    <mergeCell ref="B461:M461"/>
    <mergeCell ref="B465:M465"/>
  </mergeCells>
  <pageMargins left="0.51181102362204722" right="0.51181102362204722" top="0.78740157480314965" bottom="0.78740157480314965" header="0.31496062992125984" footer="0.31496062992125984"/>
  <pageSetup paperSize="9" scale="63" orientation="portrait" r:id="rId1"/>
  <rowBreaks count="6" manualBreakCount="6">
    <brk id="113" max="12" man="1"/>
    <brk id="170" max="12" man="1"/>
    <brk id="229" max="12" man="1"/>
    <brk id="291" max="12" man="1"/>
    <brk id="357" max="12" man="1"/>
    <brk id="425" max="1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2"/>
  <sheetViews>
    <sheetView view="pageBreakPreview" topLeftCell="A91" zoomScaleNormal="100" zoomScaleSheetLayoutView="100" workbookViewId="0">
      <selection activeCell="B259" sqref="B259:B269"/>
    </sheetView>
  </sheetViews>
  <sheetFormatPr defaultRowHeight="12.75" x14ac:dyDescent="0.2"/>
  <cols>
    <col min="2" max="2" width="14.7109375" customWidth="1"/>
    <col min="3" max="3" width="12.140625" customWidth="1"/>
    <col min="4" max="4" width="11.7109375" customWidth="1"/>
    <col min="5" max="5" width="12" customWidth="1"/>
    <col min="8" max="8" width="6.5703125" customWidth="1"/>
    <col min="9" max="9" width="9.140625" customWidth="1"/>
    <col min="10" max="10" width="9.5703125" customWidth="1"/>
  </cols>
  <sheetData>
    <row r="1" spans="1:16" x14ac:dyDescent="0.2">
      <c r="B1" s="1307"/>
      <c r="C1" s="1307"/>
      <c r="D1" s="1307"/>
      <c r="E1" s="1307"/>
      <c r="F1" s="1307"/>
      <c r="G1" s="1307"/>
      <c r="H1" s="1307"/>
      <c r="I1" s="1307"/>
      <c r="J1" s="1307"/>
      <c r="K1" s="1307"/>
      <c r="L1" s="1307"/>
      <c r="M1" s="1307"/>
    </row>
    <row r="2" spans="1:16" ht="69.95" customHeight="1" x14ac:dyDescent="0.2">
      <c r="A2" s="332"/>
      <c r="B2" s="1365"/>
      <c r="C2" s="1365"/>
      <c r="D2" s="1365"/>
      <c r="E2" s="1365"/>
      <c r="F2" s="1365"/>
      <c r="G2" s="1365"/>
      <c r="H2" s="1365"/>
      <c r="I2" s="1365"/>
      <c r="J2" s="1365"/>
      <c r="K2" s="1365"/>
      <c r="L2" s="1365"/>
      <c r="M2" s="1365"/>
    </row>
    <row r="3" spans="1:16" x14ac:dyDescent="0.2">
      <c r="A3" s="1316" t="s">
        <v>79</v>
      </c>
      <c r="B3" s="1317"/>
      <c r="C3" s="1321" t="str">
        <f>ORÇ!B2</f>
        <v>PREFEITURA MUNICIPAL DE OURÉM</v>
      </c>
      <c r="D3" s="1738"/>
      <c r="E3" s="1322"/>
      <c r="F3" s="1326" t="s">
        <v>85</v>
      </c>
      <c r="G3" s="1327"/>
      <c r="H3" s="1819" t="str">
        <f>ORÇ!I2</f>
        <v>OURÉM/PA</v>
      </c>
      <c r="I3" s="1820"/>
      <c r="J3" s="1820"/>
      <c r="K3" s="1820"/>
      <c r="L3" s="1820"/>
      <c r="M3" s="1821"/>
    </row>
    <row r="4" spans="1:16" ht="22.5" customHeight="1" x14ac:dyDescent="0.2">
      <c r="A4" s="1316" t="s">
        <v>80</v>
      </c>
      <c r="B4" s="1317"/>
      <c r="C4" s="1321" t="str">
        <f>ORÇ!B3</f>
        <v>CONSTRUÇÃO DO CENTRO DE FISIOTERAPIA, NO MUNICÍPIO DE OURÉM/PA</v>
      </c>
      <c r="D4" s="1738"/>
      <c r="E4" s="1738"/>
      <c r="F4" s="1738"/>
      <c r="G4" s="1738"/>
      <c r="H4" s="1738"/>
      <c r="I4" s="1738"/>
      <c r="J4" s="1738"/>
      <c r="K4" s="1738"/>
      <c r="L4" s="1738"/>
      <c r="M4" s="1322"/>
    </row>
    <row r="5" spans="1:16" ht="18" customHeight="1" x14ac:dyDescent="0.2">
      <c r="A5" s="1316" t="s">
        <v>161</v>
      </c>
      <c r="B5" s="1317"/>
      <c r="C5" s="1808" t="str">
        <f>ORÇ!B4</f>
        <v>AV. PADRE ANGELO MORETTE, S/Nº - OURÉM/PA</v>
      </c>
      <c r="D5" s="1809"/>
      <c r="E5" s="1809"/>
      <c r="F5" s="1809"/>
      <c r="G5" s="1809"/>
      <c r="H5" s="1809"/>
      <c r="I5" s="1809"/>
      <c r="J5" s="1809"/>
      <c r="K5" s="1809"/>
      <c r="L5" s="1809"/>
      <c r="M5" s="1810"/>
    </row>
    <row r="6" spans="1:16" ht="39" customHeight="1" x14ac:dyDescent="0.2">
      <c r="A6" s="1310" t="s">
        <v>81</v>
      </c>
      <c r="B6" s="1311"/>
      <c r="C6" s="1806">
        <f>ORÇ!B5</f>
        <v>0.2881986483454233</v>
      </c>
      <c r="D6" s="1807"/>
      <c r="E6" s="1695" t="s">
        <v>169</v>
      </c>
      <c r="F6" s="1696"/>
      <c r="G6" s="1816" t="str">
        <f>ORÇ!G5</f>
        <v>SINAPI FEVEREIRO 2022 - DESONERADA                                 SEDOP FEVEREIRO 2022 - DESONERADA</v>
      </c>
      <c r="H6" s="1817"/>
      <c r="I6" s="1817"/>
      <c r="J6" s="1817"/>
      <c r="K6" s="1817"/>
      <c r="L6" s="1817"/>
      <c r="M6" s="1818"/>
    </row>
    <row r="7" spans="1:16" ht="25.5" customHeight="1" x14ac:dyDescent="0.2">
      <c r="A7" s="1749" t="s">
        <v>82</v>
      </c>
      <c r="B7" s="1317"/>
      <c r="C7" s="1672" t="str">
        <f>ORÇ!B6</f>
        <v>MARUZA BAPTISTA</v>
      </c>
      <c r="D7" s="1673"/>
      <c r="E7" s="1342" t="s">
        <v>170</v>
      </c>
      <c r="F7" s="1343"/>
      <c r="G7" s="1764" t="str">
        <f>ORÇ!G7</f>
        <v>CAU: 28510-2 A</v>
      </c>
      <c r="H7" s="1765"/>
      <c r="I7" s="1765"/>
      <c r="J7" s="1765"/>
      <c r="K7" s="1765"/>
      <c r="L7" s="1765"/>
      <c r="M7" s="1766"/>
    </row>
    <row r="8" spans="1:16" s="146" customFormat="1" ht="13.5" thickBot="1" x14ac:dyDescent="0.25">
      <c r="A8" s="152"/>
      <c r="B8" s="151"/>
      <c r="C8" s="151"/>
      <c r="D8" s="151"/>
      <c r="E8" s="151"/>
      <c r="F8" s="151"/>
      <c r="G8" s="151"/>
      <c r="H8" s="151"/>
      <c r="I8" s="151"/>
      <c r="J8" s="151"/>
    </row>
    <row r="9" spans="1:16" s="146" customFormat="1" ht="18.75" customHeight="1" thickBot="1" x14ac:dyDescent="0.25">
      <c r="A9" s="1866" t="str">
        <f>CONCATENATE("MEMÓRIA DE CÁLCULO ",ORÇ!A403)</f>
        <v>MEMÓRIA DE CÁLCULO 14</v>
      </c>
      <c r="B9" s="1867"/>
      <c r="C9" s="1867"/>
      <c r="D9" s="1867"/>
      <c r="E9" s="1867"/>
      <c r="F9" s="1867"/>
      <c r="G9" s="1867"/>
      <c r="H9" s="1867"/>
      <c r="I9" s="1867"/>
      <c r="J9" s="1867"/>
      <c r="K9" s="1867"/>
      <c r="L9" s="1867"/>
      <c r="M9" s="1868"/>
      <c r="N9" s="150"/>
      <c r="O9"/>
      <c r="P9" s="150"/>
    </row>
    <row r="10" spans="1:16" s="146" customFormat="1" ht="12.75" customHeight="1" x14ac:dyDescent="0.2">
      <c r="A10" s="1870" t="str">
        <f>ORÇ!D403</f>
        <v>Acessórios, Louças e Metais</v>
      </c>
      <c r="B10" s="1870"/>
      <c r="C10" s="1870"/>
      <c r="D10" s="1870"/>
      <c r="E10" s="1870"/>
      <c r="F10" s="1870"/>
      <c r="G10" s="1870"/>
      <c r="H10" s="1870"/>
      <c r="I10" s="1870"/>
      <c r="J10" s="1870"/>
      <c r="K10" s="1870"/>
      <c r="L10" s="1870"/>
      <c r="M10" s="1870"/>
      <c r="N10" s="150"/>
      <c r="O10" s="150"/>
      <c r="P10" s="150"/>
    </row>
    <row r="11" spans="1:16" s="146" customFormat="1" ht="12.75" customHeight="1" x14ac:dyDescent="0.2">
      <c r="A11" s="318">
        <f>ORÇ!A403</f>
        <v>14</v>
      </c>
      <c r="B11" s="319" t="str">
        <f>ORÇ!D403</f>
        <v>Acessórios, Louças e Metais</v>
      </c>
      <c r="C11" s="319"/>
      <c r="D11" s="319"/>
      <c r="E11" s="319"/>
      <c r="F11" s="343"/>
      <c r="G11" s="343"/>
      <c r="H11" s="343"/>
      <c r="I11" s="343"/>
      <c r="J11" s="343"/>
      <c r="K11" s="150"/>
      <c r="L11" s="150"/>
      <c r="M11" s="150"/>
      <c r="N11" s="150"/>
      <c r="O11" s="150"/>
      <c r="P11" s="150"/>
    </row>
    <row r="12" spans="1:16" s="146" customFormat="1" ht="12.75" customHeight="1" x14ac:dyDescent="0.2">
      <c r="A12" s="318"/>
      <c r="B12" s="319"/>
      <c r="C12" s="319"/>
      <c r="D12" s="319"/>
      <c r="E12" s="319"/>
      <c r="F12" s="343"/>
      <c r="G12" s="343"/>
      <c r="H12" s="343"/>
      <c r="I12" s="343"/>
      <c r="J12" s="343"/>
      <c r="K12" s="150"/>
      <c r="L12" s="150"/>
      <c r="M12" s="150"/>
      <c r="N12" s="150"/>
      <c r="O12" s="150"/>
      <c r="P12" s="150"/>
    </row>
    <row r="13" spans="1:16" s="146" customFormat="1" ht="24" customHeight="1" x14ac:dyDescent="0.2">
      <c r="A13" s="229" t="str">
        <f>ORÇ!A404</f>
        <v>14.1</v>
      </c>
      <c r="B13" s="1862" t="str">
        <f>ORÇ!D404</f>
        <v>VASO SANITÁRIO SIFONADO COM CAIXA ACOPLADA LOUÇA BRANCA, INCLUSO ENGATE FLEXÍVEL EM PLÁSTICO BRANCO, 1/2  X 40CM - FORNECIMENTO E INSTALAÇÃO. AF_01/2020</v>
      </c>
      <c r="C13" s="1862"/>
      <c r="D13" s="1862"/>
      <c r="E13" s="1862"/>
      <c r="F13" s="1862"/>
      <c r="G13" s="1862"/>
      <c r="H13" s="1862"/>
      <c r="I13" s="1862"/>
      <c r="J13" s="1862"/>
      <c r="K13" s="1862"/>
      <c r="L13" s="1862"/>
      <c r="M13" s="1862"/>
      <c r="O13" s="150"/>
      <c r="P13" s="150"/>
    </row>
    <row r="14" spans="1:16" s="266" customFormat="1" ht="15.75" customHeight="1" x14ac:dyDescent="0.2">
      <c r="A14" s="616"/>
      <c r="B14" s="617"/>
      <c r="C14" s="617"/>
      <c r="D14" s="617"/>
      <c r="E14" s="617"/>
      <c r="F14" s="617"/>
      <c r="G14" s="617"/>
      <c r="H14" s="617"/>
      <c r="I14" s="617"/>
      <c r="J14" s="617"/>
      <c r="K14" s="617"/>
      <c r="L14" s="617"/>
      <c r="M14" s="617"/>
      <c r="O14" s="618"/>
      <c r="P14" s="618"/>
    </row>
    <row r="15" spans="1:16" s="266" customFormat="1" ht="15.75" customHeight="1" x14ac:dyDescent="0.2">
      <c r="A15" s="616"/>
      <c r="B15" s="627" t="s">
        <v>537</v>
      </c>
      <c r="C15" s="627" t="s">
        <v>469</v>
      </c>
      <c r="D15" s="620"/>
      <c r="E15" s="617"/>
      <c r="F15" s="617"/>
      <c r="G15" s="617"/>
      <c r="H15" s="617"/>
      <c r="I15" s="617"/>
      <c r="J15" s="617"/>
      <c r="K15" s="617"/>
      <c r="L15" s="617"/>
      <c r="M15" s="617"/>
      <c r="O15" s="618"/>
      <c r="P15" s="618"/>
    </row>
    <row r="16" spans="1:16" s="629" customFormat="1" ht="27.75" customHeight="1" x14ac:dyDescent="0.2">
      <c r="A16" s="616"/>
      <c r="B16" s="628" t="s">
        <v>591</v>
      </c>
      <c r="C16" s="631">
        <v>1</v>
      </c>
      <c r="D16" s="619"/>
      <c r="E16" s="619"/>
      <c r="F16" s="619"/>
      <c r="G16" s="619"/>
      <c r="H16" s="619"/>
      <c r="I16" s="619"/>
      <c r="J16" s="619"/>
      <c r="K16" s="619"/>
      <c r="L16" s="619"/>
      <c r="M16" s="619"/>
      <c r="O16" s="630"/>
      <c r="P16" s="630"/>
    </row>
    <row r="17" spans="1:16" s="629" customFormat="1" ht="27.75" customHeight="1" x14ac:dyDescent="0.2">
      <c r="A17" s="616"/>
      <c r="B17" s="628" t="s">
        <v>604</v>
      </c>
      <c r="C17" s="631">
        <v>1</v>
      </c>
      <c r="D17" s="619"/>
      <c r="E17" s="619"/>
      <c r="F17" s="619"/>
      <c r="G17" s="619"/>
      <c r="H17" s="619"/>
      <c r="I17" s="619"/>
      <c r="J17" s="619"/>
      <c r="K17" s="619"/>
      <c r="L17" s="619"/>
      <c r="M17" s="619"/>
      <c r="O17" s="630"/>
      <c r="P17" s="630"/>
    </row>
    <row r="18" spans="1:16" s="266" customFormat="1" ht="15.75" customHeight="1" x14ac:dyDescent="0.2">
      <c r="A18" s="616"/>
      <c r="B18" s="626" t="s">
        <v>600</v>
      </c>
      <c r="C18" s="632">
        <v>1</v>
      </c>
      <c r="D18" s="777"/>
      <c r="E18" s="777"/>
      <c r="F18" s="777"/>
      <c r="G18" s="777"/>
      <c r="H18" s="777"/>
      <c r="I18" s="777"/>
      <c r="J18" s="777"/>
      <c r="K18" s="777"/>
      <c r="L18" s="777"/>
      <c r="M18" s="777"/>
      <c r="O18" s="618"/>
      <c r="P18" s="618"/>
    </row>
    <row r="19" spans="1:16" s="266" customFormat="1" ht="15.75" customHeight="1" x14ac:dyDescent="0.2">
      <c r="A19" s="616"/>
      <c r="B19" s="626" t="s">
        <v>601</v>
      </c>
      <c r="C19" s="632">
        <v>1</v>
      </c>
      <c r="D19" s="777"/>
      <c r="E19" s="777"/>
      <c r="F19" s="777"/>
      <c r="G19" s="777"/>
      <c r="H19" s="777"/>
      <c r="I19" s="777"/>
      <c r="J19" s="777"/>
      <c r="K19" s="777"/>
      <c r="L19" s="777"/>
      <c r="M19" s="777"/>
      <c r="O19" s="618"/>
      <c r="P19" s="618"/>
    </row>
    <row r="20" spans="1:16" s="266" customFormat="1" ht="15.75" customHeight="1" x14ac:dyDescent="0.2">
      <c r="A20" s="616"/>
      <c r="B20" s="626" t="s">
        <v>602</v>
      </c>
      <c r="C20" s="632">
        <v>1</v>
      </c>
      <c r="D20" s="777"/>
      <c r="E20" s="777"/>
      <c r="F20" s="777"/>
      <c r="G20" s="777"/>
      <c r="H20" s="777"/>
      <c r="I20" s="777"/>
      <c r="J20" s="777"/>
      <c r="K20" s="777"/>
      <c r="L20" s="777"/>
      <c r="M20" s="777"/>
      <c r="O20" s="618"/>
      <c r="P20" s="618"/>
    </row>
    <row r="21" spans="1:16" s="266" customFormat="1" ht="27" customHeight="1" x14ac:dyDescent="0.2">
      <c r="A21" s="616"/>
      <c r="B21" s="626" t="s">
        <v>548</v>
      </c>
      <c r="C21" s="632">
        <v>1</v>
      </c>
      <c r="D21" s="777"/>
      <c r="E21" s="777"/>
      <c r="F21" s="777"/>
      <c r="G21" s="777"/>
      <c r="H21" s="777"/>
      <c r="I21" s="777"/>
      <c r="J21" s="777"/>
      <c r="K21" s="777"/>
      <c r="L21" s="777"/>
      <c r="M21" s="777"/>
      <c r="O21" s="618"/>
      <c r="P21"/>
    </row>
    <row r="22" spans="1:16" s="266" customFormat="1" ht="27" customHeight="1" x14ac:dyDescent="0.2">
      <c r="A22" s="616"/>
      <c r="B22" s="626" t="s">
        <v>547</v>
      </c>
      <c r="C22" s="632">
        <v>1</v>
      </c>
      <c r="D22" s="777"/>
      <c r="E22" s="777"/>
      <c r="F22" s="777"/>
      <c r="G22" s="777"/>
      <c r="H22" s="777"/>
      <c r="I22" s="777"/>
      <c r="J22" s="777"/>
      <c r="K22" s="777"/>
      <c r="L22" s="777"/>
      <c r="M22" s="777"/>
      <c r="O22" s="618"/>
      <c r="P22" s="618"/>
    </row>
    <row r="23" spans="1:16" s="266" customFormat="1" ht="15.75" customHeight="1" x14ac:dyDescent="0.2">
      <c r="A23" s="616"/>
      <c r="B23" s="617"/>
      <c r="C23" s="617"/>
      <c r="D23" s="617"/>
      <c r="E23" s="617"/>
      <c r="F23" s="617"/>
      <c r="G23" s="617"/>
      <c r="H23" s="617"/>
      <c r="I23" s="617"/>
      <c r="J23" s="617"/>
      <c r="K23" s="617"/>
      <c r="L23" s="617"/>
      <c r="M23" s="617"/>
      <c r="O23" s="618"/>
      <c r="P23" s="618"/>
    </row>
    <row r="24" spans="1:16" s="266" customFormat="1" ht="15.75" customHeight="1" x14ac:dyDescent="0.2">
      <c r="A24" s="616"/>
      <c r="B24" s="622" t="s">
        <v>47</v>
      </c>
      <c r="C24" s="623">
        <f>ROUND(SUM(C16:C23),2)</f>
        <v>7</v>
      </c>
      <c r="D24" s="624" t="s">
        <v>668</v>
      </c>
      <c r="E24" s="617"/>
      <c r="F24" s="617"/>
      <c r="G24" s="617"/>
      <c r="H24" s="617"/>
      <c r="I24" s="617"/>
      <c r="J24" s="617"/>
      <c r="K24" s="617"/>
      <c r="L24" s="617"/>
      <c r="M24" s="617"/>
      <c r="O24" s="618"/>
      <c r="P24" s="618"/>
    </row>
    <row r="25" spans="1:16" s="266" customFormat="1" ht="15.75" customHeight="1" x14ac:dyDescent="0.2">
      <c r="A25" s="616"/>
      <c r="B25" s="617"/>
      <c r="C25" s="617"/>
      <c r="D25" s="617"/>
      <c r="E25" s="617"/>
      <c r="F25" s="617"/>
      <c r="G25" s="617"/>
      <c r="H25" s="617"/>
      <c r="I25" s="617"/>
      <c r="J25" s="617"/>
      <c r="K25" s="617"/>
      <c r="L25" s="617"/>
      <c r="M25" s="617"/>
      <c r="O25" s="618"/>
      <c r="P25" s="618"/>
    </row>
    <row r="26" spans="1:16" s="629" customFormat="1" ht="28.5" customHeight="1" x14ac:dyDescent="0.2">
      <c r="A26" s="229" t="str">
        <f>ORÇ!A405</f>
        <v>14.2</v>
      </c>
      <c r="B26" s="1869" t="str">
        <f>ORÇ!D405</f>
        <v>EXECUÇÃO DE PASSEIO (CALÇADA) OU PISO DE CONCRETO COM CONCRETO MOLDADO IN LOCO, FEITO EM OBRA, ACABAMENTO CONVENCIONAL, NÃO ARMADO. AF_07/2016</v>
      </c>
      <c r="C26" s="1869"/>
      <c r="D26" s="1869"/>
      <c r="E26" s="1869"/>
      <c r="F26" s="1869"/>
      <c r="G26" s="1869"/>
      <c r="H26" s="1869"/>
      <c r="I26" s="1869"/>
      <c r="J26" s="1869"/>
      <c r="K26" s="1869"/>
      <c r="L26" s="1869"/>
      <c r="M26" s="1869"/>
      <c r="O26" s="630"/>
      <c r="P26" s="630"/>
    </row>
    <row r="27" spans="1:16" s="266" customFormat="1" ht="13.5" customHeight="1" x14ac:dyDescent="0.2">
      <c r="A27" s="229"/>
      <c r="B27" s="776"/>
      <c r="C27" s="776"/>
      <c r="D27" s="776"/>
      <c r="E27" s="776"/>
      <c r="F27" s="776"/>
      <c r="G27" s="776"/>
      <c r="H27" s="21"/>
      <c r="I27" s="776"/>
      <c r="J27" s="776"/>
      <c r="K27" s="776"/>
      <c r="L27" s="776"/>
      <c r="M27" s="776"/>
      <c r="O27" s="618"/>
      <c r="P27" s="618"/>
    </row>
    <row r="28" spans="1:16" s="266" customFormat="1" ht="13.5" customHeight="1" x14ac:dyDescent="0.2">
      <c r="A28" s="229"/>
      <c r="B28" s="776" t="s">
        <v>1350</v>
      </c>
      <c r="C28" s="776"/>
      <c r="D28" s="776"/>
      <c r="E28" s="776"/>
      <c r="F28" s="776"/>
      <c r="G28" s="776"/>
      <c r="H28" s="21"/>
      <c r="I28" s="776"/>
      <c r="J28" s="776"/>
      <c r="K28" s="776"/>
      <c r="L28" s="776"/>
      <c r="M28" s="776"/>
      <c r="O28" s="618"/>
      <c r="P28" s="618"/>
    </row>
    <row r="29" spans="1:16" s="266" customFormat="1" ht="13.5" customHeight="1" x14ac:dyDescent="0.2">
      <c r="A29" s="229"/>
      <c r="B29" s="1875" t="s">
        <v>1351</v>
      </c>
      <c r="C29" s="1875"/>
      <c r="D29" s="1875"/>
      <c r="E29" s="1875"/>
      <c r="F29" s="1875"/>
      <c r="G29" s="776"/>
      <c r="H29" s="21"/>
      <c r="I29" s="776"/>
      <c r="J29" s="776"/>
      <c r="K29" s="776"/>
      <c r="L29" s="776"/>
      <c r="M29" s="776"/>
      <c r="O29" s="618"/>
      <c r="P29" s="618"/>
    </row>
    <row r="30" spans="1:16" s="266" customFormat="1" ht="13.5" customHeight="1" x14ac:dyDescent="0.2">
      <c r="A30" s="229"/>
      <c r="B30" s="1876"/>
      <c r="C30" s="1876"/>
      <c r="D30" s="1876"/>
      <c r="E30" s="1876"/>
      <c r="F30" s="1876"/>
      <c r="G30" s="776"/>
      <c r="H30" s="21"/>
      <c r="I30" s="776"/>
      <c r="J30" s="776"/>
      <c r="K30" s="776"/>
      <c r="L30" s="776"/>
      <c r="M30" s="776"/>
      <c r="O30" s="618"/>
      <c r="P30" s="618"/>
    </row>
    <row r="31" spans="1:16" s="629" customFormat="1" ht="15.75" customHeight="1" x14ac:dyDescent="0.2">
      <c r="A31" s="616"/>
      <c r="B31" s="627" t="s">
        <v>537</v>
      </c>
      <c r="C31" s="627" t="s">
        <v>216</v>
      </c>
      <c r="D31" s="627" t="s">
        <v>405</v>
      </c>
      <c r="E31" s="627" t="s">
        <v>311</v>
      </c>
      <c r="F31" s="290" t="s">
        <v>312</v>
      </c>
      <c r="G31" s="833"/>
      <c r="H31" s="619"/>
      <c r="I31" s="619"/>
      <c r="K31" s="834"/>
      <c r="L31" s="834"/>
      <c r="M31" s="834"/>
      <c r="O31" s="630"/>
      <c r="P31" s="630"/>
    </row>
    <row r="32" spans="1:16" s="266" customFormat="1" ht="15.75" customHeight="1" x14ac:dyDescent="0.2">
      <c r="A32" s="616"/>
      <c r="B32" s="626" t="s">
        <v>600</v>
      </c>
      <c r="C32" s="631">
        <v>0.68</v>
      </c>
      <c r="D32" s="631">
        <v>0.35</v>
      </c>
      <c r="E32" s="631">
        <v>0.05</v>
      </c>
      <c r="F32" s="631">
        <f>ROUND(C32*D32*E32,2)</f>
        <v>0.01</v>
      </c>
      <c r="G32" s="777"/>
      <c r="H32" s="777"/>
      <c r="I32" s="777"/>
      <c r="J32" s="834"/>
      <c r="K32" s="834"/>
      <c r="L32" s="834"/>
      <c r="M32" s="834"/>
      <c r="O32" s="618"/>
      <c r="P32" s="618"/>
    </row>
    <row r="33" spans="1:16" s="266" customFormat="1" ht="15.75" customHeight="1" x14ac:dyDescent="0.2">
      <c r="A33" s="616"/>
      <c r="B33" s="626" t="s">
        <v>601</v>
      </c>
      <c r="C33" s="631">
        <v>0.68</v>
      </c>
      <c r="D33" s="631">
        <v>0.35</v>
      </c>
      <c r="E33" s="631">
        <v>0.05</v>
      </c>
      <c r="F33" s="631">
        <f t="shared" ref="F33:F36" si="0">ROUND(C33*D33*E33,2)</f>
        <v>0.01</v>
      </c>
      <c r="G33" s="777"/>
      <c r="H33" s="777"/>
      <c r="I33" s="777"/>
      <c r="J33" s="834"/>
      <c r="K33" s="834"/>
      <c r="L33" s="834"/>
      <c r="M33" s="834"/>
      <c r="O33" s="618"/>
      <c r="P33" s="618"/>
    </row>
    <row r="34" spans="1:16" s="266" customFormat="1" ht="15.75" customHeight="1" x14ac:dyDescent="0.2">
      <c r="A34" s="616"/>
      <c r="B34" s="626" t="s">
        <v>602</v>
      </c>
      <c r="C34" s="631">
        <v>0.68</v>
      </c>
      <c r="D34" s="631">
        <v>0.35</v>
      </c>
      <c r="E34" s="631">
        <v>0.05</v>
      </c>
      <c r="F34" s="631">
        <f t="shared" si="0"/>
        <v>0.01</v>
      </c>
      <c r="G34" s="777"/>
      <c r="H34" s="777"/>
      <c r="I34" s="777"/>
      <c r="J34" s="834"/>
      <c r="K34" s="834"/>
      <c r="L34" s="834"/>
      <c r="M34" s="834"/>
      <c r="O34" s="618"/>
      <c r="P34" s="618"/>
    </row>
    <row r="35" spans="1:16" s="266" customFormat="1" ht="27" customHeight="1" x14ac:dyDescent="0.2">
      <c r="A35" s="616"/>
      <c r="B35" s="626" t="s">
        <v>548</v>
      </c>
      <c r="C35" s="631">
        <v>0.68</v>
      </c>
      <c r="D35" s="631">
        <v>0.35</v>
      </c>
      <c r="E35" s="631">
        <v>0.05</v>
      </c>
      <c r="F35" s="631">
        <f t="shared" si="0"/>
        <v>0.01</v>
      </c>
      <c r="G35" s="777"/>
      <c r="H35" s="777"/>
      <c r="I35" s="777"/>
      <c r="J35" s="834"/>
      <c r="K35" s="834"/>
      <c r="L35" s="834"/>
      <c r="M35" s="834"/>
      <c r="O35" s="618"/>
      <c r="P35" s="618"/>
    </row>
    <row r="36" spans="1:16" s="266" customFormat="1" ht="27" customHeight="1" x14ac:dyDescent="0.2">
      <c r="A36" s="616"/>
      <c r="B36" s="626" t="s">
        <v>547</v>
      </c>
      <c r="C36" s="631">
        <v>0.68</v>
      </c>
      <c r="D36" s="631">
        <v>0.35</v>
      </c>
      <c r="E36" s="631">
        <v>0.05</v>
      </c>
      <c r="F36" s="631">
        <f t="shared" si="0"/>
        <v>0.01</v>
      </c>
      <c r="H36" s="835"/>
      <c r="I36" s="835"/>
      <c r="J36" s="835"/>
      <c r="K36" s="835"/>
      <c r="L36" s="835"/>
      <c r="M36" s="835"/>
      <c r="O36" s="618"/>
      <c r="P36" s="618"/>
    </row>
    <row r="37" spans="1:16" s="266" customFormat="1" ht="19.5" customHeight="1" x14ac:dyDescent="0.2">
      <c r="A37" s="616"/>
      <c r="B37" s="777"/>
      <c r="C37" s="777"/>
      <c r="D37" s="777"/>
      <c r="E37" s="777"/>
      <c r="F37" s="777"/>
      <c r="G37" s="1881" t="s">
        <v>1347</v>
      </c>
      <c r="H37" s="1881"/>
      <c r="I37" s="1881"/>
      <c r="J37" s="1881"/>
      <c r="K37" s="1881"/>
      <c r="L37" s="1881"/>
      <c r="M37" s="1881"/>
      <c r="O37" s="21"/>
      <c r="P37" s="618"/>
    </row>
    <row r="38" spans="1:16" s="266" customFormat="1" ht="15.75" customHeight="1" x14ac:dyDescent="0.2">
      <c r="A38" s="616"/>
      <c r="B38" s="622" t="s">
        <v>47</v>
      </c>
      <c r="C38" s="623">
        <f>ROUND(SUM(F32:F37),2)</f>
        <v>0.05</v>
      </c>
      <c r="D38" s="624" t="s">
        <v>497</v>
      </c>
      <c r="E38" s="777"/>
      <c r="F38" s="777"/>
      <c r="G38" s="1881"/>
      <c r="H38" s="1881"/>
      <c r="I38" s="1881"/>
      <c r="J38" s="1881"/>
      <c r="K38" s="1881"/>
      <c r="L38" s="1881"/>
      <c r="M38" s="1881"/>
      <c r="O38" s="618"/>
      <c r="P38" s="618"/>
    </row>
    <row r="39" spans="1:16" s="266" customFormat="1" ht="15.75" customHeight="1" x14ac:dyDescent="0.2">
      <c r="A39" s="616"/>
      <c r="B39" s="617"/>
      <c r="C39" s="617"/>
      <c r="D39" s="617"/>
      <c r="E39" s="617"/>
      <c r="F39" s="617"/>
      <c r="G39" s="777"/>
      <c r="H39" s="777"/>
      <c r="I39" s="777"/>
      <c r="J39" s="777"/>
      <c r="K39" s="777"/>
      <c r="L39" s="777"/>
      <c r="M39" s="777"/>
      <c r="O39" s="618"/>
      <c r="P39" s="618"/>
    </row>
    <row r="40" spans="1:16" s="146" customFormat="1" x14ac:dyDescent="0.2">
      <c r="A40" s="229" t="str">
        <f>ORÇ!A406</f>
        <v>14.3</v>
      </c>
      <c r="B40" s="1862" t="str">
        <f>ORÇ!D406</f>
        <v>ASSENTO SANITÁRIO CONVENCIONAL - FORNECIMENTO E INSTALACAO. AF_01/2020</v>
      </c>
      <c r="C40" s="1862"/>
      <c r="D40" s="1862"/>
      <c r="E40" s="1862"/>
      <c r="F40" s="1862"/>
      <c r="G40" s="1862"/>
      <c r="H40" s="1862"/>
      <c r="I40" s="1862"/>
      <c r="J40" s="1862"/>
      <c r="K40" s="1862"/>
      <c r="L40" s="1862"/>
      <c r="M40" s="1862"/>
      <c r="N40" s="202"/>
      <c r="O40" s="202"/>
      <c r="P40" s="150"/>
    </row>
    <row r="41" spans="1:16" s="146" customFormat="1" x14ac:dyDescent="0.2">
      <c r="A41" s="229"/>
      <c r="B41" s="342"/>
      <c r="C41" s="342"/>
      <c r="D41" s="342"/>
      <c r="E41" s="342"/>
      <c r="F41" s="342"/>
      <c r="G41" s="342"/>
      <c r="H41" s="342"/>
      <c r="I41" s="342"/>
      <c r="J41" s="342"/>
      <c r="K41" s="342"/>
      <c r="L41" s="342"/>
      <c r="M41" s="342"/>
      <c r="N41" s="202"/>
      <c r="O41" s="202"/>
      <c r="P41" s="150"/>
    </row>
    <row r="42" spans="1:16" s="266" customFormat="1" ht="15.75" customHeight="1" x14ac:dyDescent="0.2">
      <c r="A42" s="616"/>
      <c r="B42" s="627" t="s">
        <v>537</v>
      </c>
      <c r="C42" s="627" t="s">
        <v>469</v>
      </c>
      <c r="D42" s="617"/>
      <c r="E42" s="617"/>
      <c r="F42" s="617"/>
      <c r="G42" s="617"/>
      <c r="H42" s="617"/>
      <c r="I42" s="617"/>
      <c r="J42" s="617"/>
      <c r="K42" s="617"/>
      <c r="L42" s="617"/>
      <c r="M42" s="617"/>
      <c r="O42" s="618"/>
      <c r="P42" s="618"/>
    </row>
    <row r="43" spans="1:16" s="266" customFormat="1" ht="25.5" customHeight="1" x14ac:dyDescent="0.2">
      <c r="A43" s="616"/>
      <c r="B43" s="628" t="s">
        <v>591</v>
      </c>
      <c r="C43" s="631">
        <v>1</v>
      </c>
      <c r="D43" s="617"/>
      <c r="E43" s="617"/>
      <c r="F43" s="617"/>
      <c r="G43" s="617"/>
      <c r="H43" s="617"/>
      <c r="I43" s="617"/>
      <c r="J43" s="617"/>
      <c r="K43" s="617"/>
      <c r="L43" s="617"/>
      <c r="M43" s="617"/>
      <c r="O43" s="618"/>
      <c r="P43" s="618"/>
    </row>
    <row r="44" spans="1:16" s="266" customFormat="1" ht="25.5" customHeight="1" x14ac:dyDescent="0.2">
      <c r="A44" s="616"/>
      <c r="B44" s="628" t="s">
        <v>604</v>
      </c>
      <c r="C44" s="631">
        <v>1</v>
      </c>
      <c r="D44" s="617"/>
      <c r="E44" s="617"/>
      <c r="F44" s="617"/>
      <c r="G44" s="617"/>
      <c r="H44" s="617"/>
      <c r="I44" s="617"/>
      <c r="J44" s="617"/>
      <c r="K44" s="617"/>
      <c r="L44" s="617"/>
      <c r="M44" s="617"/>
      <c r="O44" s="618"/>
      <c r="P44" s="618"/>
    </row>
    <row r="45" spans="1:16" s="266" customFormat="1" ht="15.75" customHeight="1" x14ac:dyDescent="0.2">
      <c r="A45" s="616"/>
      <c r="B45" s="626" t="s">
        <v>600</v>
      </c>
      <c r="C45" s="632">
        <v>1</v>
      </c>
      <c r="D45" s="617"/>
      <c r="E45" s="617"/>
      <c r="F45" s="617"/>
      <c r="G45" s="617"/>
      <c r="H45" s="617"/>
      <c r="I45" s="617"/>
      <c r="J45" s="617"/>
      <c r="K45" s="617"/>
      <c r="L45" s="617"/>
      <c r="M45" s="617"/>
      <c r="O45" s="618"/>
      <c r="P45" s="618"/>
    </row>
    <row r="46" spans="1:16" s="266" customFormat="1" ht="15.75" customHeight="1" x14ac:dyDescent="0.2">
      <c r="A46" s="616"/>
      <c r="B46" s="626" t="s">
        <v>601</v>
      </c>
      <c r="C46" s="632">
        <v>1</v>
      </c>
      <c r="D46" s="617"/>
      <c r="E46" s="617"/>
      <c r="F46" s="617"/>
      <c r="G46" s="617"/>
      <c r="H46" s="617"/>
      <c r="I46" s="617"/>
      <c r="J46" s="617"/>
      <c r="K46" s="617"/>
      <c r="L46" s="617"/>
      <c r="M46" s="617"/>
      <c r="O46" s="618"/>
      <c r="P46" s="618"/>
    </row>
    <row r="47" spans="1:16" s="266" customFormat="1" ht="15.75" customHeight="1" x14ac:dyDescent="0.2">
      <c r="A47" s="616"/>
      <c r="B47" s="626" t="s">
        <v>602</v>
      </c>
      <c r="C47" s="632">
        <v>1</v>
      </c>
      <c r="D47" s="617"/>
      <c r="E47" s="617"/>
      <c r="F47" s="617"/>
      <c r="G47" s="617"/>
      <c r="H47" s="617"/>
      <c r="I47" s="617"/>
      <c r="J47" s="617"/>
      <c r="K47" s="617"/>
      <c r="L47" s="617"/>
      <c r="M47" s="617"/>
      <c r="O47" s="618"/>
      <c r="P47" s="618"/>
    </row>
    <row r="48" spans="1:16" s="266" customFormat="1" ht="27" customHeight="1" x14ac:dyDescent="0.2">
      <c r="A48" s="616"/>
      <c r="B48" s="626" t="s">
        <v>548</v>
      </c>
      <c r="C48" s="632">
        <v>1</v>
      </c>
      <c r="D48" s="617"/>
      <c r="E48" s="617"/>
      <c r="F48" s="617"/>
      <c r="G48" s="617"/>
      <c r="H48" s="617"/>
      <c r="I48" s="617"/>
      <c r="J48" s="617"/>
      <c r="K48" s="617"/>
      <c r="L48" s="617"/>
      <c r="M48" s="617"/>
      <c r="O48" s="618"/>
      <c r="P48" s="618"/>
    </row>
    <row r="49" spans="1:16" s="266" customFormat="1" ht="27" customHeight="1" x14ac:dyDescent="0.2">
      <c r="A49" s="616"/>
      <c r="B49" s="626" t="s">
        <v>547</v>
      </c>
      <c r="C49" s="632">
        <v>1</v>
      </c>
      <c r="D49" s="617"/>
      <c r="E49" s="617"/>
      <c r="F49" s="617"/>
      <c r="G49" s="617"/>
      <c r="H49" s="617"/>
      <c r="I49" s="617"/>
      <c r="J49" s="617"/>
      <c r="K49" s="617"/>
      <c r="L49" s="617"/>
      <c r="M49" s="617"/>
      <c r="O49" s="618"/>
      <c r="P49" s="618"/>
    </row>
    <row r="50" spans="1:16" s="266" customFormat="1" ht="15.75" customHeight="1" x14ac:dyDescent="0.2">
      <c r="A50" s="616"/>
      <c r="B50" s="617"/>
      <c r="C50" s="617"/>
      <c r="D50" s="617"/>
      <c r="E50" s="617"/>
      <c r="F50" s="617"/>
      <c r="G50" s="617"/>
      <c r="H50" s="617"/>
      <c r="I50" s="617"/>
      <c r="J50" s="617"/>
      <c r="K50" s="617"/>
      <c r="L50" s="617"/>
      <c r="M50" s="617"/>
      <c r="O50" s="618"/>
      <c r="P50" s="618"/>
    </row>
    <row r="51" spans="1:16" s="266" customFormat="1" ht="15.75" customHeight="1" x14ac:dyDescent="0.2">
      <c r="A51" s="616"/>
      <c r="B51" s="622" t="s">
        <v>47</v>
      </c>
      <c r="C51" s="623">
        <f>ROUND(SUM(C43:C50),2)</f>
        <v>7</v>
      </c>
      <c r="D51" s="624" t="s">
        <v>668</v>
      </c>
      <c r="E51" s="617"/>
      <c r="F51" s="617"/>
      <c r="G51" s="617"/>
      <c r="H51" s="617"/>
      <c r="I51" s="617"/>
      <c r="J51" s="617"/>
      <c r="K51" s="617"/>
      <c r="L51" s="617"/>
      <c r="M51" s="617"/>
      <c r="O51" s="618"/>
      <c r="P51" s="618"/>
    </row>
    <row r="52" spans="1:16" s="266" customFormat="1" ht="15.75" customHeight="1" x14ac:dyDescent="0.2">
      <c r="A52" s="616"/>
      <c r="B52" s="617"/>
      <c r="C52" s="617"/>
      <c r="D52" s="617"/>
      <c r="E52" s="617"/>
      <c r="F52" s="617"/>
      <c r="G52" s="617"/>
      <c r="H52" s="617"/>
      <c r="I52" s="617"/>
      <c r="J52" s="617"/>
      <c r="K52" s="617"/>
      <c r="L52" s="617"/>
      <c r="M52" s="617"/>
      <c r="O52" s="618"/>
      <c r="P52" s="618"/>
    </row>
    <row r="53" spans="1:16" s="615" customFormat="1" ht="18.75" customHeight="1" x14ac:dyDescent="0.2">
      <c r="A53" s="229" t="str">
        <f>ORÇ!A407</f>
        <v>14.4</v>
      </c>
      <c r="B53" s="1869" t="str">
        <f>ORÇ!D407</f>
        <v>PORTA TOALHA DE PAPEL - POLIPROPILENO</v>
      </c>
      <c r="C53" s="1869"/>
      <c r="D53" s="1869"/>
      <c r="E53" s="1869"/>
      <c r="F53" s="1869"/>
      <c r="G53" s="1869"/>
      <c r="H53" s="1869"/>
      <c r="I53" s="1869"/>
      <c r="J53" s="1869"/>
      <c r="K53" s="1869"/>
      <c r="L53" s="1869"/>
      <c r="M53" s="1869"/>
      <c r="N53" s="633"/>
      <c r="O53" s="633"/>
      <c r="P53" s="614"/>
    </row>
    <row r="54" spans="1:16" s="146" customFormat="1" ht="12.75" customHeight="1" x14ac:dyDescent="0.2">
      <c r="A54" s="229"/>
      <c r="B54" s="342"/>
      <c r="C54" s="342"/>
      <c r="D54" s="342"/>
      <c r="E54" s="342"/>
      <c r="F54" s="342"/>
      <c r="G54" s="342"/>
      <c r="H54" s="342"/>
      <c r="I54" s="342"/>
      <c r="J54" s="342"/>
      <c r="K54" s="342"/>
      <c r="L54" s="342"/>
      <c r="M54" s="342"/>
      <c r="N54" s="202"/>
      <c r="O54" s="202"/>
      <c r="P54" s="150"/>
    </row>
    <row r="55" spans="1:16" s="266" customFormat="1" ht="15.75" customHeight="1" x14ac:dyDescent="0.2">
      <c r="A55" s="616"/>
      <c r="B55" s="627" t="s">
        <v>537</v>
      </c>
      <c r="C55" s="627" t="s">
        <v>469</v>
      </c>
      <c r="D55" s="617"/>
      <c r="E55" s="617"/>
      <c r="F55" s="617"/>
      <c r="G55" s="617"/>
      <c r="H55" s="617"/>
      <c r="I55" s="617"/>
      <c r="J55" s="617"/>
      <c r="K55" s="617"/>
      <c r="L55" s="617"/>
      <c r="M55" s="617"/>
      <c r="O55" s="618"/>
      <c r="P55" s="618"/>
    </row>
    <row r="56" spans="1:16" s="266" customFormat="1" ht="26.25" customHeight="1" x14ac:dyDescent="0.2">
      <c r="A56" s="616"/>
      <c r="B56" s="628" t="s">
        <v>591</v>
      </c>
      <c r="C56" s="631">
        <v>1</v>
      </c>
      <c r="D56" s="617"/>
      <c r="E56" s="617"/>
      <c r="F56" s="617"/>
      <c r="G56" s="617"/>
      <c r="H56" s="617"/>
      <c r="I56" s="617"/>
      <c r="J56" s="617"/>
      <c r="K56" s="617"/>
      <c r="L56" s="617"/>
      <c r="M56" s="617"/>
      <c r="O56" s="618"/>
      <c r="P56" s="618"/>
    </row>
    <row r="57" spans="1:16" s="266" customFormat="1" ht="26.25" customHeight="1" x14ac:dyDescent="0.2">
      <c r="A57" s="616"/>
      <c r="B57" s="628" t="s">
        <v>604</v>
      </c>
      <c r="C57" s="631">
        <v>1</v>
      </c>
      <c r="D57" s="617"/>
      <c r="E57" s="617"/>
      <c r="F57" s="617"/>
      <c r="G57" s="617"/>
      <c r="H57" s="617"/>
      <c r="I57" s="617"/>
      <c r="J57" s="617"/>
      <c r="K57" s="617"/>
      <c r="L57" s="617"/>
      <c r="M57" s="617"/>
      <c r="O57" s="618"/>
      <c r="P57" s="618"/>
    </row>
    <row r="58" spans="1:16" s="266" customFormat="1" ht="15.75" customHeight="1" x14ac:dyDescent="0.2">
      <c r="A58" s="616"/>
      <c r="B58" s="626" t="s">
        <v>600</v>
      </c>
      <c r="C58" s="632">
        <v>1</v>
      </c>
      <c r="D58" s="617"/>
      <c r="E58" s="617"/>
      <c r="F58" s="617"/>
      <c r="G58" s="617"/>
      <c r="H58" s="617"/>
      <c r="I58" s="617"/>
      <c r="J58" s="617"/>
      <c r="K58" s="617"/>
      <c r="L58" s="617"/>
      <c r="M58" s="617"/>
      <c r="O58" s="618"/>
      <c r="P58" s="618"/>
    </row>
    <row r="59" spans="1:16" s="266" customFormat="1" ht="15.75" customHeight="1" x14ac:dyDescent="0.2">
      <c r="A59" s="616"/>
      <c r="B59" s="626" t="s">
        <v>601</v>
      </c>
      <c r="C59" s="632">
        <v>1</v>
      </c>
      <c r="D59" s="617"/>
      <c r="E59" s="617"/>
      <c r="F59" s="617"/>
      <c r="G59" s="617"/>
      <c r="H59" s="617"/>
      <c r="I59" s="617"/>
      <c r="J59" s="617"/>
      <c r="K59" s="617"/>
      <c r="L59" s="617"/>
      <c r="M59" s="617"/>
      <c r="O59" s="618"/>
      <c r="P59" s="618"/>
    </row>
    <row r="60" spans="1:16" s="266" customFormat="1" ht="15.75" customHeight="1" x14ac:dyDescent="0.2">
      <c r="A60" s="616"/>
      <c r="B60" s="626" t="s">
        <v>602</v>
      </c>
      <c r="C60" s="632">
        <v>1</v>
      </c>
      <c r="D60" s="617"/>
      <c r="E60" s="617"/>
      <c r="F60" s="617"/>
      <c r="G60" s="617"/>
      <c r="H60" s="617"/>
      <c r="I60" s="617"/>
      <c r="J60" s="617"/>
      <c r="K60" s="617"/>
      <c r="L60" s="617"/>
      <c r="M60" s="617"/>
      <c r="O60" s="618"/>
      <c r="P60" s="618"/>
    </row>
    <row r="61" spans="1:16" s="629" customFormat="1" ht="29.25" customHeight="1" x14ac:dyDescent="0.2">
      <c r="A61" s="616"/>
      <c r="B61" s="628" t="s">
        <v>548</v>
      </c>
      <c r="C61" s="631">
        <v>1</v>
      </c>
      <c r="D61" s="619"/>
      <c r="E61" s="619"/>
      <c r="F61" s="619"/>
      <c r="G61" s="619"/>
      <c r="H61" s="619"/>
      <c r="I61" s="619"/>
      <c r="J61" s="619"/>
      <c r="K61" s="619"/>
      <c r="L61" s="619"/>
      <c r="M61" s="619"/>
      <c r="O61" s="630"/>
      <c r="P61" s="630"/>
    </row>
    <row r="62" spans="1:16" s="629" customFormat="1" ht="29.25" customHeight="1" x14ac:dyDescent="0.2">
      <c r="A62" s="616"/>
      <c r="B62" s="628" t="s">
        <v>547</v>
      </c>
      <c r="C62" s="631">
        <v>1</v>
      </c>
      <c r="D62" s="619"/>
      <c r="E62" s="619"/>
      <c r="F62" s="619"/>
      <c r="G62" s="619"/>
      <c r="H62" s="619"/>
      <c r="I62" s="619"/>
      <c r="J62" s="619"/>
      <c r="K62" s="619"/>
      <c r="L62" s="619"/>
      <c r="M62" s="619"/>
      <c r="O62" s="630"/>
      <c r="P62" s="630"/>
    </row>
    <row r="63" spans="1:16" s="266" customFormat="1" ht="15.75" customHeight="1" x14ac:dyDescent="0.2">
      <c r="A63" s="616"/>
      <c r="B63" s="628" t="s">
        <v>530</v>
      </c>
      <c r="C63" s="631">
        <v>1</v>
      </c>
      <c r="D63" s="634"/>
      <c r="E63" s="634"/>
      <c r="F63" s="634"/>
      <c r="G63" s="634"/>
      <c r="H63" s="617"/>
      <c r="I63" s="617"/>
      <c r="J63" s="617"/>
      <c r="K63" s="617"/>
      <c r="L63" s="617"/>
      <c r="M63" s="617"/>
      <c r="O63" s="618"/>
      <c r="P63" s="618"/>
    </row>
    <row r="64" spans="1:16" s="266" customFormat="1" ht="15.75" customHeight="1" x14ac:dyDescent="0.2">
      <c r="A64" s="616"/>
      <c r="B64" s="628" t="s">
        <v>481</v>
      </c>
      <c r="C64" s="631">
        <v>1</v>
      </c>
      <c r="D64" s="634"/>
      <c r="E64" s="634"/>
      <c r="F64" s="634"/>
      <c r="G64" s="634"/>
      <c r="H64" s="617"/>
      <c r="I64" s="617"/>
      <c r="J64" s="617"/>
      <c r="K64" s="617"/>
      <c r="L64" s="617"/>
      <c r="M64" s="617"/>
      <c r="O64" s="618"/>
      <c r="P64" s="618"/>
    </row>
    <row r="65" spans="1:16" s="266" customFormat="1" ht="15.75" customHeight="1" x14ac:dyDescent="0.2">
      <c r="A65" s="616"/>
      <c r="B65" s="628" t="s">
        <v>509</v>
      </c>
      <c r="C65" s="631">
        <v>1</v>
      </c>
      <c r="D65" s="634"/>
      <c r="E65" s="634"/>
      <c r="F65" s="634"/>
      <c r="G65" s="634"/>
      <c r="H65" s="617"/>
      <c r="I65" s="617"/>
      <c r="J65" s="617"/>
      <c r="K65" s="617"/>
      <c r="L65" s="617"/>
      <c r="M65" s="617"/>
      <c r="O65" s="618"/>
      <c r="P65" s="618"/>
    </row>
    <row r="66" spans="1:16" s="266" customFormat="1" ht="15.75" customHeight="1" x14ac:dyDescent="0.2">
      <c r="A66" s="616"/>
      <c r="B66" s="628" t="s">
        <v>508</v>
      </c>
      <c r="C66" s="631">
        <v>1</v>
      </c>
      <c r="D66" s="634"/>
      <c r="E66" s="634"/>
      <c r="F66" s="634"/>
      <c r="G66" s="634"/>
      <c r="H66" s="617"/>
      <c r="I66" s="617"/>
      <c r="J66" s="617"/>
      <c r="K66" s="617"/>
      <c r="L66" s="617"/>
      <c r="M66" s="617"/>
      <c r="O66" s="618"/>
      <c r="P66" s="618"/>
    </row>
    <row r="67" spans="1:16" s="266" customFormat="1" ht="15.75" customHeight="1" x14ac:dyDescent="0.2">
      <c r="A67" s="616"/>
      <c r="B67" s="628" t="s">
        <v>507</v>
      </c>
      <c r="C67" s="631">
        <v>1</v>
      </c>
      <c r="D67" s="634"/>
      <c r="E67" s="634"/>
      <c r="F67" s="634"/>
      <c r="G67" s="634"/>
      <c r="H67" s="617"/>
      <c r="I67" s="617"/>
      <c r="J67" s="617"/>
      <c r="K67" s="617"/>
      <c r="L67" s="617"/>
      <c r="M67" s="617"/>
      <c r="O67" s="618"/>
      <c r="P67" s="618"/>
    </row>
    <row r="68" spans="1:16" s="266" customFormat="1" ht="15.75" customHeight="1" x14ac:dyDescent="0.2">
      <c r="A68" s="616"/>
      <c r="B68" s="628" t="s">
        <v>461</v>
      </c>
      <c r="C68" s="631">
        <v>1</v>
      </c>
      <c r="D68" s="634"/>
      <c r="E68" s="634"/>
      <c r="F68" s="634"/>
      <c r="G68" s="634"/>
      <c r="H68" s="617"/>
      <c r="I68" s="617"/>
      <c r="J68" s="617"/>
      <c r="K68" s="617"/>
      <c r="L68" s="617"/>
      <c r="M68" s="617"/>
      <c r="O68" s="618"/>
      <c r="P68" s="618"/>
    </row>
    <row r="69" spans="1:16" s="266" customFormat="1" ht="15.75" customHeight="1" x14ac:dyDescent="0.2">
      <c r="A69" s="616"/>
      <c r="B69" s="617"/>
      <c r="C69" s="617"/>
      <c r="D69" s="617"/>
      <c r="E69" s="617"/>
      <c r="F69" s="617"/>
      <c r="G69" s="617"/>
      <c r="H69" s="617"/>
      <c r="I69" s="617"/>
      <c r="J69" s="617"/>
      <c r="K69" s="617"/>
      <c r="L69" s="617"/>
      <c r="M69" s="617"/>
      <c r="O69" s="618"/>
      <c r="P69" s="618"/>
    </row>
    <row r="70" spans="1:16" s="266" customFormat="1" ht="15.75" customHeight="1" x14ac:dyDescent="0.2">
      <c r="A70" s="616"/>
      <c r="B70" s="622" t="s">
        <v>47</v>
      </c>
      <c r="C70" s="623">
        <f>ROUND(SUM(C56:C69),2)</f>
        <v>13</v>
      </c>
      <c r="D70" s="624" t="s">
        <v>668</v>
      </c>
      <c r="E70" s="617"/>
      <c r="F70" s="617"/>
      <c r="G70" s="617"/>
      <c r="H70" s="617"/>
      <c r="I70" s="617"/>
      <c r="J70" s="617"/>
      <c r="K70" s="617"/>
      <c r="L70" s="617"/>
      <c r="M70" s="617"/>
      <c r="O70" s="618"/>
      <c r="P70" s="618"/>
    </row>
    <row r="71" spans="1:16" s="146" customFormat="1" ht="12.75" customHeight="1" x14ac:dyDescent="0.2">
      <c r="A71" s="229"/>
      <c r="B71" s="342"/>
      <c r="C71" s="342"/>
      <c r="D71" s="342"/>
      <c r="E71" s="342"/>
      <c r="F71" s="342"/>
      <c r="G71" s="342"/>
      <c r="H71" s="342"/>
      <c r="I71" s="342"/>
      <c r="J71" s="342"/>
      <c r="K71" s="342"/>
      <c r="L71" s="342"/>
      <c r="M71" s="342"/>
      <c r="N71" s="202"/>
      <c r="O71" s="202"/>
      <c r="P71" s="150"/>
    </row>
    <row r="72" spans="1:16" s="146" customFormat="1" x14ac:dyDescent="0.2">
      <c r="A72" s="229" t="str">
        <f>ORÇ!A408</f>
        <v>14.5</v>
      </c>
      <c r="B72" s="1862" t="str">
        <f>ORÇ!D408</f>
        <v>PAPELEIRA DE PAREDE EM METAL CROMADO SEM TAMPA, INCLUSO FIXAÇÃO. AF_01/2020</v>
      </c>
      <c r="C72" s="1862"/>
      <c r="D72" s="1862"/>
      <c r="E72" s="1862"/>
      <c r="F72" s="1862"/>
      <c r="G72" s="1862"/>
      <c r="H72" s="1862"/>
      <c r="I72" s="1862"/>
      <c r="J72" s="1862"/>
      <c r="K72" s="1862"/>
      <c r="L72" s="1862"/>
      <c r="M72" s="1862"/>
      <c r="N72" s="150"/>
      <c r="O72" s="150"/>
      <c r="P72" s="150"/>
    </row>
    <row r="73" spans="1:16" s="146" customFormat="1" ht="12.75" customHeight="1" x14ac:dyDescent="0.2">
      <c r="A73" s="229"/>
      <c r="B73" s="537"/>
      <c r="C73" s="537"/>
      <c r="D73" s="537"/>
      <c r="E73" s="537"/>
      <c r="F73" s="537"/>
      <c r="G73" s="537"/>
      <c r="H73" s="537"/>
      <c r="I73" s="537"/>
      <c r="J73" s="537"/>
      <c r="K73" s="537"/>
      <c r="L73" s="537"/>
      <c r="M73" s="537"/>
      <c r="N73" s="202"/>
      <c r="O73" s="202"/>
      <c r="P73" s="150"/>
    </row>
    <row r="74" spans="1:16" s="266" customFormat="1" ht="15.75" customHeight="1" x14ac:dyDescent="0.2">
      <c r="A74" s="616"/>
      <c r="B74" s="1879" t="s">
        <v>831</v>
      </c>
      <c r="C74" s="1879"/>
      <c r="D74" s="1879"/>
      <c r="E74" s="1879"/>
      <c r="F74" s="617"/>
      <c r="G74" s="617"/>
      <c r="H74" s="617"/>
      <c r="I74" s="617"/>
      <c r="J74" s="617"/>
      <c r="K74" s="617"/>
      <c r="L74" s="617"/>
      <c r="M74" s="617"/>
      <c r="O74" s="618"/>
      <c r="P74" s="618"/>
    </row>
    <row r="75" spans="1:16" s="266" customFormat="1" ht="15.75" customHeight="1" x14ac:dyDescent="0.2">
      <c r="A75" s="616"/>
      <c r="B75" s="622" t="s">
        <v>47</v>
      </c>
      <c r="C75" s="623">
        <f>C51</f>
        <v>7</v>
      </c>
      <c r="D75" s="624" t="s">
        <v>668</v>
      </c>
      <c r="E75" s="617"/>
      <c r="F75" s="617"/>
      <c r="G75" s="617"/>
      <c r="H75" s="617"/>
      <c r="I75" s="617"/>
      <c r="J75" s="617"/>
      <c r="K75" s="617"/>
      <c r="L75" s="617"/>
      <c r="M75" s="617"/>
      <c r="O75" s="618"/>
      <c r="P75" s="618"/>
    </row>
    <row r="76" spans="1:16" s="146" customFormat="1" ht="12.75" customHeight="1" x14ac:dyDescent="0.2">
      <c r="A76" s="229"/>
      <c r="B76" s="537"/>
      <c r="C76" s="537"/>
      <c r="D76" s="537"/>
      <c r="E76" s="537"/>
      <c r="F76" s="537"/>
      <c r="G76" s="537"/>
      <c r="H76" s="537"/>
      <c r="I76" s="537"/>
      <c r="J76" s="537"/>
      <c r="K76" s="537"/>
      <c r="L76" s="537"/>
      <c r="M76" s="537"/>
      <c r="N76" s="202"/>
      <c r="O76" s="202"/>
      <c r="P76" s="150"/>
    </row>
    <row r="77" spans="1:16" s="146" customFormat="1" x14ac:dyDescent="0.2">
      <c r="A77" s="229" t="str">
        <f>ORÇ!A409</f>
        <v>14.6</v>
      </c>
      <c r="B77" s="1862" t="str">
        <f>ORÇ!D409</f>
        <v>ESPELHO DE CRISTAL (0,40X0,60M) COM MOLDURA EM ALUMÍNIO</v>
      </c>
      <c r="C77" s="1862"/>
      <c r="D77" s="1862"/>
      <c r="E77" s="1862"/>
      <c r="F77" s="1862"/>
      <c r="G77" s="1862"/>
      <c r="H77" s="1862"/>
      <c r="I77" s="1862"/>
      <c r="J77" s="1862"/>
      <c r="K77" s="1862"/>
      <c r="L77" s="1862"/>
      <c r="M77" s="1862"/>
      <c r="N77" s="150"/>
      <c r="O77" s="150"/>
      <c r="P77" s="150"/>
    </row>
    <row r="78" spans="1:16" s="146" customFormat="1" ht="12.75" customHeight="1" x14ac:dyDescent="0.2">
      <c r="A78" s="229"/>
      <c r="B78" s="537"/>
      <c r="C78" s="537"/>
      <c r="D78" s="537"/>
      <c r="E78" s="537"/>
      <c r="F78" s="537"/>
      <c r="G78" s="537"/>
      <c r="H78" s="537"/>
      <c r="I78" s="537"/>
      <c r="J78" s="537"/>
      <c r="K78" s="537"/>
      <c r="L78" s="537"/>
      <c r="M78" s="537"/>
      <c r="N78" s="202"/>
      <c r="O78" s="202"/>
      <c r="P78" s="150"/>
    </row>
    <row r="79" spans="1:16" s="266" customFormat="1" ht="15.75" customHeight="1" x14ac:dyDescent="0.2">
      <c r="A79" s="616"/>
      <c r="B79" s="627" t="s">
        <v>537</v>
      </c>
      <c r="C79" s="625" t="s">
        <v>469</v>
      </c>
      <c r="D79" s="617"/>
      <c r="E79" s="617"/>
      <c r="F79" s="617"/>
      <c r="G79" s="617"/>
      <c r="H79" s="617"/>
      <c r="I79" s="617"/>
      <c r="J79" s="617"/>
      <c r="K79" s="617"/>
      <c r="L79" s="617"/>
      <c r="M79" s="617"/>
      <c r="O79" s="618"/>
      <c r="P79" s="618"/>
    </row>
    <row r="80" spans="1:16" s="629" customFormat="1" ht="26.25" customHeight="1" x14ac:dyDescent="0.2">
      <c r="A80" s="616"/>
      <c r="B80" s="628" t="s">
        <v>591</v>
      </c>
      <c r="C80" s="631">
        <v>1</v>
      </c>
      <c r="D80" s="619"/>
      <c r="E80" s="619"/>
      <c r="F80" s="619"/>
      <c r="G80" s="619"/>
      <c r="H80" s="619"/>
      <c r="I80" s="619"/>
      <c r="J80" s="619"/>
      <c r="K80" s="619"/>
      <c r="L80" s="619"/>
      <c r="M80" s="619"/>
      <c r="O80" s="630"/>
      <c r="P80" s="630"/>
    </row>
    <row r="81" spans="1:16" s="629" customFormat="1" ht="26.25" customHeight="1" x14ac:dyDescent="0.2">
      <c r="A81" s="616"/>
      <c r="B81" s="628" t="s">
        <v>604</v>
      </c>
      <c r="C81" s="631">
        <v>1</v>
      </c>
      <c r="D81" s="619"/>
      <c r="E81" s="619"/>
      <c r="F81" s="619"/>
      <c r="G81" s="619"/>
      <c r="H81" s="619"/>
      <c r="I81" s="619"/>
      <c r="J81" s="619"/>
      <c r="K81" s="619"/>
      <c r="L81" s="619"/>
      <c r="M81" s="619"/>
      <c r="O81" s="630"/>
      <c r="P81" s="630"/>
    </row>
    <row r="82" spans="1:16" s="629" customFormat="1" ht="15.75" customHeight="1" x14ac:dyDescent="0.2">
      <c r="A82" s="616"/>
      <c r="B82" s="628" t="s">
        <v>600</v>
      </c>
      <c r="C82" s="631">
        <v>1</v>
      </c>
      <c r="D82" s="619"/>
      <c r="E82" s="619"/>
      <c r="F82" s="619"/>
      <c r="G82" s="619"/>
      <c r="H82" s="619"/>
      <c r="I82" s="619"/>
      <c r="J82" s="619"/>
      <c r="K82" s="619"/>
      <c r="L82" s="619"/>
      <c r="M82" s="619"/>
      <c r="O82" s="630"/>
      <c r="P82" s="630"/>
    </row>
    <row r="83" spans="1:16" s="629" customFormat="1" ht="15.75" customHeight="1" x14ac:dyDescent="0.2">
      <c r="A83" s="616"/>
      <c r="B83" s="628" t="s">
        <v>601</v>
      </c>
      <c r="C83" s="631">
        <v>1</v>
      </c>
      <c r="D83" s="619"/>
      <c r="E83" s="619"/>
      <c r="F83" s="619"/>
      <c r="G83" s="619"/>
      <c r="H83" s="619"/>
      <c r="I83" s="619"/>
      <c r="J83" s="619"/>
      <c r="K83" s="619"/>
      <c r="L83" s="619"/>
      <c r="M83" s="619"/>
      <c r="O83" s="630"/>
      <c r="P83" s="630"/>
    </row>
    <row r="84" spans="1:16" s="629" customFormat="1" ht="15.75" customHeight="1" x14ac:dyDescent="0.2">
      <c r="A84" s="616"/>
      <c r="B84" s="628" t="s">
        <v>602</v>
      </c>
      <c r="C84" s="631">
        <v>1</v>
      </c>
      <c r="D84" s="619"/>
      <c r="E84" s="619"/>
      <c r="F84" s="619"/>
      <c r="G84" s="619"/>
      <c r="H84" s="619"/>
      <c r="I84" s="619"/>
      <c r="J84" s="619"/>
      <c r="K84" s="619"/>
      <c r="L84" s="619"/>
      <c r="M84" s="619"/>
      <c r="O84" s="630"/>
      <c r="P84" s="630"/>
    </row>
    <row r="85" spans="1:16" s="629" customFormat="1" ht="29.25" customHeight="1" x14ac:dyDescent="0.2">
      <c r="A85" s="616"/>
      <c r="B85" s="628" t="s">
        <v>548</v>
      </c>
      <c r="C85" s="631">
        <v>1</v>
      </c>
      <c r="D85" s="619"/>
      <c r="E85" s="619"/>
      <c r="F85" s="619"/>
      <c r="G85" s="619"/>
      <c r="H85" s="619"/>
      <c r="I85" s="619"/>
      <c r="J85" s="619"/>
      <c r="K85" s="619"/>
      <c r="L85" s="619"/>
      <c r="M85" s="619"/>
      <c r="O85" s="630"/>
      <c r="P85" s="630"/>
    </row>
    <row r="86" spans="1:16" s="629" customFormat="1" ht="29.25" customHeight="1" x14ac:dyDescent="0.2">
      <c r="A86" s="616"/>
      <c r="B86" s="628" t="s">
        <v>547</v>
      </c>
      <c r="C86" s="631">
        <v>1</v>
      </c>
      <c r="D86" s="619"/>
      <c r="E86" s="619"/>
      <c r="F86" s="619"/>
      <c r="G86" s="619"/>
      <c r="H86" s="619"/>
      <c r="I86" s="619"/>
      <c r="J86" s="619"/>
      <c r="K86" s="619"/>
      <c r="L86" s="619"/>
      <c r="M86" s="619"/>
      <c r="O86" s="630"/>
      <c r="P86" s="630"/>
    </row>
    <row r="87" spans="1:16" s="629" customFormat="1" ht="15.75" customHeight="1" x14ac:dyDescent="0.2">
      <c r="A87" s="616"/>
      <c r="B87" s="628" t="s">
        <v>530</v>
      </c>
      <c r="C87" s="631">
        <v>2</v>
      </c>
      <c r="D87" s="639"/>
      <c r="E87" s="639"/>
      <c r="F87" s="639"/>
      <c r="G87" s="639"/>
      <c r="H87" s="619"/>
      <c r="I87" s="619"/>
      <c r="J87" s="619"/>
      <c r="K87" s="619"/>
      <c r="L87" s="619"/>
      <c r="M87" s="619"/>
      <c r="O87" s="630"/>
      <c r="P87" s="630"/>
    </row>
    <row r="88" spans="1:16" s="266" customFormat="1" ht="15.75" customHeight="1" x14ac:dyDescent="0.2">
      <c r="A88" s="616"/>
      <c r="B88" s="617"/>
      <c r="C88" s="617"/>
      <c r="D88" s="617"/>
      <c r="E88" s="617"/>
      <c r="F88" s="617"/>
      <c r="G88" s="617"/>
      <c r="H88" s="617"/>
      <c r="I88" s="617"/>
      <c r="J88" s="617"/>
      <c r="K88" s="617"/>
      <c r="L88" s="617"/>
      <c r="M88" s="617"/>
      <c r="O88" s="618"/>
      <c r="P88" s="618"/>
    </row>
    <row r="89" spans="1:16" s="266" customFormat="1" ht="15.75" customHeight="1" x14ac:dyDescent="0.2">
      <c r="A89" s="616"/>
      <c r="B89" s="622" t="s">
        <v>47</v>
      </c>
      <c r="C89" s="623">
        <f>ROUND(SUM(C80:C88),2)</f>
        <v>9</v>
      </c>
      <c r="D89" s="624" t="s">
        <v>668</v>
      </c>
      <c r="E89" s="617"/>
      <c r="F89" s="617"/>
      <c r="G89" s="617"/>
      <c r="H89" s="617"/>
      <c r="I89" s="617"/>
      <c r="J89" s="617"/>
      <c r="K89" s="617"/>
      <c r="L89" s="617"/>
      <c r="M89" s="617"/>
      <c r="O89" s="618"/>
      <c r="P89" s="618"/>
    </row>
    <row r="90" spans="1:16" s="146" customFormat="1" ht="12.75" customHeight="1" x14ac:dyDescent="0.2">
      <c r="A90" s="229"/>
      <c r="B90" s="537"/>
      <c r="C90" s="537"/>
      <c r="D90" s="537"/>
      <c r="E90" s="537"/>
      <c r="F90" s="537"/>
      <c r="G90" s="537"/>
      <c r="H90" s="537"/>
      <c r="I90" s="537"/>
      <c r="J90" s="537"/>
      <c r="K90" s="537"/>
      <c r="L90" s="537"/>
      <c r="M90" s="537"/>
      <c r="N90" s="202"/>
      <c r="O90" s="202"/>
      <c r="P90" s="150"/>
    </row>
    <row r="91" spans="1:16" s="615" customFormat="1" ht="21" customHeight="1" x14ac:dyDescent="0.2">
      <c r="A91" s="229" t="str">
        <f>ORÇ!A410</f>
        <v>14.7</v>
      </c>
      <c r="B91" s="1869" t="str">
        <f>ORÇ!D410</f>
        <v>BARRA EM AÇO INOX (PCD)</v>
      </c>
      <c r="C91" s="1869"/>
      <c r="D91" s="1869"/>
      <c r="E91" s="1869"/>
      <c r="F91" s="1869"/>
      <c r="G91" s="1869"/>
      <c r="H91" s="1869"/>
      <c r="I91" s="1869"/>
      <c r="J91" s="1869"/>
      <c r="K91" s="1869"/>
      <c r="L91" s="1869"/>
      <c r="M91" s="1869"/>
      <c r="N91" s="614"/>
      <c r="O91" s="614"/>
      <c r="P91" s="614"/>
    </row>
    <row r="93" spans="1:16" s="635" customFormat="1" ht="15.75" customHeight="1" x14ac:dyDescent="0.2">
      <c r="A93" s="616"/>
      <c r="B93" s="627" t="s">
        <v>537</v>
      </c>
      <c r="C93" s="627" t="s">
        <v>216</v>
      </c>
      <c r="D93" s="627"/>
      <c r="E93" s="627" t="s">
        <v>469</v>
      </c>
      <c r="F93" s="627"/>
      <c r="G93" s="627" t="s">
        <v>614</v>
      </c>
      <c r="H93" s="621"/>
      <c r="I93" s="621"/>
      <c r="J93" s="621"/>
      <c r="K93" s="621"/>
      <c r="L93" s="621"/>
      <c r="M93" s="621"/>
      <c r="O93" s="636"/>
      <c r="P93" s="636"/>
    </row>
    <row r="94" spans="1:16" s="266" customFormat="1" ht="15.75" customHeight="1" x14ac:dyDescent="0.2">
      <c r="A94" s="616"/>
      <c r="B94" s="1877" t="s">
        <v>600</v>
      </c>
      <c r="C94" s="631">
        <v>0.8</v>
      </c>
      <c r="D94" s="631" t="s">
        <v>45</v>
      </c>
      <c r="E94" s="631">
        <v>2</v>
      </c>
      <c r="F94" s="631" t="s">
        <v>46</v>
      </c>
      <c r="G94" s="631">
        <f>ROUND(C94*E94,2)</f>
        <v>1.6</v>
      </c>
      <c r="H94" s="617"/>
      <c r="I94" s="617"/>
      <c r="J94" s="617"/>
      <c r="K94" s="617"/>
      <c r="L94" s="617"/>
      <c r="M94" s="617"/>
      <c r="O94" s="618"/>
      <c r="P94" s="618"/>
    </row>
    <row r="95" spans="1:16" s="266" customFormat="1" ht="15.75" customHeight="1" x14ac:dyDescent="0.2">
      <c r="A95" s="616"/>
      <c r="B95" s="1878"/>
      <c r="C95" s="631">
        <v>0.7</v>
      </c>
      <c r="D95" s="631" t="s">
        <v>45</v>
      </c>
      <c r="E95" s="631">
        <v>1</v>
      </c>
      <c r="F95" s="631" t="s">
        <v>46</v>
      </c>
      <c r="G95" s="631">
        <f t="shared" ref="G95" si="1">ROUND(C95*E95,2)</f>
        <v>0.7</v>
      </c>
      <c r="H95" s="617"/>
      <c r="I95" s="617"/>
      <c r="J95" s="617"/>
      <c r="K95" s="617"/>
      <c r="L95" s="617"/>
      <c r="M95" s="617"/>
      <c r="O95" s="618"/>
      <c r="P95" s="618"/>
    </row>
    <row r="96" spans="1:16" s="266" customFormat="1" ht="15.75" customHeight="1" x14ac:dyDescent="0.2">
      <c r="A96" s="637" t="s">
        <v>833</v>
      </c>
      <c r="B96" s="1877" t="s">
        <v>601</v>
      </c>
      <c r="C96" s="631">
        <v>0.8</v>
      </c>
      <c r="D96" s="631" t="s">
        <v>45</v>
      </c>
      <c r="E96" s="631">
        <v>2</v>
      </c>
      <c r="F96" s="631" t="s">
        <v>46</v>
      </c>
      <c r="G96" s="631">
        <f t="shared" ref="G96:G104" si="2">ROUND(C96*E96,2)</f>
        <v>1.6</v>
      </c>
      <c r="H96" s="617"/>
      <c r="I96" s="617"/>
      <c r="J96" s="617"/>
      <c r="K96" s="617"/>
      <c r="L96" s="617"/>
      <c r="M96" s="617"/>
      <c r="O96" s="618"/>
      <c r="P96" s="618"/>
    </row>
    <row r="97" spans="1:16" s="266" customFormat="1" ht="15.75" customHeight="1" x14ac:dyDescent="0.2">
      <c r="A97" s="616"/>
      <c r="B97" s="1878"/>
      <c r="C97" s="631">
        <v>0.7</v>
      </c>
      <c r="D97" s="631" t="s">
        <v>45</v>
      </c>
      <c r="E97" s="631">
        <v>1</v>
      </c>
      <c r="F97" s="631" t="s">
        <v>46</v>
      </c>
      <c r="G97" s="631">
        <f t="shared" ref="G97" si="3">ROUND(C97*E97,2)</f>
        <v>0.7</v>
      </c>
      <c r="H97" s="617"/>
      <c r="I97" s="617"/>
      <c r="J97" s="617"/>
      <c r="K97" s="617"/>
      <c r="L97" s="617"/>
      <c r="M97" s="617"/>
      <c r="O97" s="618"/>
      <c r="P97" s="618"/>
    </row>
    <row r="98" spans="1:16" s="266" customFormat="1" ht="15.75" customHeight="1" x14ac:dyDescent="0.2">
      <c r="A98" s="616"/>
      <c r="B98" s="1877" t="s">
        <v>602</v>
      </c>
      <c r="C98" s="631">
        <v>0.8</v>
      </c>
      <c r="D98" s="631" t="s">
        <v>45</v>
      </c>
      <c r="E98" s="631">
        <v>2</v>
      </c>
      <c r="F98" s="631" t="s">
        <v>46</v>
      </c>
      <c r="G98" s="631">
        <f t="shared" si="2"/>
        <v>1.6</v>
      </c>
      <c r="H98" s="617"/>
      <c r="I98" s="617"/>
      <c r="J98" s="617"/>
      <c r="K98" s="617"/>
      <c r="L98" s="617"/>
      <c r="M98" s="617"/>
      <c r="O98" s="618"/>
      <c r="P98" s="618"/>
    </row>
    <row r="99" spans="1:16" s="266" customFormat="1" ht="15.75" customHeight="1" x14ac:dyDescent="0.2">
      <c r="A99" s="616"/>
      <c r="B99" s="1878"/>
      <c r="C99" s="631">
        <v>0.7</v>
      </c>
      <c r="D99" s="631" t="s">
        <v>45</v>
      </c>
      <c r="E99" s="631">
        <v>1</v>
      </c>
      <c r="F99" s="631" t="s">
        <v>46</v>
      </c>
      <c r="G99" s="631">
        <f t="shared" ref="G99" si="4">ROUND(C99*E99,2)</f>
        <v>0.7</v>
      </c>
      <c r="H99" s="617"/>
      <c r="I99" s="617"/>
      <c r="J99" s="617"/>
      <c r="K99" s="617"/>
      <c r="L99" s="617"/>
      <c r="M99" s="617"/>
      <c r="O99" s="618"/>
      <c r="P99" s="618"/>
    </row>
    <row r="100" spans="1:16" s="266" customFormat="1" ht="15.75" customHeight="1" x14ac:dyDescent="0.2">
      <c r="A100" s="616"/>
      <c r="B100" s="1877" t="s">
        <v>548</v>
      </c>
      <c r="C100" s="631">
        <v>0.8</v>
      </c>
      <c r="D100" s="631" t="s">
        <v>45</v>
      </c>
      <c r="E100" s="631">
        <v>2</v>
      </c>
      <c r="F100" s="631" t="s">
        <v>46</v>
      </c>
      <c r="G100" s="631">
        <f t="shared" si="2"/>
        <v>1.6</v>
      </c>
      <c r="H100" s="617"/>
      <c r="I100" s="617"/>
      <c r="J100" s="617"/>
      <c r="K100" s="617"/>
      <c r="L100" s="617"/>
      <c r="M100" s="617"/>
      <c r="O100" s="618"/>
      <c r="P100" s="618"/>
    </row>
    <row r="101" spans="1:16" s="266" customFormat="1" ht="15.75" customHeight="1" x14ac:dyDescent="0.2">
      <c r="A101" s="616"/>
      <c r="B101" s="1878"/>
      <c r="C101" s="631">
        <v>0.7</v>
      </c>
      <c r="D101" s="631" t="s">
        <v>45</v>
      </c>
      <c r="E101" s="631">
        <v>1</v>
      </c>
      <c r="F101" s="631" t="s">
        <v>46</v>
      </c>
      <c r="G101" s="631">
        <f t="shared" ref="G101" si="5">ROUND(C101*E101,2)</f>
        <v>0.7</v>
      </c>
      <c r="H101" s="617"/>
      <c r="I101" s="617"/>
      <c r="J101" s="617"/>
      <c r="K101" s="617"/>
      <c r="L101" s="617"/>
      <c r="M101" s="617"/>
      <c r="O101" s="618"/>
      <c r="P101" s="618"/>
    </row>
    <row r="102" spans="1:16" s="266" customFormat="1" ht="15.75" customHeight="1" x14ac:dyDescent="0.2">
      <c r="A102" s="616"/>
      <c r="B102" s="1877" t="s">
        <v>547</v>
      </c>
      <c r="C102" s="631">
        <v>0.8</v>
      </c>
      <c r="D102" s="631" t="s">
        <v>45</v>
      </c>
      <c r="E102" s="631">
        <v>2</v>
      </c>
      <c r="F102" s="631" t="s">
        <v>46</v>
      </c>
      <c r="G102" s="631">
        <f t="shared" si="2"/>
        <v>1.6</v>
      </c>
      <c r="H102" s="617"/>
      <c r="I102" s="617"/>
      <c r="J102" s="617"/>
      <c r="K102" s="617"/>
      <c r="L102" s="617"/>
      <c r="M102" s="617"/>
      <c r="O102" s="618"/>
      <c r="P102" s="618"/>
    </row>
    <row r="103" spans="1:16" s="266" customFormat="1" ht="15.75" customHeight="1" x14ac:dyDescent="0.2">
      <c r="A103" s="616"/>
      <c r="B103" s="1878"/>
      <c r="C103" s="631">
        <v>0.7</v>
      </c>
      <c r="D103" s="631" t="s">
        <v>45</v>
      </c>
      <c r="E103" s="631">
        <v>1</v>
      </c>
      <c r="F103" s="631" t="s">
        <v>46</v>
      </c>
      <c r="G103" s="631">
        <f t="shared" ref="G103" si="6">ROUND(C103*E103,2)</f>
        <v>0.7</v>
      </c>
      <c r="H103" s="617"/>
      <c r="I103" s="617"/>
      <c r="J103" s="617"/>
      <c r="K103" s="617"/>
      <c r="L103" s="617"/>
      <c r="M103" s="617"/>
      <c r="O103" s="618"/>
      <c r="P103" s="618"/>
    </row>
    <row r="104" spans="1:16" s="266" customFormat="1" ht="15.75" customHeight="1" x14ac:dyDescent="0.2">
      <c r="A104" s="616"/>
      <c r="B104" s="628" t="s">
        <v>541</v>
      </c>
      <c r="C104" s="631">
        <v>0.8</v>
      </c>
      <c r="D104" s="631" t="s">
        <v>45</v>
      </c>
      <c r="E104" s="631">
        <v>4</v>
      </c>
      <c r="F104" s="631" t="s">
        <v>46</v>
      </c>
      <c r="G104" s="631">
        <f t="shared" si="2"/>
        <v>3.2</v>
      </c>
      <c r="H104" s="617"/>
      <c r="I104" s="617"/>
      <c r="J104" s="617"/>
      <c r="K104" s="617"/>
      <c r="L104" s="617"/>
      <c r="M104" s="617"/>
      <c r="O104" s="618"/>
      <c r="P104" s="618"/>
    </row>
    <row r="105" spans="1:16" s="266" customFormat="1" ht="15.75" customHeight="1" x14ac:dyDescent="0.2">
      <c r="A105" s="616"/>
      <c r="B105" s="617"/>
      <c r="C105" s="617"/>
      <c r="D105" s="617"/>
      <c r="E105" s="617"/>
      <c r="F105" s="617"/>
      <c r="G105" s="617"/>
      <c r="H105" s="617"/>
      <c r="I105" s="617"/>
      <c r="J105" s="617"/>
      <c r="K105" s="617"/>
      <c r="L105" s="617"/>
      <c r="M105" s="617"/>
      <c r="O105" s="618"/>
      <c r="P105" s="618"/>
    </row>
    <row r="106" spans="1:16" s="266" customFormat="1" ht="15.75" customHeight="1" x14ac:dyDescent="0.2">
      <c r="A106" s="616"/>
      <c r="B106" s="622" t="s">
        <v>47</v>
      </c>
      <c r="C106" s="623">
        <f>ROUND(SUM(G94:G105),2)</f>
        <v>14.7</v>
      </c>
      <c r="D106" s="624" t="s">
        <v>832</v>
      </c>
      <c r="E106" s="617"/>
      <c r="F106" s="617"/>
      <c r="G106" s="617"/>
      <c r="H106" s="617"/>
      <c r="I106" s="617"/>
      <c r="J106" s="617"/>
      <c r="K106" s="617"/>
      <c r="L106" s="617"/>
      <c r="M106" s="617"/>
      <c r="O106" s="618"/>
      <c r="P106" s="618"/>
    </row>
    <row r="107" spans="1:16" s="146" customFormat="1" x14ac:dyDescent="0.2">
      <c r="A107" s="229"/>
      <c r="B107" s="342"/>
      <c r="C107" s="342"/>
      <c r="D107" s="342"/>
      <c r="E107" s="342"/>
      <c r="F107" s="342"/>
      <c r="G107" s="342"/>
      <c r="H107" s="342"/>
      <c r="I107" s="342"/>
      <c r="J107" s="342"/>
      <c r="K107" s="342"/>
      <c r="L107" s="342"/>
      <c r="M107" s="342"/>
      <c r="N107" s="150"/>
      <c r="O107" s="150"/>
      <c r="P107" s="150"/>
    </row>
    <row r="108" spans="1:16" s="615" customFormat="1" ht="16.5" customHeight="1" x14ac:dyDescent="0.2">
      <c r="A108" s="229" t="str">
        <f>ORÇ!A411</f>
        <v>14.8</v>
      </c>
      <c r="B108" s="1869" t="str">
        <f>ORÇ!D411</f>
        <v>BARRA DE APOIO LATERAL ARTICULADA, COM TRAVA, EM ACO INOX POLIDO, FIXADA NA PAREDE - FORNECIMENTO E INSTALAÇÃO. AF_01/2020</v>
      </c>
      <c r="C108" s="1869"/>
      <c r="D108" s="1869"/>
      <c r="E108" s="1869"/>
      <c r="F108" s="1869"/>
      <c r="G108" s="1869"/>
      <c r="H108" s="1869"/>
      <c r="I108" s="1869"/>
      <c r="J108" s="1869"/>
      <c r="K108" s="1869"/>
      <c r="L108" s="1869"/>
      <c r="M108" s="1869"/>
      <c r="N108" s="614"/>
      <c r="O108" s="614"/>
      <c r="P108" s="614"/>
    </row>
    <row r="109" spans="1:16" ht="16.5" customHeight="1" x14ac:dyDescent="0.2"/>
    <row r="110" spans="1:16" s="269" customFormat="1" ht="15.75" customHeight="1" x14ac:dyDescent="0.2">
      <c r="A110" s="616"/>
      <c r="B110" s="627" t="s">
        <v>537</v>
      </c>
      <c r="C110" s="627" t="s">
        <v>469</v>
      </c>
      <c r="D110" s="620"/>
      <c r="E110" s="620"/>
      <c r="F110" s="620"/>
      <c r="G110" s="620"/>
      <c r="H110" s="620"/>
      <c r="I110" s="620"/>
      <c r="J110" s="620"/>
      <c r="K110" s="620"/>
      <c r="L110" s="620"/>
      <c r="M110" s="620"/>
      <c r="O110" s="638"/>
      <c r="P110" s="638"/>
    </row>
    <row r="111" spans="1:16" s="266" customFormat="1" ht="15.75" customHeight="1" x14ac:dyDescent="0.2">
      <c r="A111" s="616"/>
      <c r="B111" s="626" t="s">
        <v>600</v>
      </c>
      <c r="C111" s="632">
        <v>2</v>
      </c>
      <c r="D111" s="617"/>
      <c r="E111" s="617"/>
      <c r="F111" s="617"/>
      <c r="G111" s="617"/>
      <c r="H111" s="617"/>
      <c r="I111" s="617"/>
      <c r="J111" s="617"/>
      <c r="K111" s="617"/>
      <c r="L111" s="617"/>
      <c r="M111" s="617"/>
      <c r="O111" s="618"/>
      <c r="P111" s="618"/>
    </row>
    <row r="112" spans="1:16" s="266" customFormat="1" ht="15.75" customHeight="1" x14ac:dyDescent="0.2">
      <c r="A112" s="616"/>
      <c r="B112" s="626" t="s">
        <v>601</v>
      </c>
      <c r="C112" s="632">
        <v>2</v>
      </c>
      <c r="D112" s="617"/>
      <c r="E112" s="617"/>
      <c r="F112" s="617"/>
      <c r="G112" s="617"/>
      <c r="H112" s="617"/>
      <c r="I112" s="617"/>
      <c r="J112" s="617"/>
      <c r="K112" s="617"/>
      <c r="L112" s="617"/>
      <c r="M112" s="617"/>
      <c r="O112" s="618"/>
      <c r="P112" s="618"/>
    </row>
    <row r="113" spans="1:16" s="266" customFormat="1" ht="15.75" customHeight="1" x14ac:dyDescent="0.2">
      <c r="A113" s="616"/>
      <c r="B113" s="626" t="s">
        <v>602</v>
      </c>
      <c r="C113" s="632">
        <v>2</v>
      </c>
      <c r="D113" s="617"/>
      <c r="E113" s="617"/>
      <c r="F113" s="617"/>
      <c r="G113" s="617"/>
      <c r="H113" s="617"/>
      <c r="I113" s="617"/>
      <c r="J113" s="617"/>
      <c r="K113" s="617"/>
      <c r="L113" s="617"/>
      <c r="M113" s="617"/>
      <c r="O113" s="618"/>
      <c r="P113" s="618"/>
    </row>
    <row r="114" spans="1:16" s="629" customFormat="1" ht="29.25" customHeight="1" x14ac:dyDescent="0.2">
      <c r="A114" s="616"/>
      <c r="B114" s="628" t="s">
        <v>548</v>
      </c>
      <c r="C114" s="631">
        <v>2</v>
      </c>
      <c r="D114" s="619"/>
      <c r="E114" s="619"/>
      <c r="F114" s="619"/>
      <c r="G114" s="619"/>
      <c r="H114" s="619"/>
      <c r="I114" s="619"/>
      <c r="J114" s="619"/>
      <c r="K114" s="619"/>
      <c r="L114" s="619"/>
      <c r="M114" s="619"/>
      <c r="O114" s="630"/>
      <c r="P114" s="630"/>
    </row>
    <row r="115" spans="1:16" s="629" customFormat="1" ht="29.25" customHeight="1" x14ac:dyDescent="0.2">
      <c r="A115" s="616"/>
      <c r="B115" s="628" t="s">
        <v>547</v>
      </c>
      <c r="C115" s="631">
        <v>2</v>
      </c>
      <c r="D115" s="619"/>
      <c r="E115" s="619"/>
      <c r="F115" s="619"/>
      <c r="G115" s="619"/>
      <c r="H115" s="619"/>
      <c r="I115" s="619"/>
      <c r="J115" s="619"/>
      <c r="K115" s="619"/>
      <c r="L115" s="619"/>
      <c r="M115" s="619"/>
      <c r="O115" s="630"/>
      <c r="P115" s="630"/>
    </row>
    <row r="116" spans="1:16" s="266" customFormat="1" x14ac:dyDescent="0.2">
      <c r="A116" s="616"/>
      <c r="B116" s="617"/>
      <c r="C116" s="617"/>
      <c r="D116" s="617"/>
      <c r="E116" s="617"/>
      <c r="F116" s="617"/>
      <c r="G116" s="617"/>
      <c r="H116" s="617"/>
      <c r="I116" s="617"/>
      <c r="J116" s="617"/>
      <c r="K116" s="617"/>
      <c r="L116" s="617"/>
      <c r="M116" s="617"/>
      <c r="O116" s="618"/>
      <c r="P116" s="618"/>
    </row>
    <row r="117" spans="1:16" s="266" customFormat="1" ht="15.75" customHeight="1" x14ac:dyDescent="0.2">
      <c r="A117" s="616"/>
      <c r="B117" s="622" t="s">
        <v>47</v>
      </c>
      <c r="C117" s="623">
        <f>ROUND(SUM(C111:C116),2)</f>
        <v>10</v>
      </c>
      <c r="D117" s="624" t="s">
        <v>668</v>
      </c>
      <c r="E117" s="617"/>
      <c r="F117" s="617"/>
      <c r="G117" s="617"/>
      <c r="H117" s="617"/>
      <c r="I117" s="617"/>
      <c r="J117" s="617"/>
      <c r="K117" s="617"/>
      <c r="L117" s="617"/>
      <c r="M117" s="617"/>
      <c r="O117" s="618"/>
      <c r="P117" s="618"/>
    </row>
    <row r="118" spans="1:16" s="146" customFormat="1" x14ac:dyDescent="0.2">
      <c r="A118" s="229"/>
      <c r="B118" s="342"/>
      <c r="C118" s="342"/>
      <c r="D118" s="342"/>
      <c r="E118" s="342"/>
      <c r="F118" s="342"/>
      <c r="G118" s="342"/>
      <c r="H118" s="342"/>
      <c r="I118" s="342"/>
      <c r="J118" s="342"/>
      <c r="K118" s="342"/>
      <c r="L118" s="342"/>
      <c r="M118" s="342"/>
      <c r="N118" s="150"/>
      <c r="O118" s="150"/>
      <c r="P118" s="150"/>
    </row>
    <row r="119" spans="1:16" s="146" customFormat="1" ht="24" customHeight="1" x14ac:dyDescent="0.2">
      <c r="A119" s="229" t="str">
        <f>ORÇ!A412</f>
        <v>14.9</v>
      </c>
      <c r="B119" s="1862" t="str">
        <f>ORÇ!D412</f>
        <v>LAVATÓRIO LOUÇA BRANCA SUSPENSO, 29,5 X 39CM OU EQUIVALENTE, PADRÃO POPULAR, INCLUSO SIFÃO TIPO GARRAFA EM PVC, VÁLVULA E ENGATE FLEXÍVEL 30CM EM PLÁSTICO E TORNEIRA CROMADA DE MESA, PADRÃO POPULAR - FORNECIMENTO E INSTALAÇÃO. AF_01/2020</v>
      </c>
      <c r="C119" s="1862"/>
      <c r="D119" s="1862"/>
      <c r="E119" s="1862"/>
      <c r="F119" s="1862"/>
      <c r="G119" s="1862"/>
      <c r="H119" s="1862"/>
      <c r="I119" s="1862"/>
      <c r="J119" s="1862"/>
      <c r="K119" s="1862"/>
      <c r="L119" s="1862"/>
      <c r="M119" s="1862"/>
      <c r="N119" s="150"/>
      <c r="O119" s="150"/>
      <c r="P119" s="150"/>
    </row>
    <row r="120" spans="1:16" s="146" customFormat="1" ht="12.75" customHeight="1" x14ac:dyDescent="0.2">
      <c r="A120" s="229"/>
      <c r="B120" s="342"/>
      <c r="C120" s="342"/>
      <c r="D120" s="342"/>
      <c r="E120" s="342"/>
      <c r="F120" s="342"/>
      <c r="G120" s="342"/>
      <c r="H120" s="342"/>
      <c r="I120" s="342"/>
      <c r="J120" s="342"/>
      <c r="K120" s="342"/>
      <c r="L120" s="342"/>
      <c r="M120" s="342"/>
      <c r="N120" s="150"/>
      <c r="O120" s="150"/>
      <c r="P120" s="150"/>
    </row>
    <row r="121" spans="1:16" s="266" customFormat="1" ht="15.75" customHeight="1" x14ac:dyDescent="0.2">
      <c r="A121" s="616"/>
      <c r="B121" s="625" t="s">
        <v>537</v>
      </c>
      <c r="C121" s="625" t="s">
        <v>469</v>
      </c>
      <c r="D121" s="617"/>
      <c r="E121" s="617"/>
      <c r="F121" s="617"/>
      <c r="G121" s="617"/>
      <c r="H121" s="617"/>
      <c r="I121" s="617"/>
      <c r="J121" s="617"/>
      <c r="K121" s="617"/>
      <c r="L121" s="617"/>
      <c r="M121" s="617"/>
      <c r="O121" s="618"/>
      <c r="P121" s="618"/>
    </row>
    <row r="122" spans="1:16" s="266" customFormat="1" ht="26.25" customHeight="1" x14ac:dyDescent="0.2">
      <c r="A122" s="616"/>
      <c r="B122" s="628" t="s">
        <v>591</v>
      </c>
      <c r="C122" s="631">
        <v>1</v>
      </c>
      <c r="D122" s="617"/>
      <c r="E122" s="617"/>
      <c r="F122" s="617"/>
      <c r="G122" s="617"/>
      <c r="H122" s="617"/>
      <c r="I122" s="617"/>
      <c r="J122" s="617"/>
      <c r="K122" s="617"/>
      <c r="L122" s="617"/>
      <c r="M122" s="617"/>
      <c r="O122" s="618"/>
      <c r="P122" s="618"/>
    </row>
    <row r="123" spans="1:16" s="266" customFormat="1" ht="26.25" customHeight="1" x14ac:dyDescent="0.2">
      <c r="A123" s="616"/>
      <c r="B123" s="628" t="s">
        <v>604</v>
      </c>
      <c r="C123" s="631">
        <v>1</v>
      </c>
      <c r="D123" s="617"/>
      <c r="E123" s="617"/>
      <c r="F123" s="617"/>
      <c r="G123" s="617"/>
      <c r="H123" s="617"/>
      <c r="I123" s="617"/>
      <c r="J123" s="617"/>
      <c r="K123" s="617"/>
      <c r="L123" s="617"/>
      <c r="M123" s="617"/>
      <c r="O123" s="618"/>
      <c r="P123" s="618"/>
    </row>
    <row r="124" spans="1:16" s="266" customFormat="1" ht="15.75" customHeight="1" x14ac:dyDescent="0.2">
      <c r="A124" s="616"/>
      <c r="B124" s="626" t="s">
        <v>600</v>
      </c>
      <c r="C124" s="632">
        <v>1</v>
      </c>
      <c r="D124" s="617"/>
      <c r="E124" s="617"/>
      <c r="F124" s="617"/>
      <c r="G124" s="617"/>
      <c r="H124" s="617"/>
      <c r="I124" s="617"/>
      <c r="J124" s="617"/>
      <c r="K124" s="617"/>
      <c r="L124" s="617"/>
      <c r="M124" s="617"/>
      <c r="O124" s="618"/>
      <c r="P124" s="618"/>
    </row>
    <row r="125" spans="1:16" s="266" customFormat="1" ht="15.75" customHeight="1" x14ac:dyDescent="0.2">
      <c r="A125" s="616"/>
      <c r="B125" s="626" t="s">
        <v>601</v>
      </c>
      <c r="C125" s="632">
        <v>1</v>
      </c>
      <c r="D125" s="617"/>
      <c r="E125" s="617"/>
      <c r="F125" s="617"/>
      <c r="G125" s="617"/>
      <c r="H125" s="617"/>
      <c r="I125" s="617"/>
      <c r="J125" s="617"/>
      <c r="K125" s="617"/>
      <c r="L125" s="617"/>
      <c r="M125" s="617"/>
      <c r="O125" s="618"/>
      <c r="P125" s="618"/>
    </row>
    <row r="126" spans="1:16" s="266" customFormat="1" ht="15.75" customHeight="1" x14ac:dyDescent="0.2">
      <c r="A126" s="616"/>
      <c r="B126" s="626" t="s">
        <v>602</v>
      </c>
      <c r="C126" s="632">
        <v>1</v>
      </c>
      <c r="D126" s="617"/>
      <c r="E126" s="617"/>
      <c r="F126" s="617"/>
      <c r="G126" s="617"/>
      <c r="H126" s="617"/>
      <c r="I126" s="617"/>
      <c r="J126" s="617"/>
      <c r="K126" s="617"/>
      <c r="L126" s="617"/>
      <c r="M126" s="617"/>
      <c r="O126" s="618"/>
      <c r="P126" s="618"/>
    </row>
    <row r="127" spans="1:16" s="629" customFormat="1" ht="29.25" customHeight="1" x14ac:dyDescent="0.2">
      <c r="A127" s="616"/>
      <c r="B127" s="628" t="s">
        <v>548</v>
      </c>
      <c r="C127" s="631">
        <v>1</v>
      </c>
      <c r="D127" s="619"/>
      <c r="E127" s="619"/>
      <c r="F127" s="619"/>
      <c r="G127" s="619"/>
      <c r="H127" s="619"/>
      <c r="I127" s="619"/>
      <c r="J127" s="619"/>
      <c r="K127" s="619"/>
      <c r="L127" s="619"/>
      <c r="M127" s="619"/>
      <c r="O127" s="630"/>
      <c r="P127" s="630"/>
    </row>
    <row r="128" spans="1:16" s="629" customFormat="1" ht="29.25" customHeight="1" x14ac:dyDescent="0.2">
      <c r="A128" s="616"/>
      <c r="B128" s="628" t="s">
        <v>547</v>
      </c>
      <c r="C128" s="631">
        <v>1</v>
      </c>
      <c r="D128" s="619"/>
      <c r="E128" s="619"/>
      <c r="F128" s="619"/>
      <c r="G128" s="619"/>
      <c r="H128" s="619"/>
      <c r="I128" s="619"/>
      <c r="J128" s="619"/>
      <c r="K128" s="619"/>
      <c r="L128" s="619"/>
      <c r="M128" s="619"/>
      <c r="O128" s="630"/>
      <c r="P128" s="630"/>
    </row>
    <row r="129" spans="1:16" s="266" customFormat="1" ht="15.75" customHeight="1" x14ac:dyDescent="0.2">
      <c r="A129" s="616"/>
      <c r="B129" s="628" t="s">
        <v>509</v>
      </c>
      <c r="C129" s="631">
        <v>1</v>
      </c>
      <c r="D129" s="634"/>
      <c r="E129" s="634"/>
      <c r="F129" s="634"/>
      <c r="G129" s="634"/>
      <c r="H129" s="617"/>
      <c r="I129" s="617"/>
      <c r="J129" s="617"/>
      <c r="K129" s="617"/>
      <c r="L129" s="617"/>
      <c r="M129" s="617"/>
      <c r="O129" s="618"/>
      <c r="P129" s="618"/>
    </row>
    <row r="130" spans="1:16" s="266" customFormat="1" ht="15.75" customHeight="1" x14ac:dyDescent="0.2">
      <c r="A130" s="616"/>
      <c r="B130" s="628" t="s">
        <v>508</v>
      </c>
      <c r="C130" s="631">
        <v>1</v>
      </c>
      <c r="D130" s="634"/>
      <c r="E130" s="634"/>
      <c r="F130" s="634"/>
      <c r="G130" s="634"/>
      <c r="H130" s="617"/>
      <c r="I130" s="617"/>
      <c r="J130" s="617"/>
      <c r="K130" s="617"/>
      <c r="L130" s="617"/>
      <c r="M130" s="617"/>
      <c r="O130" s="618"/>
      <c r="P130" s="618"/>
    </row>
    <row r="131" spans="1:16" s="266" customFormat="1" ht="15.75" customHeight="1" x14ac:dyDescent="0.2">
      <c r="A131" s="616"/>
      <c r="B131" s="628" t="s">
        <v>507</v>
      </c>
      <c r="C131" s="631">
        <v>1</v>
      </c>
      <c r="D131" s="634"/>
      <c r="E131" s="634"/>
      <c r="F131" s="634"/>
      <c r="G131" s="634"/>
      <c r="H131" s="617"/>
      <c r="I131" s="617"/>
      <c r="J131" s="617"/>
      <c r="K131" s="617"/>
      <c r="L131" s="617"/>
      <c r="M131" s="617"/>
      <c r="O131" s="618"/>
      <c r="P131" s="618"/>
    </row>
    <row r="132" spans="1:16" s="266" customFormat="1" ht="15.75" customHeight="1" x14ac:dyDescent="0.2">
      <c r="A132" s="616"/>
      <c r="B132" s="628" t="s">
        <v>461</v>
      </c>
      <c r="C132" s="631">
        <v>1</v>
      </c>
      <c r="D132" s="634"/>
      <c r="E132" s="634"/>
      <c r="F132" s="634"/>
      <c r="G132" s="634"/>
      <c r="H132" s="617"/>
      <c r="I132" s="617"/>
      <c r="J132" s="617"/>
      <c r="K132" s="617"/>
      <c r="L132" s="617"/>
      <c r="M132" s="617"/>
      <c r="O132" s="618"/>
      <c r="P132" s="618"/>
    </row>
    <row r="133" spans="1:16" s="266" customFormat="1" ht="15.75" customHeight="1" x14ac:dyDescent="0.2">
      <c r="A133" s="616"/>
      <c r="B133" s="617"/>
      <c r="C133" s="617"/>
      <c r="D133" s="617"/>
      <c r="E133" s="617"/>
      <c r="F133" s="617"/>
      <c r="G133" s="617"/>
      <c r="H133" s="617"/>
      <c r="I133" s="617"/>
      <c r="J133" s="617"/>
      <c r="K133" s="617"/>
      <c r="L133" s="617"/>
      <c r="M133" s="617"/>
      <c r="O133" s="618"/>
      <c r="P133" s="618"/>
    </row>
    <row r="134" spans="1:16" s="266" customFormat="1" ht="15.75" customHeight="1" x14ac:dyDescent="0.2">
      <c r="A134" s="616"/>
      <c r="B134" s="622" t="s">
        <v>47</v>
      </c>
      <c r="C134" s="623">
        <f>ROUND(SUM(C122:C133),2)</f>
        <v>11</v>
      </c>
      <c r="D134" s="624" t="s">
        <v>668</v>
      </c>
      <c r="E134" s="617"/>
      <c r="F134" s="617"/>
      <c r="G134" s="617"/>
      <c r="H134" s="617"/>
      <c r="I134" s="617"/>
      <c r="J134" s="617"/>
      <c r="K134" s="617"/>
      <c r="L134" s="617"/>
      <c r="M134" s="617"/>
      <c r="O134" s="618"/>
      <c r="P134" s="618"/>
    </row>
    <row r="135" spans="1:16" s="146" customFormat="1" ht="12.75" customHeight="1" x14ac:dyDescent="0.2">
      <c r="A135" s="229"/>
      <c r="B135" s="342"/>
      <c r="C135" s="342"/>
      <c r="D135" s="342"/>
      <c r="E135" s="342"/>
      <c r="F135" s="342"/>
      <c r="G135" s="342"/>
      <c r="H135" s="342"/>
      <c r="I135" s="342"/>
      <c r="J135" s="342"/>
      <c r="K135" s="342"/>
      <c r="L135" s="342"/>
      <c r="M135" s="342"/>
      <c r="N135" s="150"/>
      <c r="O135" s="150"/>
      <c r="P135" s="150"/>
    </row>
    <row r="136" spans="1:16" s="146" customFormat="1" ht="12.75" customHeight="1" x14ac:dyDescent="0.2">
      <c r="A136" s="229" t="str">
        <f>ORÇ!A413</f>
        <v>14.10</v>
      </c>
      <c r="B136" s="1862" t="str">
        <f>ORÇ!D413</f>
        <v>DUCHA HIGIÊNICA CROMADA</v>
      </c>
      <c r="C136" s="1862"/>
      <c r="D136" s="1862"/>
      <c r="E136" s="1862"/>
      <c r="F136" s="1862"/>
      <c r="G136" s="1862"/>
      <c r="H136" s="1862"/>
      <c r="I136" s="1862"/>
      <c r="J136" s="1862"/>
      <c r="K136" s="1862"/>
      <c r="L136" s="1862"/>
      <c r="M136" s="1862"/>
      <c r="N136" s="150"/>
      <c r="O136" s="150"/>
      <c r="P136" s="150"/>
    </row>
    <row r="137" spans="1:16" s="146" customFormat="1" ht="12.75" customHeight="1" x14ac:dyDescent="0.2">
      <c r="A137" s="229"/>
      <c r="B137" s="537"/>
      <c r="C137" s="537"/>
      <c r="D137" s="537"/>
      <c r="E137" s="537"/>
      <c r="F137" s="537"/>
      <c r="G137" s="537"/>
      <c r="H137" s="537"/>
      <c r="I137" s="537"/>
      <c r="J137" s="537"/>
      <c r="K137" s="537"/>
      <c r="L137" s="537"/>
      <c r="M137" s="537"/>
      <c r="N137" s="150"/>
      <c r="O137" s="150"/>
      <c r="P137" s="150"/>
    </row>
    <row r="138" spans="1:16" s="266" customFormat="1" ht="15.75" customHeight="1" x14ac:dyDescent="0.2">
      <c r="A138" s="616"/>
      <c r="B138" s="1879" t="s">
        <v>828</v>
      </c>
      <c r="C138" s="1879"/>
      <c r="D138" s="1879"/>
      <c r="E138" s="1879"/>
      <c r="F138" s="617"/>
      <c r="G138" s="617"/>
      <c r="H138" s="617"/>
      <c r="I138" s="617"/>
      <c r="J138" s="617"/>
      <c r="K138" s="617"/>
      <c r="L138" s="617"/>
      <c r="M138" s="617"/>
      <c r="O138" s="618"/>
      <c r="P138" s="618"/>
    </row>
    <row r="139" spans="1:16" s="266" customFormat="1" ht="15.75" customHeight="1" x14ac:dyDescent="0.2">
      <c r="A139" s="616"/>
      <c r="B139" s="622" t="s">
        <v>47</v>
      </c>
      <c r="C139" s="623">
        <f>SUM(C18:C22)</f>
        <v>5</v>
      </c>
      <c r="D139" s="624" t="s">
        <v>668</v>
      </c>
      <c r="E139" s="617"/>
      <c r="F139" s="617"/>
      <c r="G139" s="617"/>
      <c r="H139" s="617"/>
      <c r="I139" s="617"/>
      <c r="J139" s="617"/>
      <c r="K139" s="617"/>
      <c r="L139" s="617"/>
      <c r="M139" s="617"/>
      <c r="O139" s="618"/>
      <c r="P139" s="618"/>
    </row>
    <row r="140" spans="1:16" s="146" customFormat="1" ht="12.75" customHeight="1" x14ac:dyDescent="0.2">
      <c r="A140" s="229"/>
      <c r="B140" s="537"/>
      <c r="C140" s="537"/>
      <c r="D140" s="537"/>
      <c r="E140" s="537"/>
      <c r="F140" s="537"/>
      <c r="G140" s="537"/>
      <c r="H140" s="537"/>
      <c r="I140" s="537"/>
      <c r="J140" s="537"/>
      <c r="K140" s="537"/>
      <c r="L140" s="537"/>
      <c r="M140" s="537"/>
      <c r="N140" s="150"/>
      <c r="O140" s="150"/>
      <c r="P140" s="150"/>
    </row>
    <row r="141" spans="1:16" s="146" customFormat="1" ht="12.75" customHeight="1" x14ac:dyDescent="0.2">
      <c r="A141" s="229" t="str">
        <f>ORÇ!A414</f>
        <v>14.11</v>
      </c>
      <c r="B141" s="1862" t="str">
        <f>ORÇ!D414</f>
        <v>CHUVEIRO ELÉTRICO COMUM CORPO PLÁSTICO, TIPO DUCHA  FORNECIMENTO E INSTALAÇÃO. AF_01/2020</v>
      </c>
      <c r="C141" s="1862"/>
      <c r="D141" s="1862"/>
      <c r="E141" s="1862"/>
      <c r="F141" s="1862"/>
      <c r="G141" s="1862"/>
      <c r="H141" s="1862"/>
      <c r="I141" s="1862"/>
      <c r="J141" s="1862"/>
      <c r="K141" s="1862"/>
      <c r="L141" s="1862"/>
      <c r="M141" s="1862"/>
      <c r="N141" s="150"/>
      <c r="O141" s="150"/>
      <c r="P141" s="150"/>
    </row>
    <row r="142" spans="1:16" s="146" customFormat="1" ht="12.75" customHeight="1" x14ac:dyDescent="0.2">
      <c r="A142" s="229"/>
      <c r="B142" s="537"/>
      <c r="C142" s="537"/>
      <c r="D142" s="537"/>
      <c r="E142" s="537"/>
      <c r="F142" s="537"/>
      <c r="G142" s="537"/>
      <c r="H142" s="537"/>
      <c r="I142" s="537"/>
      <c r="J142" s="537"/>
      <c r="K142" s="537"/>
      <c r="L142" s="537"/>
      <c r="M142" s="537"/>
      <c r="N142" s="150"/>
      <c r="O142" s="150"/>
      <c r="P142" s="150"/>
    </row>
    <row r="143" spans="1:16" s="266" customFormat="1" ht="15.75" customHeight="1" x14ac:dyDescent="0.2">
      <c r="A143" s="616"/>
      <c r="B143" s="627" t="s">
        <v>537</v>
      </c>
      <c r="C143" s="627" t="s">
        <v>469</v>
      </c>
      <c r="D143" s="617"/>
      <c r="E143" s="617"/>
      <c r="F143" s="617"/>
      <c r="G143" s="617"/>
      <c r="H143" s="617"/>
      <c r="I143" s="617"/>
      <c r="J143" s="617"/>
      <c r="K143" s="617"/>
      <c r="L143" s="617"/>
      <c r="M143" s="617"/>
      <c r="O143" s="618"/>
      <c r="P143" s="618"/>
    </row>
    <row r="144" spans="1:16" s="266" customFormat="1" ht="15.75" customHeight="1" x14ac:dyDescent="0.2">
      <c r="A144" s="616"/>
      <c r="B144" s="626" t="s">
        <v>602</v>
      </c>
      <c r="C144" s="632">
        <v>1</v>
      </c>
      <c r="D144" s="617"/>
      <c r="E144" s="617"/>
      <c r="F144" s="617"/>
      <c r="G144" s="617"/>
      <c r="H144" s="617"/>
      <c r="I144" s="617"/>
      <c r="J144" s="617"/>
      <c r="K144" s="617"/>
      <c r="L144" s="617"/>
      <c r="M144" s="617"/>
      <c r="O144" s="618"/>
      <c r="P144" s="618"/>
    </row>
    <row r="145" spans="1:16" s="266" customFormat="1" ht="15.75" customHeight="1" x14ac:dyDescent="0.2">
      <c r="A145" s="616"/>
      <c r="B145" s="617"/>
      <c r="C145" s="617"/>
      <c r="D145" s="617"/>
      <c r="E145" s="617"/>
      <c r="F145" s="617"/>
      <c r="G145" s="617"/>
      <c r="H145" s="617"/>
      <c r="I145" s="617"/>
      <c r="J145" s="617"/>
      <c r="K145" s="617"/>
      <c r="L145" s="617"/>
      <c r="M145" s="617"/>
      <c r="O145" s="618"/>
      <c r="P145" s="618"/>
    </row>
    <row r="146" spans="1:16" s="266" customFormat="1" ht="15.75" customHeight="1" x14ac:dyDescent="0.2">
      <c r="A146" s="616"/>
      <c r="B146" s="622" t="s">
        <v>47</v>
      </c>
      <c r="C146" s="623">
        <f>ROUND(SUM(C144:C145),2)</f>
        <v>1</v>
      </c>
      <c r="D146" s="624" t="s">
        <v>834</v>
      </c>
      <c r="E146" s="617"/>
      <c r="F146" s="617"/>
      <c r="G146" s="617"/>
      <c r="H146" s="617"/>
      <c r="I146" s="617"/>
      <c r="J146" s="617"/>
      <c r="K146" s="617"/>
      <c r="L146" s="617"/>
      <c r="M146" s="617"/>
      <c r="O146" s="618"/>
      <c r="P146" s="618"/>
    </row>
    <row r="147" spans="1:16" s="146" customFormat="1" ht="12.75" customHeight="1" x14ac:dyDescent="0.2">
      <c r="A147" s="229"/>
      <c r="B147" s="537"/>
      <c r="C147" s="537"/>
      <c r="D147" s="537"/>
      <c r="E147" s="537"/>
      <c r="F147" s="537"/>
      <c r="G147" s="537"/>
      <c r="H147" s="537"/>
      <c r="I147" s="537"/>
      <c r="J147" s="537"/>
      <c r="K147" s="537"/>
      <c r="L147" s="537"/>
      <c r="M147" s="537"/>
      <c r="N147" s="150"/>
      <c r="O147" s="150"/>
      <c r="P147" s="150"/>
    </row>
    <row r="148" spans="1:16" s="146" customFormat="1" ht="12.75" customHeight="1" x14ac:dyDescent="0.2">
      <c r="A148" s="229" t="str">
        <f>ORÇ!A415</f>
        <v>14.12</v>
      </c>
      <c r="B148" s="1862" t="str">
        <f>ORÇ!D415</f>
        <v>BANCO RETRÁTIL (P/ BANHEIRO PCD)</v>
      </c>
      <c r="C148" s="1862"/>
      <c r="D148" s="1862"/>
      <c r="E148" s="1862"/>
      <c r="F148" s="1862"/>
      <c r="G148" s="1862"/>
      <c r="H148" s="1862"/>
      <c r="I148" s="1862"/>
      <c r="J148" s="1862"/>
      <c r="K148" s="1862"/>
      <c r="L148" s="1862"/>
      <c r="M148" s="1862"/>
      <c r="N148" s="150"/>
      <c r="O148" s="150"/>
      <c r="P148" s="150"/>
    </row>
    <row r="149" spans="1:16" s="146" customFormat="1" ht="12.75" customHeight="1" x14ac:dyDescent="0.2">
      <c r="A149" s="229"/>
      <c r="B149" s="537"/>
      <c r="C149" s="537"/>
      <c r="D149" s="537"/>
      <c r="E149" s="537"/>
      <c r="F149" s="537"/>
      <c r="G149" s="537"/>
      <c r="H149" s="537"/>
      <c r="I149" s="537"/>
      <c r="J149" s="537"/>
      <c r="K149" s="537"/>
      <c r="L149" s="537"/>
      <c r="M149" s="537"/>
      <c r="N149" s="150"/>
      <c r="O149" s="150"/>
      <c r="P149" s="150"/>
    </row>
    <row r="150" spans="1:16" s="266" customFormat="1" ht="15.75" customHeight="1" x14ac:dyDescent="0.2">
      <c r="A150" s="616"/>
      <c r="B150" s="1880" t="s">
        <v>835</v>
      </c>
      <c r="C150" s="1880"/>
      <c r="D150" s="1880"/>
      <c r="E150" s="617"/>
      <c r="F150" s="617"/>
      <c r="G150" s="617"/>
      <c r="H150" s="617"/>
      <c r="I150" s="617"/>
      <c r="J150" s="617"/>
      <c r="K150" s="617"/>
      <c r="L150" s="617"/>
      <c r="M150" s="617"/>
      <c r="O150" s="618"/>
      <c r="P150" s="618"/>
    </row>
    <row r="151" spans="1:16" s="266" customFormat="1" ht="15.75" customHeight="1" x14ac:dyDescent="0.2">
      <c r="A151" s="616"/>
      <c r="B151" s="622" t="s">
        <v>47</v>
      </c>
      <c r="C151" s="623">
        <f>C146</f>
        <v>1</v>
      </c>
      <c r="D151" s="624" t="s">
        <v>834</v>
      </c>
      <c r="E151" s="617"/>
      <c r="F151" s="617"/>
      <c r="G151" s="617"/>
      <c r="H151" s="617"/>
      <c r="I151" s="617"/>
      <c r="J151" s="617"/>
      <c r="K151" s="617"/>
      <c r="L151" s="617"/>
      <c r="M151" s="617"/>
      <c r="O151" s="618"/>
      <c r="P151" s="618"/>
    </row>
    <row r="152" spans="1:16" s="146" customFormat="1" ht="12.75" customHeight="1" x14ac:dyDescent="0.2">
      <c r="A152" s="229"/>
      <c r="B152" s="537"/>
      <c r="C152" s="537"/>
      <c r="D152" s="537"/>
      <c r="E152" s="537"/>
      <c r="F152" s="537"/>
      <c r="G152" s="537"/>
      <c r="H152" s="537"/>
      <c r="I152" s="537"/>
      <c r="J152" s="537"/>
      <c r="K152" s="537"/>
      <c r="L152" s="537"/>
      <c r="M152" s="537"/>
      <c r="N152" s="150"/>
      <c r="O152" s="150"/>
      <c r="P152" s="150"/>
    </row>
    <row r="153" spans="1:16" s="146" customFormat="1" ht="20.25" customHeight="1" x14ac:dyDescent="0.2">
      <c r="A153" s="229" t="str">
        <f>ORÇ!A416</f>
        <v>14.13</v>
      </c>
      <c r="B153" s="1869" t="str">
        <f>ORÇ!D416</f>
        <v>SABONETEIRA PARA SABÃO LÍQUIDO (VIDRO+INOX) -FIXA</v>
      </c>
      <c r="C153" s="1869"/>
      <c r="D153" s="1869"/>
      <c r="E153" s="1869"/>
      <c r="F153" s="1869"/>
      <c r="G153" s="1869"/>
      <c r="H153" s="1869"/>
      <c r="I153" s="1869"/>
      <c r="J153" s="1869"/>
      <c r="K153" s="1869"/>
      <c r="L153" s="1869"/>
      <c r="M153" s="1869"/>
      <c r="N153" s="150"/>
      <c r="O153" s="150"/>
      <c r="P153" s="150"/>
    </row>
    <row r="154" spans="1:16" s="146" customFormat="1" x14ac:dyDescent="0.2">
      <c r="A154" s="229"/>
      <c r="B154" s="342"/>
      <c r="C154" s="342"/>
      <c r="D154" s="342"/>
      <c r="E154" s="342"/>
      <c r="F154" s="342"/>
      <c r="G154" s="342"/>
      <c r="H154" s="342"/>
      <c r="I154" s="342"/>
      <c r="J154" s="342"/>
      <c r="K154" s="342"/>
      <c r="L154" s="342"/>
      <c r="M154" s="342"/>
      <c r="N154" s="150"/>
      <c r="O154" s="150"/>
      <c r="P154" s="150"/>
    </row>
    <row r="155" spans="1:16" s="266" customFormat="1" ht="15.75" customHeight="1" x14ac:dyDescent="0.2">
      <c r="A155" s="616"/>
      <c r="B155" s="627" t="s">
        <v>537</v>
      </c>
      <c r="C155" s="627" t="s">
        <v>469</v>
      </c>
      <c r="D155" s="617"/>
      <c r="E155" s="617"/>
      <c r="F155" s="617"/>
      <c r="G155" s="617"/>
      <c r="H155" s="617"/>
      <c r="I155" s="617"/>
      <c r="J155" s="617"/>
      <c r="K155" s="617"/>
      <c r="L155" s="617"/>
      <c r="M155" s="617"/>
      <c r="O155" s="618"/>
      <c r="P155" s="618"/>
    </row>
    <row r="156" spans="1:16" s="266" customFormat="1" ht="26.25" customHeight="1" x14ac:dyDescent="0.2">
      <c r="A156" s="616"/>
      <c r="B156" s="628" t="s">
        <v>591</v>
      </c>
      <c r="C156" s="631">
        <v>1</v>
      </c>
      <c r="D156" s="617"/>
      <c r="E156" s="617"/>
      <c r="F156" s="617"/>
      <c r="G156" s="617"/>
      <c r="H156" s="617"/>
      <c r="I156" s="617"/>
      <c r="J156" s="617"/>
      <c r="K156" s="617"/>
      <c r="L156" s="617"/>
      <c r="M156" s="617"/>
      <c r="O156" s="618"/>
      <c r="P156" s="618"/>
    </row>
    <row r="157" spans="1:16" s="266" customFormat="1" ht="26.25" customHeight="1" x14ac:dyDescent="0.2">
      <c r="A157" s="616"/>
      <c r="B157" s="628" t="s">
        <v>604</v>
      </c>
      <c r="C157" s="631">
        <v>1</v>
      </c>
      <c r="D157" s="617"/>
      <c r="E157" s="617"/>
      <c r="F157" s="617"/>
      <c r="G157" s="617"/>
      <c r="H157" s="617"/>
      <c r="I157" s="617"/>
      <c r="J157" s="617"/>
      <c r="K157" s="617"/>
      <c r="L157" s="617"/>
      <c r="M157" s="617"/>
      <c r="O157" s="618"/>
      <c r="P157" s="618"/>
    </row>
    <row r="158" spans="1:16" s="266" customFormat="1" ht="15.75" customHeight="1" x14ac:dyDescent="0.2">
      <c r="A158" s="616"/>
      <c r="B158" s="626" t="s">
        <v>600</v>
      </c>
      <c r="C158" s="632">
        <v>1</v>
      </c>
      <c r="D158" s="617"/>
      <c r="E158" s="617"/>
      <c r="F158" s="617"/>
      <c r="G158" s="617"/>
      <c r="H158" s="617"/>
      <c r="I158" s="617"/>
      <c r="J158" s="617"/>
      <c r="K158" s="617"/>
      <c r="L158" s="617"/>
      <c r="M158" s="617"/>
      <c r="O158" s="618"/>
      <c r="P158" s="618"/>
    </row>
    <row r="159" spans="1:16" s="266" customFormat="1" ht="15.75" customHeight="1" x14ac:dyDescent="0.2">
      <c r="A159" s="616"/>
      <c r="B159" s="626" t="s">
        <v>601</v>
      </c>
      <c r="C159" s="632">
        <v>1</v>
      </c>
      <c r="D159" s="617"/>
      <c r="E159" s="617"/>
      <c r="F159" s="617"/>
      <c r="G159" s="617"/>
      <c r="H159" s="617"/>
      <c r="I159" s="617"/>
      <c r="J159" s="617"/>
      <c r="K159" s="617"/>
      <c r="L159" s="617"/>
      <c r="M159" s="617"/>
      <c r="O159" s="618"/>
      <c r="P159" s="618"/>
    </row>
    <row r="160" spans="1:16" s="266" customFormat="1" ht="15.75" customHeight="1" x14ac:dyDescent="0.2">
      <c r="A160" s="616"/>
      <c r="B160" s="626" t="s">
        <v>602</v>
      </c>
      <c r="C160" s="632">
        <v>1</v>
      </c>
      <c r="D160" s="617"/>
      <c r="E160" s="617"/>
      <c r="F160" s="617"/>
      <c r="G160" s="617"/>
      <c r="H160" s="617"/>
      <c r="I160" s="617"/>
      <c r="J160" s="617"/>
      <c r="K160" s="617"/>
      <c r="L160" s="617"/>
      <c r="M160" s="617"/>
      <c r="O160" s="618"/>
      <c r="P160" s="618"/>
    </row>
    <row r="161" spans="1:16" s="629" customFormat="1" ht="29.25" customHeight="1" x14ac:dyDescent="0.2">
      <c r="A161" s="616"/>
      <c r="B161" s="628" t="s">
        <v>548</v>
      </c>
      <c r="C161" s="631">
        <v>1</v>
      </c>
      <c r="D161" s="619"/>
      <c r="E161" s="619"/>
      <c r="F161" s="619"/>
      <c r="G161" s="619"/>
      <c r="H161" s="619"/>
      <c r="I161" s="619"/>
      <c r="J161" s="619"/>
      <c r="K161" s="619"/>
      <c r="L161" s="619"/>
      <c r="M161" s="619"/>
      <c r="O161" s="630"/>
      <c r="P161" s="630"/>
    </row>
    <row r="162" spans="1:16" s="629" customFormat="1" ht="29.25" customHeight="1" x14ac:dyDescent="0.2">
      <c r="A162" s="616"/>
      <c r="B162" s="628" t="s">
        <v>547</v>
      </c>
      <c r="C162" s="631">
        <v>1</v>
      </c>
      <c r="D162" s="619"/>
      <c r="E162" s="619"/>
      <c r="F162" s="619"/>
      <c r="G162" s="619"/>
      <c r="H162" s="619"/>
      <c r="I162" s="619"/>
      <c r="J162" s="619"/>
      <c r="K162" s="619"/>
      <c r="L162" s="619"/>
      <c r="M162" s="619"/>
      <c r="O162" s="630"/>
      <c r="P162" s="630"/>
    </row>
    <row r="163" spans="1:16" s="266" customFormat="1" ht="15.75" customHeight="1" x14ac:dyDescent="0.2">
      <c r="A163" s="616"/>
      <c r="B163" s="628" t="s">
        <v>530</v>
      </c>
      <c r="C163" s="631">
        <v>2</v>
      </c>
      <c r="D163" s="634"/>
      <c r="E163" s="634"/>
      <c r="F163" s="634"/>
      <c r="G163" s="634"/>
      <c r="H163" s="617"/>
      <c r="I163" s="617"/>
      <c r="J163" s="617"/>
      <c r="K163" s="617"/>
      <c r="L163" s="617"/>
      <c r="M163" s="617"/>
      <c r="O163" s="618"/>
      <c r="P163" s="618"/>
    </row>
    <row r="164" spans="1:16" s="266" customFormat="1" ht="15.75" customHeight="1" x14ac:dyDescent="0.2">
      <c r="A164" s="616"/>
      <c r="B164" s="628" t="s">
        <v>481</v>
      </c>
      <c r="C164" s="631">
        <v>1</v>
      </c>
      <c r="D164" s="634"/>
      <c r="E164" s="634"/>
      <c r="F164" s="634"/>
      <c r="G164" s="634"/>
      <c r="H164" s="617"/>
      <c r="I164" s="617"/>
      <c r="J164" s="617"/>
      <c r="K164" s="617"/>
      <c r="L164" s="617"/>
      <c r="M164" s="617"/>
      <c r="O164" s="618"/>
      <c r="P164" s="618"/>
    </row>
    <row r="165" spans="1:16" s="266" customFormat="1" ht="15.75" customHeight="1" x14ac:dyDescent="0.2">
      <c r="A165" s="616"/>
      <c r="B165" s="628" t="s">
        <v>509</v>
      </c>
      <c r="C165" s="631">
        <v>1</v>
      </c>
      <c r="D165" s="634"/>
      <c r="E165" s="634"/>
      <c r="F165" s="634"/>
      <c r="G165" s="634"/>
      <c r="H165" s="617"/>
      <c r="I165" s="617"/>
      <c r="J165" s="617"/>
      <c r="K165" s="617"/>
      <c r="L165" s="617"/>
      <c r="M165" s="617"/>
      <c r="O165" s="618"/>
      <c r="P165" s="618"/>
    </row>
    <row r="166" spans="1:16" s="266" customFormat="1" ht="15.75" customHeight="1" x14ac:dyDescent="0.2">
      <c r="A166" s="616"/>
      <c r="B166" s="628" t="s">
        <v>508</v>
      </c>
      <c r="C166" s="631">
        <v>1</v>
      </c>
      <c r="D166" s="634"/>
      <c r="E166" s="634"/>
      <c r="F166" s="634"/>
      <c r="G166" s="634"/>
      <c r="H166" s="617"/>
      <c r="I166" s="617"/>
      <c r="J166" s="617"/>
      <c r="K166" s="617"/>
      <c r="L166" s="617"/>
      <c r="M166" s="617"/>
      <c r="O166" s="618"/>
      <c r="P166" s="618"/>
    </row>
    <row r="167" spans="1:16" s="266" customFormat="1" ht="15.75" customHeight="1" x14ac:dyDescent="0.2">
      <c r="A167" s="616"/>
      <c r="B167" s="628" t="s">
        <v>507</v>
      </c>
      <c r="C167" s="631">
        <v>1</v>
      </c>
      <c r="D167" s="634"/>
      <c r="E167" s="634"/>
      <c r="F167" s="634"/>
      <c r="G167" s="634"/>
      <c r="H167" s="617"/>
      <c r="I167" s="617"/>
      <c r="J167" s="617"/>
      <c r="K167" s="617"/>
      <c r="L167" s="617"/>
      <c r="M167" s="617"/>
      <c r="O167" s="618"/>
      <c r="P167" s="618"/>
    </row>
    <row r="168" spans="1:16" s="266" customFormat="1" ht="15.75" customHeight="1" x14ac:dyDescent="0.2">
      <c r="A168" s="616"/>
      <c r="B168" s="628" t="s">
        <v>461</v>
      </c>
      <c r="C168" s="631">
        <v>1</v>
      </c>
      <c r="D168" s="634"/>
      <c r="E168" s="634"/>
      <c r="F168" s="634"/>
      <c r="G168" s="634"/>
      <c r="H168" s="617"/>
      <c r="I168" s="617"/>
      <c r="J168" s="617"/>
      <c r="K168" s="617"/>
      <c r="L168" s="617"/>
      <c r="M168" s="617"/>
      <c r="O168" s="618"/>
      <c r="P168" s="618"/>
    </row>
    <row r="169" spans="1:16" s="266" customFormat="1" ht="15.75" customHeight="1" x14ac:dyDescent="0.2">
      <c r="A169" s="616"/>
      <c r="B169" s="617"/>
      <c r="C169" s="617"/>
      <c r="D169" s="617"/>
      <c r="E169" s="617"/>
      <c r="F169" s="617"/>
      <c r="G169" s="617"/>
      <c r="H169" s="617"/>
      <c r="I169" s="617"/>
      <c r="J169" s="617"/>
      <c r="K169" s="617"/>
      <c r="L169" s="617"/>
      <c r="M169" s="617"/>
      <c r="O169" s="618"/>
      <c r="P169" s="618"/>
    </row>
    <row r="170" spans="1:16" s="266" customFormat="1" ht="15.75" customHeight="1" x14ac:dyDescent="0.2">
      <c r="A170" s="616"/>
      <c r="B170" s="622" t="s">
        <v>47</v>
      </c>
      <c r="C170" s="623">
        <f>ROUND(SUM(C156:C169),2)</f>
        <v>14</v>
      </c>
      <c r="D170" s="624" t="s">
        <v>668</v>
      </c>
      <c r="E170" s="617"/>
      <c r="F170" s="617"/>
      <c r="G170" s="617"/>
      <c r="H170" s="617"/>
      <c r="I170" s="617"/>
      <c r="J170" s="617"/>
      <c r="K170" s="617"/>
      <c r="L170" s="617"/>
      <c r="M170" s="617"/>
      <c r="O170" s="618"/>
      <c r="P170" s="618"/>
    </row>
    <row r="171" spans="1:16" s="146" customFormat="1" x14ac:dyDescent="0.2">
      <c r="A171" s="229"/>
      <c r="B171" s="342"/>
      <c r="C171" s="342"/>
      <c r="D171" s="342"/>
      <c r="E171" s="342"/>
      <c r="F171" s="342"/>
      <c r="G171" s="342"/>
      <c r="H171" s="342"/>
      <c r="I171" s="342"/>
      <c r="J171" s="342"/>
      <c r="K171" s="342"/>
      <c r="L171" s="342"/>
      <c r="M171" s="342"/>
      <c r="N171" s="150"/>
      <c r="O171" s="150"/>
      <c r="P171" s="150"/>
    </row>
    <row r="172" spans="1:16" s="146" customFormat="1" ht="12.75" customHeight="1" x14ac:dyDescent="0.2">
      <c r="A172" s="229" t="str">
        <f>ORÇ!A417</f>
        <v>14.14</v>
      </c>
      <c r="B172" s="1862" t="str">
        <f>ORÇ!D417</f>
        <v>TANQUE ACO INOXIDAVEL (ACO 304) COM ESFREGADOR, SIFÃO E VALVULA, DE *50 X 40 X 22* CM. FORNECIMENTO E INSTALAÇÃO.</v>
      </c>
      <c r="C172" s="1862"/>
      <c r="D172" s="1862"/>
      <c r="E172" s="1862"/>
      <c r="F172" s="1862"/>
      <c r="G172" s="1862"/>
      <c r="H172" s="1862"/>
      <c r="I172" s="1862"/>
      <c r="J172" s="1862"/>
      <c r="K172" s="1862"/>
      <c r="L172" s="1862"/>
      <c r="M172" s="1862"/>
      <c r="N172" s="150"/>
      <c r="O172" s="150"/>
      <c r="P172" s="150"/>
    </row>
    <row r="173" spans="1:16" s="146" customFormat="1" ht="12.75" customHeight="1" x14ac:dyDescent="0.2">
      <c r="A173" s="229"/>
      <c r="B173" s="342"/>
      <c r="C173" s="342"/>
      <c r="D173" s="342"/>
      <c r="E173" s="342"/>
      <c r="F173" s="342"/>
      <c r="G173" s="342"/>
      <c r="H173" s="342"/>
      <c r="I173" s="342"/>
      <c r="J173" s="342"/>
      <c r="K173" s="342"/>
      <c r="L173" s="342"/>
      <c r="M173" s="342"/>
      <c r="N173" s="150"/>
      <c r="O173" s="150"/>
      <c r="P173" s="150"/>
    </row>
    <row r="174" spans="1:16" s="266" customFormat="1" ht="15.75" customHeight="1" x14ac:dyDescent="0.2">
      <c r="A174" s="616"/>
      <c r="B174" s="627" t="s">
        <v>537</v>
      </c>
      <c r="C174" s="627" t="s">
        <v>469</v>
      </c>
      <c r="D174" s="617"/>
      <c r="E174" s="617"/>
      <c r="F174" s="617"/>
      <c r="G174" s="617"/>
      <c r="H174" s="617"/>
      <c r="I174" s="617"/>
      <c r="J174" s="617"/>
      <c r="K174" s="617"/>
      <c r="L174" s="617"/>
      <c r="M174" s="617"/>
      <c r="O174" s="618"/>
      <c r="P174" s="618"/>
    </row>
    <row r="175" spans="1:16" s="266" customFormat="1" ht="15.75" customHeight="1" x14ac:dyDescent="0.2">
      <c r="A175" s="616"/>
      <c r="B175" s="626" t="s">
        <v>463</v>
      </c>
      <c r="C175" s="632">
        <v>1</v>
      </c>
      <c r="D175" s="617"/>
      <c r="E175" s="617"/>
      <c r="F175" s="617"/>
      <c r="G175" s="617"/>
      <c r="H175" s="617"/>
      <c r="I175" s="617"/>
      <c r="J175" s="617"/>
      <c r="K175" s="617"/>
      <c r="L175" s="617"/>
      <c r="M175" s="617"/>
      <c r="O175" s="618"/>
      <c r="P175" s="618"/>
    </row>
    <row r="176" spans="1:16" s="266" customFormat="1" ht="15.75" customHeight="1" x14ac:dyDescent="0.2">
      <c r="A176" s="616"/>
      <c r="B176" s="617"/>
      <c r="C176" s="617"/>
      <c r="D176" s="617"/>
      <c r="E176" s="617"/>
      <c r="F176" s="617"/>
      <c r="G176" s="617"/>
      <c r="H176" s="617"/>
      <c r="I176" s="617"/>
      <c r="J176" s="617"/>
      <c r="K176" s="617"/>
      <c r="L176" s="617"/>
      <c r="M176" s="617"/>
      <c r="O176" s="618"/>
      <c r="P176" s="618"/>
    </row>
    <row r="177" spans="1:16" s="266" customFormat="1" ht="15.75" customHeight="1" x14ac:dyDescent="0.2">
      <c r="A177" s="616"/>
      <c r="B177" s="622" t="s">
        <v>47</v>
      </c>
      <c r="C177" s="623">
        <f>ROUND(SUM(C175:C176),2)</f>
        <v>1</v>
      </c>
      <c r="D177" s="624" t="s">
        <v>834</v>
      </c>
      <c r="E177" s="617"/>
      <c r="F177" s="617"/>
      <c r="G177" s="617"/>
      <c r="H177" s="617"/>
      <c r="I177" s="617"/>
      <c r="J177" s="617"/>
      <c r="K177" s="617"/>
      <c r="L177" s="617"/>
      <c r="M177" s="617"/>
      <c r="O177" s="618"/>
      <c r="P177" s="618"/>
    </row>
    <row r="178" spans="1:16" s="146" customFormat="1" ht="12.75" customHeight="1" x14ac:dyDescent="0.2">
      <c r="A178" s="229"/>
      <c r="B178" s="342"/>
      <c r="C178" s="342"/>
      <c r="D178" s="342"/>
      <c r="E178" s="342"/>
      <c r="F178" s="342"/>
      <c r="G178" s="342"/>
      <c r="H178" s="342"/>
      <c r="I178" s="342"/>
      <c r="J178" s="342"/>
      <c r="K178" s="342"/>
      <c r="L178" s="342"/>
      <c r="M178" s="342"/>
      <c r="N178" s="150"/>
      <c r="O178" s="150"/>
      <c r="P178" s="150"/>
    </row>
    <row r="179" spans="1:16" s="146" customFormat="1" ht="22.5" customHeight="1" x14ac:dyDescent="0.2">
      <c r="A179" s="229" t="str">
        <f>ORÇ!A418</f>
        <v>14.15</v>
      </c>
      <c r="B179" s="1869" t="str">
        <f>ORÇ!D418</f>
        <v>TORNEIRA CROMADA LONGA, DE PAREDE, 1/2 OU 3/4, PARA PIA DE COZINHA, PADRÃO POPULAR - FORNECIMENTO E INSTALAÇÃO. AF_01/2020</v>
      </c>
      <c r="C179" s="1869"/>
      <c r="D179" s="1869"/>
      <c r="E179" s="1869"/>
      <c r="F179" s="1869"/>
      <c r="G179" s="1869"/>
      <c r="H179" s="1869"/>
      <c r="I179" s="1869"/>
      <c r="J179" s="1869"/>
      <c r="K179" s="1869"/>
      <c r="L179" s="1869"/>
      <c r="M179" s="1869"/>
      <c r="N179" s="150"/>
      <c r="O179" s="150"/>
      <c r="P179" s="150"/>
    </row>
    <row r="180" spans="1:16" s="146" customFormat="1" x14ac:dyDescent="0.2">
      <c r="A180" s="229"/>
      <c r="B180" s="537"/>
      <c r="C180" s="537"/>
      <c r="D180" s="537"/>
      <c r="E180" s="537"/>
      <c r="F180" s="537"/>
      <c r="G180" s="537"/>
      <c r="H180" s="537"/>
      <c r="I180" s="537"/>
      <c r="J180" s="537"/>
      <c r="K180" s="537"/>
      <c r="L180" s="537"/>
      <c r="M180" s="537"/>
      <c r="N180" s="150"/>
      <c r="O180" s="150"/>
      <c r="P180" s="150"/>
    </row>
    <row r="181" spans="1:16" s="266" customFormat="1" ht="15.75" customHeight="1" x14ac:dyDescent="0.2">
      <c r="A181" s="616"/>
      <c r="B181" s="627" t="s">
        <v>537</v>
      </c>
      <c r="C181" s="627" t="s">
        <v>469</v>
      </c>
      <c r="D181" s="617"/>
      <c r="E181" s="617"/>
      <c r="F181" s="617"/>
      <c r="G181" s="617"/>
      <c r="H181" s="617"/>
      <c r="I181" s="617"/>
      <c r="J181" s="617"/>
      <c r="K181" s="617"/>
      <c r="L181" s="617"/>
      <c r="M181" s="617"/>
      <c r="O181" s="618"/>
      <c r="P181" s="618"/>
    </row>
    <row r="182" spans="1:16" s="266" customFormat="1" ht="15.75" customHeight="1" x14ac:dyDescent="0.2">
      <c r="A182" s="616"/>
      <c r="B182" s="626" t="s">
        <v>463</v>
      </c>
      <c r="C182" s="632">
        <v>1</v>
      </c>
      <c r="D182" s="617"/>
      <c r="E182" s="617"/>
      <c r="F182" s="617"/>
      <c r="G182" s="617"/>
      <c r="H182" s="617"/>
      <c r="I182" s="617"/>
      <c r="J182" s="617"/>
      <c r="K182" s="617"/>
      <c r="L182" s="617"/>
      <c r="M182" s="617"/>
      <c r="O182" s="618"/>
      <c r="P182" s="618"/>
    </row>
    <row r="183" spans="1:16" s="266" customFormat="1" ht="15.75" customHeight="1" x14ac:dyDescent="0.2">
      <c r="A183" s="616"/>
      <c r="B183" s="617"/>
      <c r="C183" s="617"/>
      <c r="D183" s="617"/>
      <c r="E183" s="617"/>
      <c r="F183" s="617"/>
      <c r="G183" s="617"/>
      <c r="H183" s="617"/>
      <c r="I183" s="617"/>
      <c r="J183" s="617"/>
      <c r="K183" s="617"/>
      <c r="L183" s="617"/>
      <c r="M183" s="617"/>
      <c r="O183" s="618"/>
      <c r="P183" s="618"/>
    </row>
    <row r="184" spans="1:16" s="266" customFormat="1" ht="15.75" customHeight="1" x14ac:dyDescent="0.2">
      <c r="A184" s="616"/>
      <c r="B184" s="622" t="s">
        <v>47</v>
      </c>
      <c r="C184" s="623">
        <f>ROUND(SUM(C182:C183),2)</f>
        <v>1</v>
      </c>
      <c r="D184" s="624" t="s">
        <v>834</v>
      </c>
      <c r="E184" s="617"/>
      <c r="F184" s="617"/>
      <c r="G184" s="617"/>
      <c r="H184" s="617"/>
      <c r="I184" s="617"/>
      <c r="J184" s="617"/>
      <c r="K184" s="617"/>
      <c r="L184" s="617"/>
      <c r="M184" s="617"/>
      <c r="O184" s="618"/>
      <c r="P184" s="618"/>
    </row>
    <row r="185" spans="1:16" s="146" customFormat="1" x14ac:dyDescent="0.2">
      <c r="A185" s="229"/>
      <c r="B185" s="537"/>
      <c r="C185" s="537"/>
      <c r="D185" s="537"/>
      <c r="E185" s="537"/>
      <c r="F185" s="537"/>
      <c r="G185" s="537"/>
      <c r="H185" s="537"/>
      <c r="I185" s="537"/>
      <c r="J185" s="537"/>
      <c r="K185" s="537"/>
      <c r="L185" s="537"/>
      <c r="M185" s="537"/>
      <c r="N185" s="150"/>
      <c r="O185" s="150"/>
      <c r="P185" s="150"/>
    </row>
    <row r="186" spans="1:16" s="266" customFormat="1" ht="18.75" customHeight="1" x14ac:dyDescent="0.2">
      <c r="A186" s="229" t="str">
        <f>ORÇ!A419</f>
        <v>14.16</v>
      </c>
      <c r="B186" s="1869" t="str">
        <f>ORÇ!D419</f>
        <v>ESQUADRIA DE CORRER EM VIDRO TEMPERADO DE 8MM</v>
      </c>
      <c r="C186" s="1869"/>
      <c r="D186" s="1869"/>
      <c r="E186" s="1869"/>
      <c r="F186" s="1869"/>
      <c r="G186" s="1869"/>
      <c r="H186" s="1869"/>
      <c r="I186" s="1869"/>
      <c r="J186" s="1869"/>
      <c r="K186" s="1869"/>
      <c r="L186" s="1869"/>
      <c r="M186" s="1869"/>
      <c r="N186" s="618"/>
      <c r="O186" s="618"/>
      <c r="P186" s="618"/>
    </row>
    <row r="187" spans="1:16" s="1111" customFormat="1" x14ac:dyDescent="0.2">
      <c r="A187" s="1109"/>
      <c r="B187" s="1112"/>
      <c r="C187" s="1112"/>
      <c r="D187" s="1112"/>
      <c r="E187" s="1112"/>
      <c r="F187" s="1112"/>
      <c r="G187" s="1112"/>
      <c r="H187" s="1112"/>
      <c r="I187" s="1112"/>
      <c r="J187" s="1112"/>
      <c r="K187" s="1112"/>
      <c r="L187" s="1112"/>
      <c r="M187" s="1112"/>
      <c r="N187" s="1110"/>
      <c r="O187" s="1110"/>
      <c r="P187" s="1110"/>
    </row>
    <row r="188" spans="1:16" s="148" customFormat="1" ht="13.5" customHeight="1" x14ac:dyDescent="0.2">
      <c r="A188" s="229"/>
      <c r="B188" s="627" t="s">
        <v>537</v>
      </c>
      <c r="C188" s="627" t="s">
        <v>405</v>
      </c>
      <c r="D188" s="627"/>
      <c r="E188" s="627" t="s">
        <v>311</v>
      </c>
      <c r="F188" s="627"/>
      <c r="G188" s="627" t="s">
        <v>213</v>
      </c>
      <c r="H188" s="833"/>
      <c r="I188" s="833"/>
      <c r="J188" s="833"/>
      <c r="K188" s="833"/>
      <c r="L188" s="833"/>
      <c r="M188" s="833"/>
      <c r="O188" s="1220"/>
      <c r="P188" s="1220"/>
    </row>
    <row r="189" spans="1:16" s="266" customFormat="1" ht="15.75" customHeight="1" x14ac:dyDescent="0.2">
      <c r="A189" s="616"/>
      <c r="B189" s="626" t="s">
        <v>546</v>
      </c>
      <c r="C189" s="631">
        <v>1.43</v>
      </c>
      <c r="D189" s="631" t="s">
        <v>45</v>
      </c>
      <c r="E189" s="631">
        <v>1.85</v>
      </c>
      <c r="F189" s="631" t="s">
        <v>46</v>
      </c>
      <c r="G189" s="631">
        <f>ROUND(C189*E189,2)</f>
        <v>2.65</v>
      </c>
      <c r="H189" s="1091"/>
      <c r="I189" s="1091"/>
      <c r="J189" s="1091"/>
      <c r="K189" s="1091"/>
      <c r="L189" s="1091"/>
      <c r="M189" s="1091"/>
      <c r="O189" s="618"/>
      <c r="P189" s="618"/>
    </row>
    <row r="190" spans="1:16" s="266" customFormat="1" ht="15.75" customHeight="1" x14ac:dyDescent="0.2">
      <c r="A190" s="616"/>
      <c r="B190" s="626" t="s">
        <v>524</v>
      </c>
      <c r="C190" s="631">
        <v>1.43</v>
      </c>
      <c r="D190" s="631" t="s">
        <v>45</v>
      </c>
      <c r="E190" s="631">
        <v>1.85</v>
      </c>
      <c r="F190" s="631" t="s">
        <v>46</v>
      </c>
      <c r="G190" s="631">
        <f>ROUND(C190*E190,2)</f>
        <v>2.65</v>
      </c>
      <c r="H190" s="1091"/>
      <c r="I190" s="1091"/>
      <c r="J190" s="1091"/>
      <c r="K190" s="1091"/>
      <c r="L190" s="1091"/>
      <c r="M190" s="1091"/>
      <c r="O190" s="618"/>
      <c r="P190" s="618"/>
    </row>
    <row r="191" spans="1:16" s="266" customFormat="1" ht="15.75" customHeight="1" x14ac:dyDescent="0.2">
      <c r="A191" s="616"/>
      <c r="B191" s="1091"/>
      <c r="C191" s="1091"/>
      <c r="D191" s="1091"/>
      <c r="E191" s="1091"/>
      <c r="F191" s="1091"/>
      <c r="G191" s="1091"/>
      <c r="H191" s="1091"/>
      <c r="I191" s="1091"/>
      <c r="J191" s="1091"/>
      <c r="K191" s="1091"/>
      <c r="L191" s="1091"/>
      <c r="M191" s="1091"/>
      <c r="O191" s="618"/>
      <c r="P191" s="618"/>
    </row>
    <row r="192" spans="1:16" s="266" customFormat="1" ht="15.75" customHeight="1" x14ac:dyDescent="0.2">
      <c r="A192" s="616"/>
      <c r="B192" s="622" t="s">
        <v>47</v>
      </c>
      <c r="C192" s="623">
        <f>ROUND(SUM(G189:G191),2)</f>
        <v>5.3</v>
      </c>
      <c r="D192" s="624" t="s">
        <v>4</v>
      </c>
      <c r="E192" s="1091"/>
      <c r="F192" s="1091"/>
      <c r="G192" s="1091"/>
      <c r="H192" s="1091"/>
      <c r="I192" s="1091"/>
      <c r="J192" s="1091"/>
      <c r="K192" s="1091"/>
      <c r="L192" s="1091"/>
      <c r="M192" s="1091"/>
      <c r="O192" s="618"/>
      <c r="P192" s="618"/>
    </row>
    <row r="193" spans="1:16" s="266" customFormat="1" x14ac:dyDescent="0.2">
      <c r="A193" s="229"/>
      <c r="B193" s="1089"/>
      <c r="C193" s="1089"/>
      <c r="D193" s="1089"/>
      <c r="E193" s="1089"/>
      <c r="F193" s="1089"/>
      <c r="G193" s="1089"/>
      <c r="H193" s="1089"/>
      <c r="I193" s="1089"/>
      <c r="J193" s="1089"/>
      <c r="K193" s="1089"/>
      <c r="L193" s="1089"/>
      <c r="M193" s="1089"/>
      <c r="N193" s="618"/>
      <c r="O193" s="618"/>
      <c r="P193" s="618"/>
    </row>
    <row r="194" spans="1:16" s="146" customFormat="1" ht="27.75" customHeight="1" x14ac:dyDescent="0.2">
      <c r="A194" s="229" t="str">
        <f>ORÇ!A420</f>
        <v>14.17</v>
      </c>
      <c r="B194" s="1869" t="str">
        <f>ORÇ!D420</f>
        <v>BANCADA EM GRANITO DE 265X60 CM, COM UMA CUBA DE INOX DE 56 X 33 X 12 CM, COM VALVULA, TORNEIRA, ENGATE FLEXÍVEL, SIFÃO, RODABANCA E SAIA. FORNECIMENTO E INSTALAÇÃO NO FRALDÁRIO.</v>
      </c>
      <c r="C194" s="1869"/>
      <c r="D194" s="1869"/>
      <c r="E194" s="1869"/>
      <c r="F194" s="1869"/>
      <c r="G194" s="1869"/>
      <c r="H194" s="1869"/>
      <c r="I194" s="1869"/>
      <c r="J194" s="1869"/>
      <c r="K194" s="1869"/>
      <c r="L194" s="1869"/>
      <c r="M194" s="1869"/>
      <c r="N194" s="150"/>
      <c r="O194" s="150"/>
      <c r="P194" s="150"/>
    </row>
    <row r="195" spans="1:16" s="146" customFormat="1" x14ac:dyDescent="0.2">
      <c r="A195" s="229"/>
      <c r="B195" s="537"/>
      <c r="C195" s="537"/>
      <c r="D195" s="537"/>
      <c r="E195" s="537"/>
      <c r="F195" s="537"/>
      <c r="G195" s="537"/>
      <c r="H195" s="537"/>
      <c r="I195" s="537"/>
      <c r="J195" s="537"/>
      <c r="K195" s="537"/>
      <c r="L195" s="537"/>
      <c r="M195" s="537"/>
      <c r="N195" s="150"/>
      <c r="O195" s="150"/>
      <c r="P195" s="150"/>
    </row>
    <row r="196" spans="1:16" s="266" customFormat="1" ht="15.75" customHeight="1" x14ac:dyDescent="0.2">
      <c r="A196" s="616"/>
      <c r="B196" s="627" t="s">
        <v>537</v>
      </c>
      <c r="C196" s="627" t="s">
        <v>469</v>
      </c>
      <c r="D196" s="617"/>
      <c r="E196" s="617"/>
      <c r="F196" s="617"/>
      <c r="G196" s="617"/>
      <c r="H196" s="617"/>
      <c r="I196" s="617"/>
      <c r="J196" s="617"/>
      <c r="K196" s="617"/>
      <c r="L196" s="617"/>
      <c r="M196" s="617"/>
      <c r="O196" s="618"/>
      <c r="P196" s="618"/>
    </row>
    <row r="197" spans="1:16" s="266" customFormat="1" ht="15.75" customHeight="1" x14ac:dyDescent="0.2">
      <c r="A197" s="616"/>
      <c r="B197" s="626" t="s">
        <v>481</v>
      </c>
      <c r="C197" s="632">
        <v>1</v>
      </c>
      <c r="D197" s="617"/>
      <c r="E197" s="617"/>
      <c r="F197" s="617"/>
      <c r="G197" s="617"/>
      <c r="H197" s="617"/>
      <c r="I197" s="617"/>
      <c r="J197" s="617"/>
      <c r="K197" s="617"/>
      <c r="L197" s="617"/>
      <c r="M197" s="617"/>
      <c r="O197" s="618"/>
      <c r="P197" s="618"/>
    </row>
    <row r="198" spans="1:16" s="266" customFormat="1" ht="15.75" customHeight="1" x14ac:dyDescent="0.2">
      <c r="A198" s="616"/>
      <c r="B198" s="617"/>
      <c r="C198" s="617"/>
      <c r="D198" s="617"/>
      <c r="E198" s="617"/>
      <c r="F198" s="617"/>
      <c r="G198" s="617"/>
      <c r="H198" s="617"/>
      <c r="I198" s="617"/>
      <c r="J198" s="617"/>
      <c r="K198" s="617"/>
      <c r="L198" s="617"/>
      <c r="M198" s="617"/>
      <c r="O198" s="618"/>
      <c r="P198" s="618"/>
    </row>
    <row r="199" spans="1:16" s="266" customFormat="1" ht="15.75" customHeight="1" x14ac:dyDescent="0.2">
      <c r="A199" s="616"/>
      <c r="B199" s="622" t="s">
        <v>47</v>
      </c>
      <c r="C199" s="623">
        <f>ROUND(SUM(C197:C198),2)</f>
        <v>1</v>
      </c>
      <c r="D199" s="624" t="s">
        <v>834</v>
      </c>
      <c r="E199" s="617"/>
      <c r="F199" s="617"/>
      <c r="G199" s="617"/>
      <c r="H199" s="617"/>
      <c r="I199" s="617"/>
      <c r="J199" s="617"/>
      <c r="K199" s="617"/>
      <c r="L199" s="617"/>
      <c r="M199" s="617"/>
      <c r="O199" s="618"/>
      <c r="P199" s="618"/>
    </row>
    <row r="200" spans="1:16" s="146" customFormat="1" x14ac:dyDescent="0.2">
      <c r="A200" s="229"/>
      <c r="B200" s="537"/>
      <c r="C200" s="537"/>
      <c r="D200" s="537"/>
      <c r="E200" s="537"/>
      <c r="F200" s="537"/>
      <c r="G200" s="537"/>
      <c r="H200" s="537"/>
      <c r="I200" s="537"/>
      <c r="J200" s="537"/>
      <c r="K200" s="537"/>
      <c r="L200" s="537"/>
      <c r="M200" s="537"/>
      <c r="N200" s="150"/>
      <c r="O200" s="150"/>
      <c r="P200" s="150"/>
    </row>
    <row r="201" spans="1:16" s="146" customFormat="1" ht="27.75" customHeight="1" x14ac:dyDescent="0.2">
      <c r="A201" s="229" t="str">
        <f>ORÇ!A421</f>
        <v>14.18</v>
      </c>
      <c r="B201" s="1869" t="str">
        <f>ORÇ!D421</f>
        <v>BANCADA EM "L" DE GRANITO NAS DIMENSÕES DE  265X60 CM, COM UMA CUBA DE INOX DE 40 X 34 X 12 CM, COM VALVULA, TORNEIRA, ENGATE FLEXÍVEL, SIFÃO, RODABANCA, SAIA E SÓCULO. FORNECIMENTO E INSTALAÇÃO.</v>
      </c>
      <c r="C201" s="1869"/>
      <c r="D201" s="1869"/>
      <c r="E201" s="1869"/>
      <c r="F201" s="1869"/>
      <c r="G201" s="1869"/>
      <c r="H201" s="1869"/>
      <c r="I201" s="1869"/>
      <c r="J201" s="1869"/>
      <c r="K201" s="1869"/>
      <c r="L201" s="1869"/>
      <c r="M201" s="1869"/>
      <c r="N201" s="150"/>
      <c r="O201" s="150"/>
      <c r="P201" s="150"/>
    </row>
    <row r="202" spans="1:16" s="146" customFormat="1" x14ac:dyDescent="0.2">
      <c r="A202" s="229"/>
      <c r="B202" s="537"/>
      <c r="C202" s="537"/>
      <c r="D202" s="537"/>
      <c r="E202" s="537"/>
      <c r="F202" s="537"/>
      <c r="G202" s="537"/>
      <c r="H202" s="537"/>
      <c r="I202" s="537"/>
      <c r="J202" s="537"/>
      <c r="K202" s="537"/>
      <c r="L202" s="537"/>
      <c r="M202" s="537"/>
      <c r="N202" s="150"/>
      <c r="O202" s="150"/>
      <c r="P202" s="150"/>
    </row>
    <row r="203" spans="1:16" s="266" customFormat="1" ht="15.75" customHeight="1" x14ac:dyDescent="0.2">
      <c r="A203" s="616"/>
      <c r="B203" s="627" t="s">
        <v>537</v>
      </c>
      <c r="C203" s="627" t="s">
        <v>469</v>
      </c>
      <c r="D203" s="617"/>
      <c r="E203" s="617"/>
      <c r="F203" s="617"/>
      <c r="G203" s="617"/>
      <c r="H203" s="617"/>
      <c r="I203" s="617"/>
      <c r="J203" s="617"/>
      <c r="K203" s="617"/>
      <c r="L203" s="617"/>
      <c r="M203" s="617"/>
      <c r="O203" s="618"/>
      <c r="P203" s="618"/>
    </row>
    <row r="204" spans="1:16" s="266" customFormat="1" ht="15.75" customHeight="1" x14ac:dyDescent="0.2">
      <c r="A204" s="616"/>
      <c r="B204" s="626" t="s">
        <v>211</v>
      </c>
      <c r="C204" s="632">
        <v>1</v>
      </c>
      <c r="D204" s="617"/>
      <c r="E204" s="617"/>
      <c r="F204" s="617"/>
      <c r="G204" s="617"/>
      <c r="H204" s="617"/>
      <c r="I204" s="617"/>
      <c r="J204" s="617"/>
      <c r="K204" s="617"/>
      <c r="L204" s="617"/>
      <c r="M204" s="617"/>
      <c r="O204" s="618"/>
      <c r="P204" s="618"/>
    </row>
    <row r="205" spans="1:16" s="266" customFormat="1" ht="15.75" customHeight="1" x14ac:dyDescent="0.2">
      <c r="A205" s="616"/>
      <c r="B205" s="617"/>
      <c r="C205" s="617"/>
      <c r="D205" s="617"/>
      <c r="E205" s="617"/>
      <c r="F205" s="617"/>
      <c r="G205" s="617"/>
      <c r="H205" s="617"/>
      <c r="I205" s="617"/>
      <c r="J205" s="617"/>
      <c r="K205" s="617"/>
      <c r="L205" s="617"/>
      <c r="M205" s="617"/>
      <c r="O205" s="618"/>
      <c r="P205" s="618"/>
    </row>
    <row r="206" spans="1:16" s="266" customFormat="1" ht="15.75" customHeight="1" x14ac:dyDescent="0.2">
      <c r="A206" s="616"/>
      <c r="B206" s="622" t="s">
        <v>47</v>
      </c>
      <c r="C206" s="623">
        <f>ROUND(SUM(C204:C205),2)</f>
        <v>1</v>
      </c>
      <c r="D206" s="624" t="s">
        <v>834</v>
      </c>
      <c r="E206" s="617"/>
      <c r="F206" s="617"/>
      <c r="G206" s="617"/>
      <c r="H206" s="617"/>
      <c r="I206" s="617"/>
      <c r="J206" s="617"/>
      <c r="K206" s="617"/>
      <c r="L206" s="617"/>
      <c r="M206" s="617"/>
      <c r="O206" s="618"/>
      <c r="P206" s="618"/>
    </row>
    <row r="207" spans="1:16" s="146" customFormat="1" x14ac:dyDescent="0.2">
      <c r="A207" s="229"/>
      <c r="B207" s="537"/>
      <c r="C207" s="537"/>
      <c r="D207" s="537"/>
      <c r="E207" s="537"/>
      <c r="F207" s="537"/>
      <c r="G207" s="537"/>
      <c r="H207" s="537"/>
      <c r="I207" s="537"/>
      <c r="J207" s="537"/>
      <c r="K207" s="537"/>
      <c r="L207" s="537"/>
      <c r="M207" s="537"/>
      <c r="N207" s="150"/>
      <c r="O207" s="150"/>
      <c r="P207" s="150"/>
    </row>
    <row r="208" spans="1:16" s="146" customFormat="1" ht="27.75" customHeight="1" x14ac:dyDescent="0.2">
      <c r="A208" s="229" t="str">
        <f>ORÇ!A422</f>
        <v>14.19</v>
      </c>
      <c r="B208" s="1869" t="str">
        <f>ORÇ!D422</f>
        <v>BANCADA EM GRANITO DE 245X60 CM, COM DUAS CUBA DE LOUÇA BRANCA OVAL, COM VALVULA, INCLUSO: ENGATE FLEXÍVEL, SIFÃO, RODABANCA E SAIA. FORNECIMENTO E INSTALAÇÃO.</v>
      </c>
      <c r="C208" s="1869"/>
      <c r="D208" s="1869"/>
      <c r="E208" s="1869"/>
      <c r="F208" s="1869"/>
      <c r="G208" s="1869"/>
      <c r="H208" s="1869"/>
      <c r="I208" s="1869"/>
      <c r="J208" s="1869"/>
      <c r="K208" s="1869"/>
      <c r="L208" s="1869"/>
      <c r="M208" s="1869"/>
      <c r="N208" s="150"/>
      <c r="O208" s="150"/>
      <c r="P208" s="150"/>
    </row>
    <row r="209" spans="1:16" s="146" customFormat="1" x14ac:dyDescent="0.2">
      <c r="A209" s="229"/>
      <c r="B209" s="537"/>
      <c r="C209" s="537"/>
      <c r="D209" s="537"/>
      <c r="E209" s="537"/>
      <c r="F209" s="537"/>
      <c r="G209" s="537"/>
      <c r="H209" s="537"/>
      <c r="I209" s="537"/>
      <c r="J209" s="537"/>
      <c r="K209" s="537"/>
      <c r="L209" s="537"/>
      <c r="M209" s="537"/>
      <c r="N209" s="150"/>
      <c r="O209" s="150"/>
      <c r="P209" s="150"/>
    </row>
    <row r="210" spans="1:16" s="266" customFormat="1" ht="15.75" customHeight="1" x14ac:dyDescent="0.2">
      <c r="A210" s="616"/>
      <c r="B210" s="627" t="s">
        <v>537</v>
      </c>
      <c r="C210" s="627" t="s">
        <v>469</v>
      </c>
      <c r="D210" s="617"/>
      <c r="E210" s="617"/>
      <c r="F210" s="617"/>
      <c r="G210" s="617"/>
      <c r="H210" s="617"/>
      <c r="I210" s="617"/>
      <c r="J210" s="617"/>
      <c r="K210" s="617"/>
      <c r="L210" s="617"/>
      <c r="M210" s="617"/>
      <c r="O210" s="618"/>
      <c r="P210" s="618"/>
    </row>
    <row r="211" spans="1:16" s="266" customFormat="1" ht="15.75" customHeight="1" x14ac:dyDescent="0.2">
      <c r="A211" s="616"/>
      <c r="B211" s="626" t="s">
        <v>530</v>
      </c>
      <c r="C211" s="632">
        <v>1</v>
      </c>
      <c r="D211" s="617"/>
      <c r="E211" s="617"/>
      <c r="F211" s="617"/>
      <c r="G211" s="617"/>
      <c r="H211" s="617"/>
      <c r="I211" s="617"/>
      <c r="J211" s="617"/>
      <c r="K211" s="617"/>
      <c r="L211" s="617"/>
      <c r="M211" s="617"/>
      <c r="O211" s="618"/>
      <c r="P211" s="618"/>
    </row>
    <row r="212" spans="1:16" s="266" customFormat="1" ht="15.75" customHeight="1" x14ac:dyDescent="0.2">
      <c r="A212" s="616"/>
      <c r="B212" s="617"/>
      <c r="C212" s="617"/>
      <c r="D212" s="617"/>
      <c r="E212" s="617"/>
      <c r="F212" s="617"/>
      <c r="G212" s="617"/>
      <c r="H212" s="617"/>
      <c r="I212" s="617"/>
      <c r="J212" s="617"/>
      <c r="K212" s="617"/>
      <c r="L212" s="617"/>
      <c r="M212" s="617"/>
      <c r="O212" s="618"/>
      <c r="P212" s="618"/>
    </row>
    <row r="213" spans="1:16" s="266" customFormat="1" ht="15.75" customHeight="1" x14ac:dyDescent="0.2">
      <c r="A213" s="616"/>
      <c r="B213" s="622" t="s">
        <v>47</v>
      </c>
      <c r="C213" s="623">
        <f>ROUND(SUM(C211:C212),2)</f>
        <v>1</v>
      </c>
      <c r="D213" s="624" t="s">
        <v>668</v>
      </c>
      <c r="E213" s="617"/>
      <c r="F213" s="617"/>
      <c r="G213" s="617"/>
      <c r="H213" s="617"/>
      <c r="I213" s="617"/>
      <c r="J213" s="617"/>
      <c r="K213" s="617"/>
      <c r="L213" s="617"/>
      <c r="M213" s="617"/>
      <c r="O213" s="618"/>
      <c r="P213" s="618"/>
    </row>
    <row r="214" spans="1:16" s="146" customFormat="1" x14ac:dyDescent="0.2">
      <c r="A214" s="229"/>
      <c r="B214" s="537"/>
      <c r="C214" s="537"/>
      <c r="D214" s="537"/>
      <c r="E214" s="537"/>
      <c r="F214" s="537"/>
      <c r="G214" s="537"/>
      <c r="H214" s="537"/>
      <c r="I214" s="537"/>
      <c r="J214" s="537"/>
      <c r="K214" s="537"/>
      <c r="L214" s="537"/>
      <c r="M214" s="537"/>
      <c r="N214" s="150"/>
      <c r="O214" s="150"/>
      <c r="P214" s="150"/>
    </row>
    <row r="215" spans="1:16" s="146" customFormat="1" ht="20.25" customHeight="1" x14ac:dyDescent="0.2">
      <c r="A215" s="229" t="str">
        <f>ORÇ!A423</f>
        <v>14.20</v>
      </c>
      <c r="B215" s="1869" t="str">
        <f>ORÇ!D423</f>
        <v>TORNEIRA CROMADA DE MESA, 1/2 OU 3/4, PARA LAVATÓRIO, PADRÃO POPULAR - FORNECIMENTO E INSTALAÇÃO. AF_01/2020</v>
      </c>
      <c r="C215" s="1869"/>
      <c r="D215" s="1869"/>
      <c r="E215" s="1869"/>
      <c r="F215" s="1869"/>
      <c r="G215" s="1869"/>
      <c r="H215" s="1869"/>
      <c r="I215" s="1869"/>
      <c r="J215" s="1869"/>
      <c r="K215" s="1869"/>
      <c r="L215" s="1869"/>
      <c r="M215" s="1869"/>
      <c r="N215" s="150"/>
      <c r="O215" s="150"/>
      <c r="P215" s="150"/>
    </row>
    <row r="216" spans="1:16" s="146" customFormat="1" x14ac:dyDescent="0.2">
      <c r="A216" s="229"/>
      <c r="B216" s="537"/>
      <c r="C216" s="537"/>
      <c r="D216" s="537"/>
      <c r="E216" s="537"/>
      <c r="F216" s="537"/>
      <c r="G216" s="537"/>
      <c r="H216" s="537"/>
      <c r="I216" s="537"/>
      <c r="J216" s="537"/>
      <c r="K216" s="537"/>
      <c r="L216" s="537"/>
      <c r="M216" s="537"/>
      <c r="N216" s="150"/>
      <c r="O216" s="150"/>
      <c r="P216" s="150"/>
    </row>
    <row r="217" spans="1:16" s="266" customFormat="1" ht="15.75" customHeight="1" x14ac:dyDescent="0.2">
      <c r="A217" s="616"/>
      <c r="B217" s="627" t="s">
        <v>537</v>
      </c>
      <c r="C217" s="627" t="s">
        <v>469</v>
      </c>
      <c r="D217" s="617"/>
      <c r="E217" s="617"/>
      <c r="F217" s="617"/>
      <c r="G217" s="617"/>
      <c r="H217" s="617"/>
      <c r="I217" s="617"/>
      <c r="J217" s="617"/>
      <c r="K217" s="617"/>
      <c r="L217" s="617"/>
      <c r="M217" s="617"/>
      <c r="O217" s="618"/>
      <c r="P217" s="618"/>
    </row>
    <row r="218" spans="1:16" s="643" customFormat="1" ht="15.75" customHeight="1" x14ac:dyDescent="0.2">
      <c r="A218" s="640"/>
      <c r="B218" s="641" t="s">
        <v>530</v>
      </c>
      <c r="C218" s="642">
        <v>2</v>
      </c>
      <c r="D218" s="634"/>
      <c r="E218" s="634"/>
      <c r="F218" s="634"/>
      <c r="G218" s="634"/>
      <c r="H218" s="634"/>
      <c r="I218" s="634"/>
      <c r="J218" s="634"/>
      <c r="K218" s="634"/>
      <c r="L218" s="634"/>
      <c r="M218" s="634"/>
    </row>
    <row r="219" spans="1:16" s="266" customFormat="1" ht="15.75" customHeight="1" x14ac:dyDescent="0.2">
      <c r="A219" s="616"/>
      <c r="B219" s="617"/>
      <c r="C219" s="617"/>
      <c r="D219" s="617"/>
      <c r="E219" s="617"/>
      <c r="F219" s="617"/>
      <c r="G219" s="617"/>
      <c r="H219" s="617"/>
      <c r="I219" s="617"/>
      <c r="J219" s="617"/>
      <c r="K219" s="617"/>
      <c r="L219" s="617"/>
      <c r="M219" s="617"/>
      <c r="O219" s="618"/>
      <c r="P219" s="618"/>
    </row>
    <row r="220" spans="1:16" s="266" customFormat="1" ht="15.75" customHeight="1" x14ac:dyDescent="0.2">
      <c r="A220" s="616"/>
      <c r="B220" s="622" t="s">
        <v>47</v>
      </c>
      <c r="C220" s="623">
        <f>ROUND(SUM(C218:C219),2)</f>
        <v>2</v>
      </c>
      <c r="D220" s="624" t="s">
        <v>668</v>
      </c>
      <c r="E220" s="617"/>
      <c r="F220" s="617"/>
      <c r="G220" s="617"/>
      <c r="H220" s="617"/>
      <c r="I220" s="617"/>
      <c r="J220" s="617"/>
      <c r="K220" s="617"/>
      <c r="L220" s="617"/>
      <c r="M220" s="617"/>
      <c r="O220" s="618"/>
      <c r="P220" s="618"/>
    </row>
    <row r="221" spans="1:16" s="146" customFormat="1" x14ac:dyDescent="0.2">
      <c r="A221" s="229"/>
      <c r="B221" s="537"/>
      <c r="C221" s="537"/>
      <c r="D221" s="537"/>
      <c r="E221" s="537"/>
      <c r="F221" s="537"/>
      <c r="G221" s="537"/>
      <c r="H221" s="537"/>
      <c r="I221" s="537"/>
      <c r="J221" s="537"/>
      <c r="K221" s="537"/>
      <c r="L221" s="537"/>
      <c r="M221" s="537"/>
      <c r="N221" s="150"/>
      <c r="O221" s="150"/>
      <c r="P221" s="150"/>
    </row>
    <row r="222" spans="1:16" s="146" customFormat="1" ht="27.75" customHeight="1" x14ac:dyDescent="0.2">
      <c r="A222" s="229" t="str">
        <f>ORÇ!A424</f>
        <v>14.21</v>
      </c>
      <c r="B222" s="1869" t="str">
        <f>ORÇ!D424</f>
        <v>TRILHO PANTOGRAFICO CONCAVO, TIPO U, EM ALUMINIO, COM DIMENSOES DE APROX *35 X 35* MM, INCLUSO GANCHO ACESSÓRIO PARA CORTINA. FORNECIMENTO E INSTALAÇÃO.</v>
      </c>
      <c r="C222" s="1869"/>
      <c r="D222" s="1869"/>
      <c r="E222" s="1869"/>
      <c r="F222" s="1869"/>
      <c r="G222" s="1869"/>
      <c r="H222" s="1869"/>
      <c r="I222" s="1869"/>
      <c r="J222" s="1869"/>
      <c r="K222" s="1869"/>
      <c r="L222" s="1869"/>
      <c r="M222" s="1869"/>
      <c r="N222" s="150"/>
      <c r="O222" s="150"/>
      <c r="P222" s="150"/>
    </row>
    <row r="223" spans="1:16" s="146" customFormat="1" x14ac:dyDescent="0.2">
      <c r="A223" s="229"/>
      <c r="B223" s="537"/>
      <c r="C223" s="537"/>
      <c r="D223" s="537"/>
      <c r="E223" s="537"/>
      <c r="F223" s="537"/>
      <c r="G223" s="537"/>
      <c r="H223" s="537"/>
      <c r="I223" s="537"/>
      <c r="J223" s="537"/>
      <c r="K223" s="537"/>
      <c r="L223" s="537"/>
      <c r="M223" s="537"/>
      <c r="N223" s="150"/>
      <c r="O223" s="150"/>
      <c r="P223" s="150"/>
    </row>
    <row r="224" spans="1:16" s="266" customFormat="1" ht="15.75" customHeight="1" x14ac:dyDescent="0.2">
      <c r="A224" s="616"/>
      <c r="B224" s="627" t="s">
        <v>537</v>
      </c>
      <c r="C224" s="627" t="s">
        <v>216</v>
      </c>
      <c r="D224" s="620"/>
      <c r="E224" s="617"/>
      <c r="F224" s="617"/>
      <c r="G224" s="617"/>
      <c r="H224" s="617"/>
      <c r="I224" s="617"/>
      <c r="J224" s="617"/>
      <c r="K224" s="617"/>
      <c r="L224" s="617"/>
      <c r="M224" s="617"/>
      <c r="O224" s="618"/>
      <c r="P224" s="618"/>
    </row>
    <row r="225" spans="1:16" s="266" customFormat="1" ht="15.75" customHeight="1" x14ac:dyDescent="0.2">
      <c r="A225" s="616"/>
      <c r="B225" s="626" t="s">
        <v>837</v>
      </c>
      <c r="C225" s="632">
        <v>2.44</v>
      </c>
      <c r="D225" s="617"/>
      <c r="E225" s="617"/>
      <c r="F225" s="617"/>
      <c r="G225" s="617"/>
      <c r="H225" s="617"/>
      <c r="I225" s="617"/>
      <c r="J225" s="617"/>
      <c r="K225" s="617"/>
      <c r="L225" s="617"/>
      <c r="M225" s="617"/>
      <c r="O225" s="618"/>
      <c r="P225" s="618"/>
    </row>
    <row r="226" spans="1:16" s="266" customFormat="1" ht="15.75" customHeight="1" x14ac:dyDescent="0.2">
      <c r="A226" s="616"/>
      <c r="B226" s="626" t="s">
        <v>838</v>
      </c>
      <c r="C226" s="632">
        <v>2.44</v>
      </c>
      <c r="D226" s="617"/>
      <c r="E226" s="617"/>
      <c r="F226" s="617"/>
      <c r="G226" s="617"/>
      <c r="H226" s="617"/>
      <c r="I226" s="617"/>
      <c r="J226" s="617"/>
      <c r="K226" s="617"/>
      <c r="L226" s="617"/>
      <c r="M226" s="617"/>
      <c r="O226" s="618"/>
      <c r="P226" s="618"/>
    </row>
    <row r="227" spans="1:16" s="266" customFormat="1" ht="15.75" customHeight="1" x14ac:dyDescent="0.2">
      <c r="A227" s="616"/>
      <c r="B227" s="626" t="s">
        <v>839</v>
      </c>
      <c r="C227" s="632">
        <v>2.35</v>
      </c>
      <c r="D227" s="617"/>
      <c r="E227" s="617"/>
      <c r="F227" s="617"/>
      <c r="G227" s="617"/>
      <c r="H227" s="617"/>
      <c r="I227" s="617"/>
      <c r="J227" s="617"/>
      <c r="K227" s="617"/>
      <c r="L227" s="617"/>
      <c r="M227" s="617"/>
      <c r="O227" s="618"/>
      <c r="P227" s="618"/>
    </row>
    <row r="228" spans="1:16" s="266" customFormat="1" ht="15.75" customHeight="1" x14ac:dyDescent="0.2">
      <c r="A228" s="616"/>
      <c r="B228" s="626" t="s">
        <v>840</v>
      </c>
      <c r="C228" s="632">
        <v>2.35</v>
      </c>
      <c r="D228" s="617"/>
      <c r="E228" s="617"/>
      <c r="F228" s="617"/>
      <c r="G228" s="617"/>
      <c r="H228" s="617"/>
      <c r="I228" s="617"/>
      <c r="J228" s="617"/>
      <c r="K228" s="617"/>
      <c r="L228" s="617"/>
      <c r="M228" s="617"/>
      <c r="O228" s="618"/>
      <c r="P228" s="618"/>
    </row>
    <row r="229" spans="1:16" s="266" customFormat="1" ht="15.75" customHeight="1" x14ac:dyDescent="0.2">
      <c r="A229" s="616"/>
      <c r="B229" s="626" t="s">
        <v>841</v>
      </c>
      <c r="C229" s="632">
        <v>2.35</v>
      </c>
      <c r="D229" s="617"/>
      <c r="E229" s="617"/>
      <c r="F229" s="617"/>
      <c r="G229" s="617"/>
      <c r="H229" s="617"/>
      <c r="I229" s="617"/>
      <c r="J229" s="617"/>
      <c r="K229" s="617"/>
      <c r="L229" s="617"/>
      <c r="M229" s="617"/>
      <c r="O229" s="618"/>
      <c r="P229" s="618"/>
    </row>
    <row r="230" spans="1:16" s="266" customFormat="1" ht="15.75" customHeight="1" x14ac:dyDescent="0.2">
      <c r="A230" s="616"/>
      <c r="B230" s="626" t="s">
        <v>842</v>
      </c>
      <c r="C230" s="632">
        <v>2.35</v>
      </c>
      <c r="D230" s="617"/>
      <c r="E230" s="617"/>
      <c r="F230" s="617"/>
      <c r="G230" s="617"/>
      <c r="H230" s="617"/>
      <c r="I230" s="617"/>
      <c r="J230" s="617"/>
      <c r="K230" s="617"/>
      <c r="L230" s="617"/>
      <c r="M230" s="617"/>
      <c r="O230" s="618"/>
      <c r="P230" s="618"/>
    </row>
    <row r="231" spans="1:16" s="266" customFormat="1" ht="15.75" customHeight="1" x14ac:dyDescent="0.2">
      <c r="A231" s="616"/>
      <c r="B231" s="626" t="s">
        <v>843</v>
      </c>
      <c r="C231" s="632">
        <v>2.35</v>
      </c>
      <c r="D231" s="617"/>
      <c r="E231" s="617"/>
      <c r="F231" s="617"/>
      <c r="G231" s="617"/>
      <c r="H231" s="617"/>
      <c r="I231" s="617"/>
      <c r="J231" s="617"/>
      <c r="K231" s="617"/>
      <c r="L231" s="617"/>
      <c r="M231" s="617"/>
      <c r="O231" s="618"/>
      <c r="P231" s="618"/>
    </row>
    <row r="232" spans="1:16" s="266" customFormat="1" ht="15.75" customHeight="1" x14ac:dyDescent="0.2">
      <c r="A232" s="616"/>
      <c r="B232" s="617"/>
      <c r="C232" s="617"/>
      <c r="D232" s="617"/>
      <c r="E232" s="617"/>
      <c r="F232" s="617"/>
      <c r="G232" s="617"/>
      <c r="H232" s="617"/>
      <c r="I232" s="617"/>
      <c r="J232" s="617"/>
      <c r="K232" s="617"/>
      <c r="L232" s="617"/>
      <c r="M232" s="617"/>
      <c r="O232" s="618"/>
      <c r="P232" s="618"/>
    </row>
    <row r="233" spans="1:16" s="266" customFormat="1" ht="15.75" customHeight="1" x14ac:dyDescent="0.2">
      <c r="A233" s="616"/>
      <c r="B233" s="622" t="s">
        <v>47</v>
      </c>
      <c r="C233" s="623">
        <f>ROUND(SUM(C225:C232),2)</f>
        <v>16.63</v>
      </c>
      <c r="D233" s="624" t="s">
        <v>832</v>
      </c>
      <c r="E233" s="617"/>
      <c r="F233" s="617"/>
      <c r="G233" s="617"/>
      <c r="H233" s="617"/>
      <c r="I233" s="617"/>
      <c r="J233" s="617"/>
      <c r="K233" s="617"/>
      <c r="L233" s="617"/>
      <c r="M233" s="617"/>
      <c r="O233" s="618"/>
      <c r="P233" s="618"/>
    </row>
    <row r="234" spans="1:16" s="146" customFormat="1" x14ac:dyDescent="0.2">
      <c r="A234" s="229"/>
      <c r="B234" s="537"/>
      <c r="C234" s="537"/>
      <c r="D234" s="537"/>
      <c r="E234" s="537"/>
      <c r="F234" s="537"/>
      <c r="G234" s="537"/>
      <c r="H234" s="537"/>
      <c r="I234" s="537"/>
      <c r="J234" s="537"/>
      <c r="K234" s="537"/>
      <c r="L234" s="537"/>
      <c r="M234" s="537"/>
      <c r="N234" s="150"/>
      <c r="O234" s="150"/>
      <c r="P234" s="150"/>
    </row>
    <row r="235" spans="1:16" s="146" customFormat="1" ht="24" customHeight="1" x14ac:dyDescent="0.2">
      <c r="A235" s="229" t="str">
        <f>ORÇ!A425</f>
        <v>14.22</v>
      </c>
      <c r="B235" s="1869" t="str">
        <f>ORÇ!D425</f>
        <v>CORTINA HOSPITALAR PVC COM TELA 100% POLYESTER. FORNECIMENTO E INSTALAÇÃO.</v>
      </c>
      <c r="C235" s="1869"/>
      <c r="D235" s="1869"/>
      <c r="E235" s="1869"/>
      <c r="F235" s="1869"/>
      <c r="G235" s="1869"/>
      <c r="H235" s="1869"/>
      <c r="I235" s="1869"/>
      <c r="J235" s="1869"/>
      <c r="K235" s="1869"/>
      <c r="L235" s="1869"/>
      <c r="M235" s="1869"/>
      <c r="N235" s="150"/>
      <c r="O235" s="150"/>
      <c r="P235" s="150"/>
    </row>
    <row r="236" spans="1:16" s="146" customFormat="1" x14ac:dyDescent="0.2">
      <c r="A236" s="229"/>
      <c r="B236" s="537"/>
      <c r="C236" s="537"/>
      <c r="D236" s="537"/>
      <c r="E236" s="537"/>
      <c r="F236" s="537"/>
      <c r="G236" s="537"/>
      <c r="H236" s="537"/>
      <c r="I236" s="537"/>
      <c r="J236" s="537"/>
      <c r="K236" s="537"/>
      <c r="L236" s="537"/>
      <c r="M236" s="537"/>
      <c r="N236" s="150"/>
      <c r="O236" s="150"/>
      <c r="P236" s="150"/>
    </row>
    <row r="237" spans="1:16" s="241" customFormat="1" ht="15.75" customHeight="1" x14ac:dyDescent="0.2">
      <c r="A237" s="229"/>
      <c r="B237" s="627" t="s">
        <v>537</v>
      </c>
      <c r="C237" s="627" t="s">
        <v>216</v>
      </c>
      <c r="D237" s="646"/>
      <c r="E237" s="646" t="s">
        <v>311</v>
      </c>
      <c r="F237" s="646"/>
      <c r="G237" s="646" t="s">
        <v>213</v>
      </c>
      <c r="H237" s="644"/>
      <c r="I237" s="644"/>
      <c r="J237" s="644"/>
      <c r="K237" s="644"/>
      <c r="L237" s="644"/>
      <c r="M237" s="644"/>
      <c r="O237" s="645"/>
      <c r="P237" s="645"/>
    </row>
    <row r="238" spans="1:16" s="266" customFormat="1" ht="15.75" customHeight="1" x14ac:dyDescent="0.2">
      <c r="A238" s="616"/>
      <c r="B238" s="626" t="str">
        <f>B225</f>
        <v>Box 01</v>
      </c>
      <c r="C238" s="632">
        <f>C225</f>
        <v>2.44</v>
      </c>
      <c r="D238" s="631" t="s">
        <v>45</v>
      </c>
      <c r="E238" s="631">
        <v>1.6</v>
      </c>
      <c r="F238" s="631" t="s">
        <v>46</v>
      </c>
      <c r="G238" s="631">
        <f>ROUND(C238*E238,2)</f>
        <v>3.9</v>
      </c>
      <c r="H238" s="617"/>
      <c r="I238" s="617"/>
      <c r="J238" s="617"/>
      <c r="K238" s="617"/>
      <c r="L238" s="617"/>
      <c r="M238" s="617"/>
      <c r="O238" s="618"/>
      <c r="P238" s="618"/>
    </row>
    <row r="239" spans="1:16" s="266" customFormat="1" ht="15.75" customHeight="1" x14ac:dyDescent="0.2">
      <c r="A239" s="616"/>
      <c r="B239" s="626" t="str">
        <f t="shared" ref="B239:C239" si="7">B226</f>
        <v>Box 02</v>
      </c>
      <c r="C239" s="632">
        <f t="shared" si="7"/>
        <v>2.44</v>
      </c>
      <c r="D239" s="631" t="s">
        <v>45</v>
      </c>
      <c r="E239" s="631">
        <v>1.6</v>
      </c>
      <c r="F239" s="631" t="s">
        <v>46</v>
      </c>
      <c r="G239" s="631">
        <f t="shared" ref="G239:G244" si="8">ROUND(C239*E239,2)</f>
        <v>3.9</v>
      </c>
      <c r="H239" s="617"/>
      <c r="I239" s="617"/>
      <c r="J239" s="617"/>
      <c r="K239" s="617"/>
      <c r="L239" s="617"/>
      <c r="M239" s="617"/>
      <c r="O239" s="618"/>
      <c r="P239" s="618"/>
    </row>
    <row r="240" spans="1:16" s="266" customFormat="1" ht="15.75" customHeight="1" x14ac:dyDescent="0.2">
      <c r="A240" s="616"/>
      <c r="B240" s="626" t="str">
        <f t="shared" ref="B240:C240" si="9">B227</f>
        <v>Box 03</v>
      </c>
      <c r="C240" s="632">
        <f t="shared" si="9"/>
        <v>2.35</v>
      </c>
      <c r="D240" s="631" t="s">
        <v>45</v>
      </c>
      <c r="E240" s="631">
        <v>1.6</v>
      </c>
      <c r="F240" s="631" t="s">
        <v>46</v>
      </c>
      <c r="G240" s="631">
        <f t="shared" si="8"/>
        <v>3.76</v>
      </c>
      <c r="H240" s="617"/>
      <c r="I240" s="617"/>
      <c r="J240" s="617"/>
      <c r="K240" s="617"/>
      <c r="L240" s="617"/>
      <c r="M240" s="617"/>
      <c r="O240" s="618"/>
      <c r="P240" s="618"/>
    </row>
    <row r="241" spans="1:16" s="266" customFormat="1" ht="15.75" customHeight="1" x14ac:dyDescent="0.2">
      <c r="A241" s="616"/>
      <c r="B241" s="626" t="str">
        <f t="shared" ref="B241:C241" si="10">B228</f>
        <v>Box 04</v>
      </c>
      <c r="C241" s="632">
        <f t="shared" si="10"/>
        <v>2.35</v>
      </c>
      <c r="D241" s="631" t="s">
        <v>45</v>
      </c>
      <c r="E241" s="631">
        <v>1.6</v>
      </c>
      <c r="F241" s="631" t="s">
        <v>46</v>
      </c>
      <c r="G241" s="631">
        <f t="shared" si="8"/>
        <v>3.76</v>
      </c>
      <c r="H241" s="617"/>
      <c r="I241" s="617"/>
      <c r="J241" s="617"/>
      <c r="K241" s="617"/>
      <c r="L241" s="617"/>
      <c r="M241" s="617"/>
      <c r="O241" s="618"/>
      <c r="P241" s="618"/>
    </row>
    <row r="242" spans="1:16" s="266" customFormat="1" ht="15.75" customHeight="1" x14ac:dyDescent="0.2">
      <c r="A242" s="616"/>
      <c r="B242" s="626" t="str">
        <f t="shared" ref="B242:C242" si="11">B229</f>
        <v>Box 05</v>
      </c>
      <c r="C242" s="632">
        <f t="shared" si="11"/>
        <v>2.35</v>
      </c>
      <c r="D242" s="631" t="s">
        <v>45</v>
      </c>
      <c r="E242" s="631">
        <v>1.6</v>
      </c>
      <c r="F242" s="631" t="s">
        <v>46</v>
      </c>
      <c r="G242" s="631">
        <f t="shared" si="8"/>
        <v>3.76</v>
      </c>
      <c r="H242" s="617"/>
      <c r="I242" s="617"/>
      <c r="J242" s="617"/>
      <c r="K242" s="617"/>
      <c r="L242" s="617"/>
      <c r="M242" s="617"/>
      <c r="O242" s="618"/>
      <c r="P242" s="618"/>
    </row>
    <row r="243" spans="1:16" s="266" customFormat="1" ht="15.75" customHeight="1" x14ac:dyDescent="0.2">
      <c r="A243" s="616"/>
      <c r="B243" s="626" t="str">
        <f t="shared" ref="B243:C243" si="12">B230</f>
        <v>Box 06</v>
      </c>
      <c r="C243" s="632">
        <f t="shared" si="12"/>
        <v>2.35</v>
      </c>
      <c r="D243" s="631" t="s">
        <v>45</v>
      </c>
      <c r="E243" s="631">
        <v>1.6</v>
      </c>
      <c r="F243" s="631" t="s">
        <v>46</v>
      </c>
      <c r="G243" s="631">
        <f t="shared" si="8"/>
        <v>3.76</v>
      </c>
      <c r="H243" s="617"/>
      <c r="I243" s="617"/>
      <c r="J243" s="617"/>
      <c r="K243" s="617"/>
      <c r="L243" s="617"/>
      <c r="M243" s="617"/>
      <c r="O243" s="618"/>
      <c r="P243" s="618"/>
    </row>
    <row r="244" spans="1:16" s="266" customFormat="1" ht="15.75" customHeight="1" x14ac:dyDescent="0.2">
      <c r="A244" s="616"/>
      <c r="B244" s="626" t="str">
        <f t="shared" ref="B244:C244" si="13">B231</f>
        <v>Box 07</v>
      </c>
      <c r="C244" s="632">
        <f t="shared" si="13"/>
        <v>2.35</v>
      </c>
      <c r="D244" s="631" t="s">
        <v>45</v>
      </c>
      <c r="E244" s="631">
        <v>1.6</v>
      </c>
      <c r="F244" s="631" t="s">
        <v>46</v>
      </c>
      <c r="G244" s="631">
        <f t="shared" si="8"/>
        <v>3.76</v>
      </c>
      <c r="H244" s="617"/>
      <c r="I244" s="617"/>
      <c r="J244" s="617"/>
      <c r="K244" s="617"/>
      <c r="L244" s="617"/>
      <c r="M244" s="617"/>
      <c r="O244" s="618"/>
      <c r="P244" s="618"/>
    </row>
    <row r="245" spans="1:16" s="266" customFormat="1" ht="15.75" customHeight="1" x14ac:dyDescent="0.2">
      <c r="A245" s="616"/>
      <c r="B245" s="617"/>
      <c r="C245" s="617"/>
      <c r="D245" s="617"/>
      <c r="E245" s="617"/>
      <c r="F245" s="617"/>
      <c r="G245" s="617"/>
      <c r="H245" s="617"/>
      <c r="I245" s="617"/>
      <c r="J245" s="617"/>
      <c r="K245" s="617"/>
      <c r="L245" s="617"/>
      <c r="M245" s="617"/>
      <c r="O245" s="618"/>
      <c r="P245" s="618"/>
    </row>
    <row r="246" spans="1:16" s="266" customFormat="1" ht="15.75" customHeight="1" x14ac:dyDescent="0.2">
      <c r="A246" s="616"/>
      <c r="B246" s="622" t="s">
        <v>47</v>
      </c>
      <c r="C246" s="623">
        <f>ROUND(SUM(G238:G245),2)</f>
        <v>26.6</v>
      </c>
      <c r="D246" s="624" t="s">
        <v>4</v>
      </c>
      <c r="E246" s="617"/>
      <c r="F246" s="617"/>
      <c r="G246" s="617"/>
      <c r="H246" s="617"/>
      <c r="I246" s="617"/>
      <c r="J246" s="617"/>
      <c r="K246" s="617"/>
      <c r="L246" s="617"/>
      <c r="M246" s="617"/>
      <c r="O246" s="618"/>
      <c r="P246" s="618"/>
    </row>
    <row r="247" spans="1:16" s="146" customFormat="1" x14ac:dyDescent="0.2">
      <c r="A247" s="229"/>
      <c r="B247" s="537"/>
      <c r="C247" s="537"/>
      <c r="D247" s="537"/>
      <c r="E247" s="537"/>
      <c r="F247" s="537"/>
      <c r="G247" s="537"/>
      <c r="H247" s="537"/>
      <c r="I247" s="537"/>
      <c r="J247" s="537"/>
      <c r="K247" s="537"/>
      <c r="L247" s="537"/>
      <c r="M247" s="537"/>
      <c r="N247" s="150"/>
      <c r="O247" s="150"/>
      <c r="P247" s="150"/>
    </row>
    <row r="248" spans="1:16" s="146" customFormat="1" ht="20.25" customHeight="1" x14ac:dyDescent="0.2">
      <c r="A248" s="229" t="str">
        <f>ORÇ!A426</f>
        <v>14.23</v>
      </c>
      <c r="B248" s="1869" t="str">
        <f>ORÇ!D426</f>
        <v>GUARDA-CORPO EM TUBO DE AÇO GALVANIZADO 1 1/2"</v>
      </c>
      <c r="C248" s="1869"/>
      <c r="D248" s="1869"/>
      <c r="E248" s="1869"/>
      <c r="F248" s="1869"/>
      <c r="G248" s="1869"/>
      <c r="H248" s="1869"/>
      <c r="I248" s="1869"/>
      <c r="J248" s="1869"/>
      <c r="K248" s="1869"/>
      <c r="L248" s="1869"/>
      <c r="M248" s="1869"/>
      <c r="N248" s="150"/>
      <c r="O248" s="150"/>
      <c r="P248" s="150"/>
    </row>
    <row r="249" spans="1:16" s="146" customFormat="1" x14ac:dyDescent="0.2">
      <c r="A249" s="229"/>
      <c r="B249" s="881"/>
      <c r="C249" s="881"/>
      <c r="D249" s="881"/>
      <c r="E249" s="881"/>
      <c r="F249" s="881"/>
      <c r="G249" s="881"/>
      <c r="H249" s="881"/>
      <c r="I249" s="881"/>
      <c r="J249" s="881"/>
      <c r="K249" s="881"/>
      <c r="L249" s="881"/>
      <c r="M249" s="881"/>
      <c r="N249" s="150"/>
      <c r="O249" s="150"/>
      <c r="P249" s="150"/>
    </row>
    <row r="250" spans="1:16" s="266" customFormat="1" ht="15.75" customHeight="1" x14ac:dyDescent="0.2">
      <c r="A250" s="616"/>
      <c r="B250" s="627" t="s">
        <v>537</v>
      </c>
      <c r="C250" s="627" t="s">
        <v>216</v>
      </c>
      <c r="D250" s="627"/>
      <c r="E250" s="627" t="s">
        <v>311</v>
      </c>
      <c r="F250" s="627"/>
      <c r="G250" s="627" t="s">
        <v>213</v>
      </c>
      <c r="H250" s="898"/>
      <c r="I250" s="898"/>
      <c r="J250" s="898"/>
      <c r="K250" s="898"/>
      <c r="L250" s="898"/>
      <c r="M250" s="898"/>
      <c r="O250" s="618"/>
      <c r="P250" s="618"/>
    </row>
    <row r="251" spans="1:16" s="915" customFormat="1" ht="15.75" customHeight="1" x14ac:dyDescent="0.2">
      <c r="A251" s="640"/>
      <c r="B251" s="1871" t="s">
        <v>646</v>
      </c>
      <c r="C251" s="914">
        <v>7.2</v>
      </c>
      <c r="D251" s="914" t="s">
        <v>45</v>
      </c>
      <c r="E251" s="914">
        <v>0.92</v>
      </c>
      <c r="F251" s="914" t="s">
        <v>46</v>
      </c>
      <c r="G251" s="914">
        <f>ROUND(C251*E251,2)</f>
        <v>6.62</v>
      </c>
      <c r="H251" s="639"/>
      <c r="I251" s="639"/>
      <c r="J251" s="639"/>
      <c r="K251" s="639"/>
      <c r="L251" s="639"/>
      <c r="M251" s="639"/>
    </row>
    <row r="252" spans="1:16" s="915" customFormat="1" ht="15.75" customHeight="1" x14ac:dyDescent="0.2">
      <c r="A252" s="640"/>
      <c r="B252" s="1872"/>
      <c r="C252" s="914">
        <v>7.2</v>
      </c>
      <c r="D252" s="914" t="s">
        <v>45</v>
      </c>
      <c r="E252" s="914">
        <v>0.92</v>
      </c>
      <c r="F252" s="914" t="s">
        <v>46</v>
      </c>
      <c r="G252" s="914">
        <f>ROUND(C252*E252,2)</f>
        <v>6.62</v>
      </c>
      <c r="H252" s="639"/>
      <c r="I252" s="639"/>
      <c r="J252" s="639"/>
      <c r="K252" s="639"/>
      <c r="L252" s="639"/>
      <c r="M252" s="639"/>
    </row>
    <row r="253" spans="1:16" s="266" customFormat="1" ht="15.75" customHeight="1" x14ac:dyDescent="0.2">
      <c r="A253" s="616"/>
      <c r="B253" s="898"/>
      <c r="C253" s="898"/>
      <c r="D253" s="898"/>
      <c r="E253" s="898"/>
      <c r="F253" s="898"/>
      <c r="G253" s="898"/>
      <c r="H253" s="898"/>
      <c r="I253" s="898"/>
      <c r="J253" s="898"/>
      <c r="K253" s="898"/>
      <c r="L253" s="898"/>
      <c r="M253" s="898"/>
      <c r="O253" s="618"/>
      <c r="P253" s="618"/>
    </row>
    <row r="254" spans="1:16" s="266" customFormat="1" ht="15.75" customHeight="1" x14ac:dyDescent="0.2">
      <c r="A254" s="616"/>
      <c r="B254" s="622" t="s">
        <v>47</v>
      </c>
      <c r="C254" s="623">
        <f>ROUND(SUM(C251:C253),2)</f>
        <v>14.4</v>
      </c>
      <c r="D254" s="1034" t="s">
        <v>4</v>
      </c>
      <c r="E254" s="898"/>
      <c r="F254" s="898"/>
      <c r="G254" s="898"/>
      <c r="H254" s="898"/>
      <c r="I254" s="898"/>
      <c r="J254" s="898"/>
      <c r="K254" s="898"/>
      <c r="L254" s="898"/>
      <c r="M254" s="898"/>
      <c r="O254" s="618"/>
      <c r="P254" s="618"/>
    </row>
    <row r="255" spans="1:16" s="146" customFormat="1" x14ac:dyDescent="0.2">
      <c r="A255" s="229"/>
      <c r="B255" s="881"/>
      <c r="C255" s="881"/>
      <c r="D255" s="881"/>
      <c r="E255" s="881"/>
      <c r="F255" s="881"/>
      <c r="G255" s="881"/>
      <c r="H255" s="881"/>
      <c r="I255" s="881"/>
      <c r="J255" s="881"/>
      <c r="K255" s="881"/>
      <c r="L255" s="881"/>
      <c r="M255" s="881"/>
      <c r="N255" s="150"/>
      <c r="O255" s="150"/>
      <c r="P255" s="150"/>
    </row>
    <row r="256" spans="1:16" s="146" customFormat="1" ht="20.25" customHeight="1" x14ac:dyDescent="0.2">
      <c r="A256" s="229" t="str">
        <f>ORÇ!A427</f>
        <v>14.24</v>
      </c>
      <c r="B256" s="1869" t="str">
        <f>ORÇ!D427</f>
        <v>CORRIMÃO SIMPLES, DIÂMETRO EXTERNO = 1 1/2", EM ALUMÍNIO. AF_04/2019_P</v>
      </c>
      <c r="C256" s="1869"/>
      <c r="D256" s="1869"/>
      <c r="E256" s="1869"/>
      <c r="F256" s="1869"/>
      <c r="G256" s="1869"/>
      <c r="H256" s="1869"/>
      <c r="I256" s="1869"/>
      <c r="J256" s="1869"/>
      <c r="K256" s="1869"/>
      <c r="L256" s="1869"/>
      <c r="M256" s="1869"/>
      <c r="N256" s="150"/>
      <c r="O256" s="150"/>
      <c r="P256" s="150"/>
    </row>
    <row r="257" spans="1:16" s="146" customFormat="1" x14ac:dyDescent="0.2">
      <c r="A257" s="229"/>
      <c r="B257" s="1105"/>
      <c r="C257" s="1105"/>
      <c r="D257" s="1105"/>
      <c r="E257" s="1105"/>
      <c r="F257" s="1105"/>
      <c r="G257" s="1105"/>
      <c r="H257" s="1105"/>
      <c r="I257" s="1105"/>
      <c r="J257" s="1105"/>
      <c r="K257" s="1105"/>
      <c r="L257" s="1105"/>
      <c r="M257" s="1105"/>
      <c r="N257" s="150"/>
      <c r="O257" s="150"/>
      <c r="P257" s="150"/>
    </row>
    <row r="258" spans="1:16" s="266" customFormat="1" ht="15.75" customHeight="1" x14ac:dyDescent="0.2">
      <c r="A258" s="616"/>
      <c r="B258" s="627" t="s">
        <v>537</v>
      </c>
      <c r="C258" s="627" t="s">
        <v>216</v>
      </c>
      <c r="D258" s="1106"/>
      <c r="E258" s="1106"/>
      <c r="F258" s="1106"/>
      <c r="G258" s="1106"/>
      <c r="H258" s="1106"/>
      <c r="I258" s="1106"/>
      <c r="J258" s="1106"/>
      <c r="K258" s="1106"/>
      <c r="L258" s="1106"/>
      <c r="M258" s="1106"/>
      <c r="O258" s="618"/>
      <c r="P258" s="618"/>
    </row>
    <row r="259" spans="1:16" s="915" customFormat="1" ht="15.75" customHeight="1" x14ac:dyDescent="0.2">
      <c r="A259" s="640"/>
      <c r="B259" s="1871" t="s">
        <v>530</v>
      </c>
      <c r="C259" s="914">
        <v>3</v>
      </c>
      <c r="D259" s="639"/>
      <c r="E259" s="639"/>
      <c r="F259" s="639"/>
      <c r="G259" s="639"/>
      <c r="H259" s="639"/>
      <c r="I259" s="639"/>
      <c r="J259" s="639"/>
      <c r="K259" s="639"/>
      <c r="L259" s="639"/>
      <c r="M259" s="639"/>
    </row>
    <row r="260" spans="1:16" s="915" customFormat="1" ht="15.75" customHeight="1" x14ac:dyDescent="0.2">
      <c r="A260" s="640"/>
      <c r="B260" s="1872"/>
      <c r="C260" s="914">
        <v>1.65</v>
      </c>
      <c r="D260" s="639"/>
      <c r="E260" s="639"/>
      <c r="F260" s="639"/>
      <c r="G260" s="639"/>
      <c r="H260" s="639"/>
      <c r="I260" s="639"/>
      <c r="J260" s="639"/>
      <c r="K260" s="639"/>
      <c r="L260" s="639"/>
      <c r="M260" s="639"/>
    </row>
    <row r="261" spans="1:16" s="915" customFormat="1" ht="15.75" customHeight="1" x14ac:dyDescent="0.2">
      <c r="A261" s="640"/>
      <c r="B261" s="1871" t="s">
        <v>526</v>
      </c>
      <c r="C261" s="914">
        <v>5.15</v>
      </c>
      <c r="D261" s="639"/>
      <c r="E261" s="639"/>
      <c r="F261" s="639"/>
      <c r="G261" s="639"/>
      <c r="H261" s="639"/>
      <c r="I261" s="639"/>
      <c r="J261" s="639"/>
      <c r="K261" s="639"/>
      <c r="L261" s="639"/>
      <c r="M261" s="639"/>
    </row>
    <row r="262" spans="1:16" s="915" customFormat="1" ht="15.75" customHeight="1" x14ac:dyDescent="0.2">
      <c r="A262" s="640"/>
      <c r="B262" s="1873"/>
      <c r="C262" s="914">
        <v>2.2400000000000002</v>
      </c>
      <c r="D262" s="639"/>
      <c r="E262" s="639"/>
      <c r="F262" s="639"/>
      <c r="G262" s="639"/>
      <c r="H262" s="639"/>
      <c r="I262" s="639"/>
      <c r="J262" s="639"/>
      <c r="K262" s="639"/>
      <c r="L262" s="639"/>
      <c r="M262" s="639"/>
    </row>
    <row r="263" spans="1:16" s="915" customFormat="1" ht="15.75" customHeight="1" x14ac:dyDescent="0.2">
      <c r="A263" s="640"/>
      <c r="B263" s="1873"/>
      <c r="C263" s="914">
        <v>1.55</v>
      </c>
      <c r="D263" s="639"/>
      <c r="E263" s="639"/>
      <c r="F263" s="639"/>
      <c r="G263" s="639"/>
      <c r="H263" s="639"/>
      <c r="I263" s="639"/>
      <c r="J263" s="639"/>
      <c r="K263" s="639"/>
      <c r="L263" s="639"/>
      <c r="M263" s="639"/>
    </row>
    <row r="264" spans="1:16" s="915" customFormat="1" ht="15.75" customHeight="1" x14ac:dyDescent="0.2">
      <c r="A264" s="640"/>
      <c r="B264" s="1873"/>
      <c r="C264" s="914">
        <v>3.5</v>
      </c>
      <c r="D264" s="639"/>
      <c r="E264" s="639"/>
      <c r="F264" s="639"/>
      <c r="G264" s="639"/>
      <c r="H264" s="639"/>
      <c r="I264" s="639"/>
      <c r="J264" s="639"/>
      <c r="K264" s="639"/>
      <c r="L264" s="639"/>
      <c r="M264" s="639"/>
    </row>
    <row r="265" spans="1:16" s="915" customFormat="1" ht="15.75" customHeight="1" x14ac:dyDescent="0.2">
      <c r="A265" s="640"/>
      <c r="B265" s="1873"/>
      <c r="C265" s="914">
        <v>9.2100000000000009</v>
      </c>
      <c r="D265" s="639"/>
      <c r="E265" s="639"/>
      <c r="F265" s="639"/>
      <c r="G265" s="639"/>
      <c r="H265" s="639"/>
      <c r="I265" s="639"/>
      <c r="J265" s="639"/>
      <c r="K265" s="639"/>
      <c r="L265" s="639"/>
      <c r="M265" s="639"/>
    </row>
    <row r="266" spans="1:16" s="915" customFormat="1" ht="15.75" customHeight="1" x14ac:dyDescent="0.2">
      <c r="A266" s="640"/>
      <c r="B266" s="1872"/>
      <c r="C266" s="914">
        <v>1.35</v>
      </c>
      <c r="D266" s="639"/>
      <c r="E266" s="639"/>
      <c r="F266" s="639"/>
      <c r="G266" s="639"/>
      <c r="H266" s="639"/>
      <c r="I266" s="639"/>
      <c r="J266" s="639"/>
      <c r="K266" s="639"/>
      <c r="L266" s="639"/>
      <c r="M266" s="639"/>
    </row>
    <row r="267" spans="1:16" s="915" customFormat="1" ht="15.75" customHeight="1" x14ac:dyDescent="0.2">
      <c r="A267" s="640"/>
      <c r="B267" s="1874" t="s">
        <v>525</v>
      </c>
      <c r="C267" s="914">
        <v>3</v>
      </c>
      <c r="D267" s="639"/>
      <c r="E267" s="639"/>
      <c r="F267" s="639"/>
      <c r="G267" s="639"/>
      <c r="H267" s="639"/>
      <c r="I267" s="639"/>
      <c r="J267" s="639"/>
      <c r="K267" s="639"/>
      <c r="L267" s="639"/>
      <c r="M267" s="639"/>
    </row>
    <row r="268" spans="1:16" s="915" customFormat="1" ht="15.75" customHeight="1" x14ac:dyDescent="0.2">
      <c r="A268" s="640"/>
      <c r="B268" s="1874"/>
      <c r="C268" s="914">
        <v>2.44</v>
      </c>
      <c r="D268" s="639"/>
      <c r="E268" s="639"/>
      <c r="F268" s="639"/>
      <c r="G268" s="639"/>
      <c r="H268" s="639"/>
      <c r="I268" s="639"/>
      <c r="J268" s="639"/>
      <c r="K268" s="639"/>
      <c r="L268" s="639"/>
      <c r="M268" s="639"/>
    </row>
    <row r="269" spans="1:16" s="915" customFormat="1" ht="15.75" customHeight="1" x14ac:dyDescent="0.2">
      <c r="A269" s="640"/>
      <c r="B269" s="1874"/>
      <c r="C269" s="914">
        <v>1.4</v>
      </c>
      <c r="D269" s="639"/>
      <c r="E269" s="639"/>
      <c r="F269" s="639"/>
      <c r="G269" s="639"/>
      <c r="H269" s="639"/>
      <c r="I269" s="639"/>
      <c r="J269" s="639"/>
      <c r="K269" s="639"/>
      <c r="L269" s="639"/>
      <c r="M269" s="639"/>
    </row>
    <row r="270" spans="1:16" s="266" customFormat="1" ht="15.75" customHeight="1" x14ac:dyDescent="0.2">
      <c r="A270" s="616"/>
      <c r="B270" s="1106"/>
      <c r="C270" s="1106"/>
      <c r="D270" s="1106"/>
      <c r="E270" s="1106"/>
      <c r="F270" s="1106"/>
      <c r="G270" s="1106"/>
      <c r="H270" s="1106"/>
      <c r="I270" s="1106"/>
      <c r="J270" s="1106"/>
      <c r="K270" s="1106"/>
      <c r="L270" s="1106"/>
      <c r="M270" s="1106"/>
      <c r="O270" s="618"/>
      <c r="P270" s="618"/>
    </row>
    <row r="271" spans="1:16" s="266" customFormat="1" ht="15.75" customHeight="1" x14ac:dyDescent="0.2">
      <c r="A271" s="616"/>
      <c r="B271" s="622" t="s">
        <v>47</v>
      </c>
      <c r="C271" s="623">
        <f>ROUND(SUM(C259:C270),2)</f>
        <v>34.49</v>
      </c>
      <c r="D271" s="1034" t="s">
        <v>12</v>
      </c>
      <c r="E271" s="1106"/>
      <c r="F271" s="1106"/>
      <c r="G271" s="1106"/>
      <c r="H271" s="1106"/>
      <c r="I271" s="1106"/>
      <c r="J271" s="1106"/>
      <c r="K271" s="1106"/>
      <c r="L271" s="1106"/>
      <c r="M271" s="1106"/>
      <c r="O271" s="618"/>
      <c r="P271" s="618"/>
    </row>
    <row r="272" spans="1:16" s="146" customFormat="1" x14ac:dyDescent="0.2">
      <c r="A272" s="229"/>
      <c r="B272" s="1105"/>
      <c r="C272" s="1105"/>
      <c r="D272" s="1105"/>
      <c r="E272" s="1105"/>
      <c r="F272" s="1105"/>
      <c r="G272" s="1105"/>
      <c r="H272" s="1105"/>
      <c r="I272" s="1105"/>
      <c r="J272" s="1105"/>
      <c r="K272" s="1105"/>
      <c r="L272" s="1105"/>
      <c r="M272" s="1105"/>
      <c r="N272" s="150"/>
      <c r="O272" s="150"/>
      <c r="P272" s="150"/>
    </row>
  </sheetData>
  <mergeCells count="57">
    <mergeCell ref="G37:M38"/>
    <mergeCell ref="B179:M179"/>
    <mergeCell ref="B194:M194"/>
    <mergeCell ref="B186:M186"/>
    <mergeCell ref="B77:M77"/>
    <mergeCell ref="B74:E74"/>
    <mergeCell ref="B94:B95"/>
    <mergeCell ref="B222:M222"/>
    <mergeCell ref="B235:M235"/>
    <mergeCell ref="B100:B101"/>
    <mergeCell ref="B96:B97"/>
    <mergeCell ref="B98:B99"/>
    <mergeCell ref="B1:M2"/>
    <mergeCell ref="A3:B3"/>
    <mergeCell ref="C3:E3"/>
    <mergeCell ref="F3:G3"/>
    <mergeCell ref="H3:M3"/>
    <mergeCell ref="A4:B4"/>
    <mergeCell ref="C4:M4"/>
    <mergeCell ref="B201:M201"/>
    <mergeCell ref="B208:M208"/>
    <mergeCell ref="B215:M215"/>
    <mergeCell ref="B29:F30"/>
    <mergeCell ref="B40:M40"/>
    <mergeCell ref="B72:M72"/>
    <mergeCell ref="B119:M119"/>
    <mergeCell ref="B172:M172"/>
    <mergeCell ref="B102:B103"/>
    <mergeCell ref="B138:E138"/>
    <mergeCell ref="B150:D150"/>
    <mergeCell ref="A10:M10"/>
    <mergeCell ref="A5:B5"/>
    <mergeCell ref="C5:M5"/>
    <mergeCell ref="A6:B6"/>
    <mergeCell ref="C6:D6"/>
    <mergeCell ref="E6:F6"/>
    <mergeCell ref="G6:M6"/>
    <mergeCell ref="A7:B7"/>
    <mergeCell ref="C7:D7"/>
    <mergeCell ref="E7:F7"/>
    <mergeCell ref="G7:M7"/>
    <mergeCell ref="A9:M9"/>
    <mergeCell ref="B256:M256"/>
    <mergeCell ref="B259:B260"/>
    <mergeCell ref="B261:B266"/>
    <mergeCell ref="B267:B269"/>
    <mergeCell ref="B251:B252"/>
    <mergeCell ref="B248:M248"/>
    <mergeCell ref="B13:M13"/>
    <mergeCell ref="B53:M53"/>
    <mergeCell ref="B91:M91"/>
    <mergeCell ref="B153:M153"/>
    <mergeCell ref="B26:M26"/>
    <mergeCell ref="B108:M108"/>
    <mergeCell ref="B148:M148"/>
    <mergeCell ref="B141:M141"/>
    <mergeCell ref="B136:M136"/>
  </mergeCells>
  <phoneticPr fontId="6" type="noConversion"/>
  <pageMargins left="0.511811024" right="0.511811024" top="0.78740157499999996" bottom="0.78740157499999996" header="0.31496062000000002" footer="0.31496062000000002"/>
  <pageSetup paperSize="9" scale="66" orientation="portrait" horizontalDpi="1200" verticalDpi="1200" r:id="rId1"/>
  <rowBreaks count="3" manualBreakCount="3">
    <brk id="107" max="12" man="1"/>
    <brk id="170" max="12" man="1"/>
    <brk id="234" max="1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view="pageBreakPreview" topLeftCell="A4" zoomScale="90" zoomScaleSheetLayoutView="90" workbookViewId="0">
      <selection activeCell="A11" sqref="A11:J11"/>
    </sheetView>
  </sheetViews>
  <sheetFormatPr defaultRowHeight="12.75" x14ac:dyDescent="0.2"/>
  <cols>
    <col min="2" max="2" width="9.7109375" customWidth="1"/>
    <col min="3" max="4" width="11.28515625" customWidth="1"/>
    <col min="5" max="5" width="11.5703125" customWidth="1"/>
    <col min="6" max="6" width="13.42578125" customWidth="1"/>
    <col min="7" max="7" width="14.28515625" customWidth="1"/>
    <col min="8" max="8" width="13" customWidth="1"/>
    <col min="9" max="9" width="12.42578125" customWidth="1"/>
    <col min="10" max="10"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ht="15.75" customHeight="1" x14ac:dyDescent="0.2">
      <c r="A3" s="1316" t="s">
        <v>79</v>
      </c>
      <c r="B3" s="1317"/>
      <c r="C3" s="1321" t="str">
        <f>ORÇ!B2</f>
        <v>PREFEITURA MUNICIPAL DE OURÉM</v>
      </c>
      <c r="D3" s="1738"/>
      <c r="E3" s="1322"/>
      <c r="F3" s="1326" t="s">
        <v>85</v>
      </c>
      <c r="G3" s="1327"/>
      <c r="H3" s="1819" t="str">
        <f>ORÇ!I2</f>
        <v>OURÉM/PA</v>
      </c>
      <c r="I3" s="1820"/>
      <c r="J3" s="1821"/>
    </row>
    <row r="4" spans="1:11" ht="15.75" customHeight="1" x14ac:dyDescent="0.2">
      <c r="A4" s="1316" t="s">
        <v>80</v>
      </c>
      <c r="B4" s="1317"/>
      <c r="C4" s="1321" t="str">
        <f>ORÇ!B3</f>
        <v>CONSTRUÇÃO DO CENTRO DE FISIOTERAPIA, NO MUNICÍPIO DE OURÉM/PA</v>
      </c>
      <c r="D4" s="1738"/>
      <c r="E4" s="1738"/>
      <c r="F4" s="1738"/>
      <c r="G4" s="1738"/>
      <c r="H4" s="1738"/>
      <c r="I4" s="1738"/>
      <c r="J4" s="1322"/>
    </row>
    <row r="5" spans="1:11" ht="15.75" customHeight="1" x14ac:dyDescent="0.2">
      <c r="A5" s="1316" t="s">
        <v>161</v>
      </c>
      <c r="B5" s="1317"/>
      <c r="C5" s="1808" t="str">
        <f>ORÇ!B4</f>
        <v>AV. PADRE ANGELO MORETTE, S/Nº - OURÉM/PA</v>
      </c>
      <c r="D5" s="1809"/>
      <c r="E5" s="1809"/>
      <c r="F5" s="1809"/>
      <c r="G5" s="1809"/>
      <c r="H5" s="1809"/>
      <c r="I5" s="1809"/>
      <c r="J5" s="1810"/>
    </row>
    <row r="6" spans="1:11" ht="29.25"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11" ht="27" customHeight="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16.5" customHeight="1" thickBot="1" x14ac:dyDescent="0.25">
      <c r="A9" s="1674" t="str">
        <f>CONCATENATE("MEMÓRIA DE CÁLCULO ",ORÇ!A429)</f>
        <v>MEMÓRIA DE CÁLCULO 15</v>
      </c>
      <c r="B9" s="1675"/>
      <c r="C9" s="1675"/>
      <c r="D9" s="1675"/>
      <c r="E9" s="1675"/>
      <c r="F9" s="1675"/>
      <c r="G9" s="1675"/>
      <c r="H9" s="1675"/>
      <c r="I9" s="1675"/>
      <c r="J9" s="1676"/>
      <c r="K9" s="67"/>
    </row>
    <row r="10" spans="1:11" ht="16.5" customHeight="1" x14ac:dyDescent="0.2">
      <c r="A10" s="1677" t="str">
        <f>ORÇ!D429</f>
        <v>Sauna</v>
      </c>
      <c r="B10" s="1677"/>
      <c r="C10" s="1677"/>
      <c r="D10" s="1677"/>
      <c r="E10" s="1677"/>
      <c r="F10" s="1677"/>
      <c r="G10" s="1677"/>
      <c r="H10" s="1677"/>
      <c r="I10" s="1677"/>
      <c r="J10" s="1677"/>
      <c r="K10" s="126"/>
    </row>
    <row r="11" spans="1:11" ht="15.75" customHeight="1" x14ac:dyDescent="0.2">
      <c r="A11" s="30">
        <f>ORÇ!A429</f>
        <v>15</v>
      </c>
      <c r="B11" s="704" t="str">
        <f>ORÇ!D429</f>
        <v>Sauna</v>
      </c>
      <c r="C11" s="183"/>
      <c r="D11" s="198"/>
      <c r="E11" s="198"/>
      <c r="F11" s="198"/>
      <c r="G11" s="198"/>
      <c r="H11" s="198"/>
      <c r="I11" s="198"/>
      <c r="J11" s="198"/>
    </row>
    <row r="12" spans="1:11" ht="15.75" customHeight="1" x14ac:dyDescent="0.2">
      <c r="A12" s="30" t="str">
        <f>ORÇ!A430</f>
        <v>15.1</v>
      </c>
      <c r="B12" s="750" t="str">
        <f>ORÇ!D430</f>
        <v>Acessórios</v>
      </c>
      <c r="C12" s="183"/>
      <c r="D12" s="198"/>
      <c r="E12" s="198"/>
      <c r="F12" s="198"/>
      <c r="G12" s="198"/>
      <c r="H12" s="198"/>
      <c r="I12" s="198"/>
      <c r="J12" s="198"/>
    </row>
    <row r="13" spans="1:11" s="790" customFormat="1" ht="45.75" customHeight="1" x14ac:dyDescent="0.2">
      <c r="A13" s="788" t="str">
        <f>ORÇ!A431</f>
        <v>15.1.1</v>
      </c>
      <c r="B13" s="1710" t="str">
        <f>ORÇ!D431</f>
        <v>RESPIRO SUPERIOR/INFERIOR PARA SAUNA, INCLUSO RALO TIPO ABRE E FECHA PROPRIO PARA INSTALAÇÃO EM PAREDE E TUBULAÇÃO INSTALADA COM INCLINAÇÃO MINIMA, DE MODO A EVITAR GOTEJAMENTO. FORNECIMENTO E INSTALAÇÃO.</v>
      </c>
      <c r="C13" s="1710"/>
      <c r="D13" s="1710"/>
      <c r="E13" s="1710"/>
      <c r="F13" s="1710"/>
      <c r="G13" s="1710"/>
      <c r="H13" s="1710"/>
      <c r="I13" s="1710"/>
      <c r="J13" s="1710"/>
    </row>
    <row r="14" spans="1:11" x14ac:dyDescent="0.2">
      <c r="A14" s="791"/>
      <c r="B14" s="99"/>
      <c r="C14" s="196"/>
      <c r="D14" s="196"/>
      <c r="E14" s="196"/>
      <c r="F14" s="196"/>
      <c r="G14" s="196"/>
      <c r="H14" s="196"/>
      <c r="I14" s="196"/>
      <c r="J14" s="196"/>
    </row>
    <row r="15" spans="1:11" s="566" customFormat="1" x14ac:dyDescent="0.2">
      <c r="A15" s="557"/>
      <c r="B15" s="592"/>
      <c r="C15" s="2" t="s">
        <v>469</v>
      </c>
      <c r="D15" s="592"/>
      <c r="E15" s="592"/>
      <c r="F15" s="592"/>
      <c r="G15" s="592"/>
      <c r="H15" s="592"/>
      <c r="I15" s="592"/>
      <c r="J15" s="592"/>
    </row>
    <row r="16" spans="1:11" s="554" customFormat="1" x14ac:dyDescent="0.2">
      <c r="A16" s="572"/>
      <c r="B16" s="427" t="s">
        <v>1288</v>
      </c>
      <c r="C16" s="798">
        <v>1</v>
      </c>
      <c r="D16" s="572"/>
      <c r="E16" s="572"/>
      <c r="F16" s="572"/>
      <c r="G16" s="572"/>
      <c r="H16" s="572"/>
      <c r="I16" s="572"/>
      <c r="J16" s="572"/>
    </row>
    <row r="17" spans="1:10" s="554" customFormat="1" x14ac:dyDescent="0.2">
      <c r="A17" s="572"/>
      <c r="B17" s="800" t="s">
        <v>1289</v>
      </c>
      <c r="C17" s="799">
        <v>1</v>
      </c>
      <c r="D17" s="792"/>
      <c r="E17" s="572"/>
      <c r="F17" s="572"/>
      <c r="G17" s="572"/>
      <c r="H17" s="572"/>
      <c r="I17" s="572"/>
      <c r="J17" s="572"/>
    </row>
    <row r="18" spans="1:10" s="554" customFormat="1" x14ac:dyDescent="0.2">
      <c r="A18" s="572"/>
      <c r="B18" s="572"/>
      <c r="C18" s="572"/>
      <c r="D18" s="572"/>
      <c r="E18" s="572"/>
      <c r="F18" s="572"/>
      <c r="G18" s="572"/>
      <c r="H18" s="572"/>
      <c r="I18" s="572"/>
      <c r="J18" s="572"/>
    </row>
    <row r="19" spans="1:10" s="572" customFormat="1" x14ac:dyDescent="0.2">
      <c r="A19" s="557"/>
      <c r="B19" s="795" t="s">
        <v>47</v>
      </c>
      <c r="C19" s="797">
        <f>ROUND(SUM(C16:C17),2)</f>
        <v>2</v>
      </c>
      <c r="D19" s="796" t="s">
        <v>668</v>
      </c>
      <c r="E19" s="592"/>
      <c r="F19" s="592"/>
      <c r="G19" s="592"/>
      <c r="H19" s="592"/>
      <c r="I19" s="592"/>
      <c r="J19" s="592"/>
    </row>
    <row r="20" spans="1:10" s="471" customFormat="1" x14ac:dyDescent="0.2"/>
    <row r="21" spans="1:10" ht="15.75" customHeight="1" x14ac:dyDescent="0.2">
      <c r="A21" s="30" t="str">
        <f>ORÇ!A432</f>
        <v>15.1.2</v>
      </c>
      <c r="B21" s="1712" t="str">
        <f>ORÇ!D432</f>
        <v>LUMINÁRIA TIPO ARANDELA- CASCO DE TARTARUGA</v>
      </c>
      <c r="C21" s="1712"/>
      <c r="D21" s="1712"/>
      <c r="E21" s="1712"/>
      <c r="F21" s="1712"/>
      <c r="G21" s="1712"/>
      <c r="H21" s="1712"/>
      <c r="I21" s="1712"/>
      <c r="J21" s="1712"/>
    </row>
    <row r="22" spans="1:10" x14ac:dyDescent="0.2">
      <c r="A22" s="791"/>
      <c r="B22" s="99"/>
      <c r="C22" s="196"/>
      <c r="D22" s="196"/>
      <c r="E22" s="196"/>
      <c r="F22" s="196"/>
      <c r="G22" s="196"/>
      <c r="H22" s="196"/>
      <c r="I22" s="196"/>
      <c r="J22" s="196"/>
    </row>
    <row r="23" spans="1:10" s="566" customFormat="1" x14ac:dyDescent="0.2">
      <c r="A23" s="557"/>
      <c r="B23" s="592"/>
      <c r="C23" s="2" t="s">
        <v>469</v>
      </c>
      <c r="D23" s="592"/>
      <c r="E23" s="592"/>
      <c r="F23" s="592"/>
      <c r="G23" s="592"/>
      <c r="H23" s="592"/>
      <c r="I23" s="592"/>
      <c r="J23" s="592"/>
    </row>
    <row r="24" spans="1:10" s="554" customFormat="1" x14ac:dyDescent="0.2">
      <c r="A24" s="572"/>
      <c r="B24" s="427" t="s">
        <v>541</v>
      </c>
      <c r="C24" s="798">
        <v>2</v>
      </c>
      <c r="D24" s="572"/>
      <c r="E24" s="572"/>
      <c r="F24" s="572"/>
      <c r="G24" s="572"/>
      <c r="H24" s="572"/>
      <c r="I24" s="572"/>
      <c r="J24" s="572"/>
    </row>
    <row r="25" spans="1:10" s="554" customFormat="1" x14ac:dyDescent="0.2">
      <c r="A25" s="572"/>
      <c r="B25" s="572"/>
      <c r="C25" s="572"/>
      <c r="D25" s="572"/>
      <c r="E25" s="572"/>
      <c r="F25" s="572"/>
      <c r="G25" s="572"/>
      <c r="H25" s="572"/>
      <c r="I25" s="572"/>
      <c r="J25" s="572"/>
    </row>
    <row r="26" spans="1:10" s="572" customFormat="1" x14ac:dyDescent="0.2">
      <c r="A26" s="557"/>
      <c r="B26" s="795" t="s">
        <v>47</v>
      </c>
      <c r="C26" s="797">
        <f>ROUND(SUM(C24:C24),2)</f>
        <v>2</v>
      </c>
      <c r="D26" s="796" t="s">
        <v>834</v>
      </c>
      <c r="E26" s="592"/>
      <c r="F26" s="592"/>
      <c r="G26" s="592"/>
      <c r="H26" s="592"/>
      <c r="I26" s="592"/>
      <c r="J26" s="592"/>
    </row>
    <row r="27" spans="1:10" s="471" customFormat="1" x14ac:dyDescent="0.2"/>
    <row r="28" spans="1:10" ht="15.75" customHeight="1" x14ac:dyDescent="0.2">
      <c r="A28" s="30" t="str">
        <f>ORÇ!A433</f>
        <v>15.1.3</v>
      </c>
      <c r="B28" s="1712" t="str">
        <f>ORÇ!D433</f>
        <v>TORNEIRA CROMADA LONGA, DE PAREDE, 1/2 OU 3/4, PADRÃO POPULAR - FORNECIMENTO E INSTALAÇÃO. AF_01/2020</v>
      </c>
      <c r="C28" s="1712"/>
      <c r="D28" s="1712"/>
      <c r="E28" s="1712"/>
      <c r="F28" s="1712"/>
      <c r="G28" s="1712"/>
      <c r="H28" s="1712"/>
      <c r="I28" s="1712"/>
      <c r="J28" s="1712"/>
    </row>
    <row r="29" spans="1:10" x14ac:dyDescent="0.2">
      <c r="A29" s="791"/>
      <c r="B29" s="99"/>
      <c r="C29" s="196"/>
      <c r="D29" s="196"/>
      <c r="E29" s="196"/>
      <c r="F29" s="196"/>
      <c r="G29" s="196"/>
      <c r="H29" s="196"/>
      <c r="I29" s="196"/>
      <c r="J29" s="196"/>
    </row>
    <row r="30" spans="1:10" s="566" customFormat="1" x14ac:dyDescent="0.2">
      <c r="A30" s="557"/>
      <c r="B30" s="592"/>
      <c r="C30" s="2" t="s">
        <v>469</v>
      </c>
      <c r="D30" s="592"/>
      <c r="E30" s="592"/>
      <c r="F30" s="592"/>
      <c r="G30" s="592"/>
      <c r="H30" s="592"/>
      <c r="I30" s="592"/>
      <c r="J30" s="592"/>
    </row>
    <row r="31" spans="1:10" s="554" customFormat="1" x14ac:dyDescent="0.2">
      <c r="A31" s="572"/>
      <c r="B31" s="427" t="s">
        <v>541</v>
      </c>
      <c r="C31" s="798">
        <v>1</v>
      </c>
      <c r="D31" s="572"/>
      <c r="E31" s="572"/>
      <c r="F31" s="572"/>
      <c r="G31" s="572"/>
      <c r="H31" s="572"/>
      <c r="I31" s="572"/>
      <c r="J31" s="572"/>
    </row>
    <row r="32" spans="1:10" s="554" customFormat="1" x14ac:dyDescent="0.2">
      <c r="A32" s="572"/>
      <c r="B32" s="572"/>
      <c r="C32" s="572"/>
      <c r="D32" s="572"/>
      <c r="E32" s="572"/>
      <c r="F32" s="572"/>
      <c r="G32" s="572"/>
      <c r="H32" s="572"/>
      <c r="I32" s="572"/>
      <c r="J32" s="572"/>
    </row>
    <row r="33" spans="1:10" s="572" customFormat="1" x14ac:dyDescent="0.2">
      <c r="A33" s="557"/>
      <c r="B33" s="795" t="s">
        <v>47</v>
      </c>
      <c r="C33" s="797">
        <f>ROUND(SUM(C31:C31),2)</f>
        <v>1</v>
      </c>
      <c r="D33" s="796" t="s">
        <v>834</v>
      </c>
      <c r="E33" s="592"/>
      <c r="F33" s="592"/>
      <c r="G33" s="592"/>
      <c r="H33" s="592"/>
      <c r="I33" s="592"/>
      <c r="J33" s="592"/>
    </row>
    <row r="34" spans="1:10" s="471" customFormat="1" x14ac:dyDescent="0.2"/>
    <row r="35" spans="1:10" s="139" customFormat="1" ht="15.75" customHeight="1" x14ac:dyDescent="0.2">
      <c r="A35" s="226" t="str">
        <f>ORÇ!A434</f>
        <v>15.2</v>
      </c>
      <c r="B35" s="5" t="str">
        <f>ORÇ!D434</f>
        <v>Banco</v>
      </c>
      <c r="C35" s="337"/>
      <c r="D35" s="420"/>
      <c r="E35" s="420"/>
      <c r="F35" s="420"/>
      <c r="G35" s="420"/>
      <c r="H35" s="420"/>
      <c r="I35" s="420"/>
      <c r="J35" s="420"/>
    </row>
    <row r="36" spans="1:10" s="139" customFormat="1" ht="15.75" customHeight="1" x14ac:dyDescent="0.2">
      <c r="A36" s="226"/>
      <c r="B36" s="5"/>
      <c r="C36" s="337"/>
      <c r="D36" s="420"/>
      <c r="E36" s="420"/>
      <c r="F36" s="420"/>
      <c r="G36" s="420"/>
      <c r="H36" s="420"/>
      <c r="I36" s="420"/>
      <c r="J36" s="420"/>
    </row>
    <row r="37" spans="1:10" s="139" customFormat="1" ht="15.75" customHeight="1" x14ac:dyDescent="0.2">
      <c r="A37" s="226"/>
      <c r="B37" s="5"/>
      <c r="C37" s="337"/>
      <c r="D37" s="420"/>
      <c r="E37" s="420"/>
      <c r="F37" s="420"/>
      <c r="G37" s="420"/>
      <c r="H37" s="420"/>
      <c r="I37" s="420"/>
      <c r="J37" s="420"/>
    </row>
    <row r="38" spans="1:10" s="139" customFormat="1" ht="15.75" customHeight="1" x14ac:dyDescent="0.2">
      <c r="A38" s="226"/>
      <c r="B38" s="5"/>
      <c r="C38" s="337"/>
      <c r="D38" s="420"/>
      <c r="E38" s="420"/>
      <c r="F38" s="420"/>
      <c r="G38" s="420"/>
      <c r="H38" s="420"/>
      <c r="I38" s="420"/>
      <c r="J38" s="420"/>
    </row>
    <row r="39" spans="1:10" s="139" customFormat="1" ht="15.75" customHeight="1" x14ac:dyDescent="0.2">
      <c r="A39" s="226"/>
      <c r="B39" s="5"/>
      <c r="C39" s="337"/>
      <c r="D39" s="420"/>
      <c r="E39" s="420"/>
      <c r="F39" s="420"/>
      <c r="G39" s="420"/>
      <c r="H39" s="420"/>
      <c r="I39" s="420"/>
      <c r="J39" s="420"/>
    </row>
    <row r="40" spans="1:10" s="139" customFormat="1" ht="15.75" customHeight="1" x14ac:dyDescent="0.2">
      <c r="A40" s="226"/>
      <c r="B40" s="5"/>
      <c r="C40" s="337"/>
      <c r="D40" s="420"/>
      <c r="E40" s="420"/>
      <c r="F40" s="420"/>
      <c r="G40" s="420"/>
      <c r="H40" s="420"/>
      <c r="I40" s="420"/>
      <c r="J40" s="420"/>
    </row>
    <row r="41" spans="1:10" s="139" customFormat="1" ht="15.75" customHeight="1" x14ac:dyDescent="0.2">
      <c r="A41" s="226"/>
      <c r="B41" s="5"/>
      <c r="C41" s="337"/>
      <c r="D41" s="420"/>
      <c r="E41" s="420"/>
      <c r="F41" s="420"/>
      <c r="G41" s="420"/>
      <c r="H41" s="420"/>
      <c r="I41" s="420"/>
      <c r="J41" s="420"/>
    </row>
    <row r="42" spans="1:10" s="139" customFormat="1" ht="15.75" customHeight="1" x14ac:dyDescent="0.2">
      <c r="A42" s="226"/>
      <c r="B42" s="5"/>
      <c r="C42" s="337"/>
      <c r="D42" s="420"/>
      <c r="E42" s="420"/>
      <c r="F42" s="420"/>
      <c r="G42" s="420"/>
      <c r="H42" s="420"/>
      <c r="I42" s="420"/>
      <c r="J42" s="420"/>
    </row>
    <row r="43" spans="1:10" s="139" customFormat="1" ht="15.75" customHeight="1" x14ac:dyDescent="0.2">
      <c r="A43" s="226"/>
      <c r="B43" s="5"/>
      <c r="C43" s="337"/>
      <c r="D43" s="420"/>
      <c r="E43" s="420"/>
      <c r="F43" s="420"/>
      <c r="G43" s="420"/>
      <c r="H43" s="420"/>
      <c r="I43" s="420"/>
      <c r="J43" s="420"/>
    </row>
    <row r="44" spans="1:10" s="139" customFormat="1" ht="15.75" customHeight="1" x14ac:dyDescent="0.2">
      <c r="A44" s="226"/>
      <c r="B44" s="5"/>
      <c r="C44" s="337"/>
      <c r="D44" s="420"/>
      <c r="E44" s="420"/>
      <c r="F44" s="420"/>
      <c r="G44" s="420"/>
      <c r="H44" s="420"/>
      <c r="I44" s="420"/>
      <c r="J44" s="420"/>
    </row>
    <row r="45" spans="1:10" s="139" customFormat="1" ht="27.75" customHeight="1" x14ac:dyDescent="0.2">
      <c r="A45" s="226" t="str">
        <f>ORÇ!A435</f>
        <v>15.2.1</v>
      </c>
      <c r="B45" s="1710" t="str">
        <f>ORÇ!D435</f>
        <v>PEÇA RETANGULAR PRÉ-MOLDADA, VOLUME DE CONCRETO DE ATÉ 10 LITROS, TAXA DE AÇO APROXIMADA DE 30KG/M³. AF_01/2018</v>
      </c>
      <c r="C45" s="1710"/>
      <c r="D45" s="1710"/>
      <c r="E45" s="1710"/>
      <c r="F45" s="1710"/>
      <c r="G45" s="1710"/>
      <c r="H45" s="1710"/>
      <c r="I45" s="1710"/>
      <c r="J45" s="1710"/>
    </row>
    <row r="46" spans="1:10" x14ac:dyDescent="0.2">
      <c r="A46" s="791"/>
      <c r="B46" s="99"/>
      <c r="C46" s="196"/>
      <c r="D46" s="196"/>
      <c r="E46" s="196"/>
      <c r="F46" s="196"/>
      <c r="G46" s="196"/>
      <c r="H46" s="196"/>
      <c r="I46" s="196"/>
      <c r="J46" s="196"/>
    </row>
    <row r="47" spans="1:10" s="566" customFormat="1" x14ac:dyDescent="0.2">
      <c r="A47" s="557"/>
      <c r="B47" s="592"/>
      <c r="C47" s="749" t="s">
        <v>753</v>
      </c>
      <c r="D47" s="749"/>
      <c r="E47" s="749" t="s">
        <v>311</v>
      </c>
      <c r="F47" s="749"/>
      <c r="G47" s="749" t="s">
        <v>414</v>
      </c>
      <c r="H47" s="749"/>
      <c r="I47" s="749" t="s">
        <v>312</v>
      </c>
      <c r="J47" s="592"/>
    </row>
    <row r="48" spans="1:10" s="554" customFormat="1" x14ac:dyDescent="0.2">
      <c r="A48" s="572"/>
      <c r="B48" s="1769" t="s">
        <v>1292</v>
      </c>
      <c r="C48" s="798">
        <v>2</v>
      </c>
      <c r="D48" s="801" t="s">
        <v>45</v>
      </c>
      <c r="E48" s="798">
        <v>0.3</v>
      </c>
      <c r="F48" s="801" t="s">
        <v>45</v>
      </c>
      <c r="G48" s="798">
        <v>0.1</v>
      </c>
      <c r="H48" s="801" t="s">
        <v>46</v>
      </c>
      <c r="I48" s="798">
        <f>ROUND(C48*E48*G48,2)</f>
        <v>0.06</v>
      </c>
      <c r="J48" s="572"/>
    </row>
    <row r="49" spans="1:10" s="554" customFormat="1" x14ac:dyDescent="0.2">
      <c r="A49" s="572"/>
      <c r="B49" s="1804"/>
      <c r="C49" s="798">
        <v>0.4</v>
      </c>
      <c r="D49" s="801" t="s">
        <v>45</v>
      </c>
      <c r="E49" s="798">
        <v>0.3</v>
      </c>
      <c r="F49" s="801" t="s">
        <v>45</v>
      </c>
      <c r="G49" s="798">
        <v>0.1</v>
      </c>
      <c r="H49" s="801" t="s">
        <v>46</v>
      </c>
      <c r="I49" s="798">
        <f t="shared" ref="I49:I53" si="0">ROUND(C49*E49*G49,2)</f>
        <v>0.01</v>
      </c>
      <c r="J49" s="572"/>
    </row>
    <row r="50" spans="1:10" s="554" customFormat="1" x14ac:dyDescent="0.2">
      <c r="A50" s="572"/>
      <c r="B50" s="1804"/>
      <c r="C50" s="798">
        <v>0.4</v>
      </c>
      <c r="D50" s="801" t="s">
        <v>45</v>
      </c>
      <c r="E50" s="798">
        <v>0.3</v>
      </c>
      <c r="F50" s="801" t="s">
        <v>45</v>
      </c>
      <c r="G50" s="798">
        <v>0.1</v>
      </c>
      <c r="H50" s="801" t="s">
        <v>46</v>
      </c>
      <c r="I50" s="798">
        <f t="shared" si="0"/>
        <v>0.01</v>
      </c>
      <c r="J50" s="572"/>
    </row>
    <row r="51" spans="1:10" s="554" customFormat="1" x14ac:dyDescent="0.2">
      <c r="A51" s="572"/>
      <c r="B51" s="1770"/>
      <c r="C51" s="798">
        <v>0.4</v>
      </c>
      <c r="D51" s="801" t="s">
        <v>45</v>
      </c>
      <c r="E51" s="798">
        <v>0.3</v>
      </c>
      <c r="F51" s="801" t="s">
        <v>45</v>
      </c>
      <c r="G51" s="798">
        <v>0.1</v>
      </c>
      <c r="H51" s="801" t="s">
        <v>46</v>
      </c>
      <c r="I51" s="798">
        <f t="shared" si="0"/>
        <v>0.01</v>
      </c>
      <c r="J51" s="572"/>
    </row>
    <row r="52" spans="1:10" s="566" customFormat="1" x14ac:dyDescent="0.2">
      <c r="A52" s="557"/>
      <c r="B52" s="592"/>
      <c r="C52" s="749" t="s">
        <v>753</v>
      </c>
      <c r="D52" s="749"/>
      <c r="E52" s="749" t="s">
        <v>405</v>
      </c>
      <c r="F52" s="749"/>
      <c r="G52" s="749" t="s">
        <v>414</v>
      </c>
      <c r="H52" s="749"/>
      <c r="I52" s="749" t="s">
        <v>312</v>
      </c>
      <c r="J52" s="592"/>
    </row>
    <row r="53" spans="1:10" s="554" customFormat="1" ht="19.5" customHeight="1" x14ac:dyDescent="0.2">
      <c r="A53" s="572"/>
      <c r="B53" s="804" t="s">
        <v>1293</v>
      </c>
      <c r="C53" s="493">
        <v>2</v>
      </c>
      <c r="D53" s="491" t="s">
        <v>45</v>
      </c>
      <c r="E53" s="493">
        <v>0.5</v>
      </c>
      <c r="F53" s="491" t="s">
        <v>45</v>
      </c>
      <c r="G53" s="493">
        <v>0.1</v>
      </c>
      <c r="H53" s="491" t="s">
        <v>46</v>
      </c>
      <c r="I53" s="493">
        <f t="shared" si="0"/>
        <v>0.1</v>
      </c>
      <c r="J53" s="572"/>
    </row>
    <row r="54" spans="1:10" s="572" customFormat="1" x14ac:dyDescent="0.2"/>
    <row r="55" spans="1:10" s="21" customFormat="1" x14ac:dyDescent="0.2">
      <c r="B55" s="786" t="s">
        <v>47</v>
      </c>
      <c r="C55" s="803">
        <f>ROUND(SUM(I48:I54),2)</f>
        <v>0.19</v>
      </c>
      <c r="D55" s="802" t="s">
        <v>497</v>
      </c>
    </row>
    <row r="56" spans="1:10" s="21" customFormat="1" x14ac:dyDescent="0.2"/>
    <row r="57" spans="1:10" s="139" customFormat="1" ht="42.75" customHeight="1" x14ac:dyDescent="0.2">
      <c r="A57" s="226" t="str">
        <f>ORÇ!A436</f>
        <v>15.2.2</v>
      </c>
      <c r="B57" s="1710" t="str">
        <f>ORÇ!D436</f>
        <v xml:space="preserve">REVESTIMENTO CERÂMICO PARA PAREDES INTERNAS COM PLACAS TIPO ESMALTADA PADRÃO POPULAR DE DIMENSÕES 20X20 CM, ARGAMASSA TIPO AC I, APLICADAS EM AMBIENTES DE ÁREA MAIOR QUE 5 M2 NA ALTURA INTEIRA DAS PAREDES. AF_06/2014 </v>
      </c>
      <c r="C57" s="1710"/>
      <c r="D57" s="1710"/>
      <c r="E57" s="1710"/>
      <c r="F57" s="1710"/>
      <c r="G57" s="1710"/>
      <c r="H57" s="1710"/>
      <c r="I57" s="1710"/>
      <c r="J57" s="1710"/>
    </row>
    <row r="58" spans="1:10" x14ac:dyDescent="0.2">
      <c r="A58" s="791"/>
      <c r="B58" s="99"/>
      <c r="C58" s="196"/>
      <c r="D58" s="196"/>
      <c r="E58" s="196"/>
      <c r="F58" s="196"/>
      <c r="G58" s="196"/>
      <c r="H58" s="196"/>
      <c r="I58" s="196"/>
      <c r="J58" s="196"/>
    </row>
    <row r="59" spans="1:10" s="566" customFormat="1" x14ac:dyDescent="0.2">
      <c r="A59" s="557"/>
      <c r="B59" s="592"/>
      <c r="C59" s="749" t="s">
        <v>753</v>
      </c>
      <c r="D59" s="749"/>
      <c r="E59" s="749" t="s">
        <v>311</v>
      </c>
      <c r="F59" s="749"/>
      <c r="G59" s="749" t="s">
        <v>213</v>
      </c>
      <c r="J59" s="592"/>
    </row>
    <row r="60" spans="1:10" s="554" customFormat="1" x14ac:dyDescent="0.2">
      <c r="A60" s="572"/>
      <c r="B60" s="752" t="s">
        <v>1292</v>
      </c>
      <c r="C60" s="798">
        <v>2</v>
      </c>
      <c r="D60" s="801" t="s">
        <v>45</v>
      </c>
      <c r="E60" s="798">
        <v>0.3</v>
      </c>
      <c r="F60" s="801" t="s">
        <v>46</v>
      </c>
      <c r="G60" s="798">
        <f>ROUND(C60*E60,2)</f>
        <v>0.6</v>
      </c>
      <c r="J60" s="572"/>
    </row>
    <row r="61" spans="1:10" s="554" customFormat="1" ht="19.5" customHeight="1" x14ac:dyDescent="0.2">
      <c r="A61" s="572"/>
      <c r="B61" s="804" t="s">
        <v>1293</v>
      </c>
      <c r="C61" s="493">
        <v>2</v>
      </c>
      <c r="D61" s="491" t="s">
        <v>45</v>
      </c>
      <c r="E61" s="493">
        <v>0.5</v>
      </c>
      <c r="F61" s="491" t="s">
        <v>46</v>
      </c>
      <c r="G61" s="798">
        <f>ROUND(C61*E61,2)</f>
        <v>1</v>
      </c>
      <c r="J61" s="572"/>
    </row>
    <row r="62" spans="1:10" s="572" customFormat="1" x14ac:dyDescent="0.2"/>
    <row r="63" spans="1:10" s="21" customFormat="1" x14ac:dyDescent="0.2">
      <c r="B63" s="786" t="s">
        <v>47</v>
      </c>
      <c r="C63" s="803">
        <f>ROUND(SUM(G60:G62),2)</f>
        <v>1.6</v>
      </c>
      <c r="D63" s="802" t="s">
        <v>4</v>
      </c>
    </row>
    <row r="64" spans="1:10" s="566" customFormat="1" x14ac:dyDescent="0.2">
      <c r="A64" s="557"/>
      <c r="B64" s="592"/>
      <c r="C64" s="592"/>
      <c r="D64" s="592"/>
      <c r="E64" s="592"/>
      <c r="F64" s="592"/>
      <c r="G64" s="592"/>
      <c r="H64" s="592"/>
      <c r="I64" s="592"/>
      <c r="J64" s="592"/>
    </row>
    <row r="65" spans="1:10" s="554" customFormat="1" x14ac:dyDescent="0.2">
      <c r="A65" s="572"/>
      <c r="B65" s="572"/>
      <c r="C65" s="572"/>
      <c r="D65" s="572"/>
      <c r="E65" s="572"/>
      <c r="F65" s="572"/>
      <c r="G65" s="572"/>
      <c r="H65" s="572"/>
      <c r="I65" s="572"/>
      <c r="J65" s="572"/>
    </row>
    <row r="66" spans="1:10" s="554" customFormat="1" x14ac:dyDescent="0.2">
      <c r="A66" s="572"/>
      <c r="B66" s="792"/>
      <c r="C66" s="792"/>
      <c r="D66" s="792"/>
      <c r="E66" s="572"/>
      <c r="F66" s="572"/>
      <c r="G66" s="572"/>
      <c r="H66" s="572"/>
      <c r="I66" s="572"/>
      <c r="J66" s="572"/>
    </row>
    <row r="67" spans="1:10" s="554" customFormat="1" x14ac:dyDescent="0.2">
      <c r="A67" s="572"/>
      <c r="B67" s="572"/>
      <c r="C67" s="572"/>
      <c r="D67" s="572"/>
      <c r="E67" s="572"/>
      <c r="F67" s="572"/>
      <c r="G67" s="572"/>
      <c r="H67" s="572"/>
      <c r="I67" s="572"/>
      <c r="J67" s="572"/>
    </row>
    <row r="68" spans="1:10" s="572" customFormat="1" x14ac:dyDescent="0.2">
      <c r="A68" s="557"/>
      <c r="B68" s="592"/>
      <c r="C68" s="592"/>
      <c r="D68" s="592"/>
      <c r="E68" s="592"/>
      <c r="F68" s="592"/>
      <c r="G68" s="592"/>
      <c r="H68" s="592"/>
      <c r="I68" s="592"/>
      <c r="J68" s="592"/>
    </row>
    <row r="69" spans="1:10" s="572" customFormat="1" x14ac:dyDescent="0.2"/>
    <row r="70" spans="1:10" s="21" customFormat="1" x14ac:dyDescent="0.2"/>
    <row r="71" spans="1:10" s="471" customFormat="1" x14ac:dyDescent="0.2"/>
  </sheetData>
  <mergeCells count="25">
    <mergeCell ref="A4:B4"/>
    <mergeCell ref="C4:J4"/>
    <mergeCell ref="B13:J13"/>
    <mergeCell ref="B45:J45"/>
    <mergeCell ref="A1:J2"/>
    <mergeCell ref="A3:B3"/>
    <mergeCell ref="C3:E3"/>
    <mergeCell ref="F3:G3"/>
    <mergeCell ref="H3:J3"/>
    <mergeCell ref="A5:B5"/>
    <mergeCell ref="C5:J5"/>
    <mergeCell ref="A6:B6"/>
    <mergeCell ref="C6:D6"/>
    <mergeCell ref="E6:F6"/>
    <mergeCell ref="G6:J6"/>
    <mergeCell ref="B21:J21"/>
    <mergeCell ref="A10:J10"/>
    <mergeCell ref="B57:J57"/>
    <mergeCell ref="B48:B51"/>
    <mergeCell ref="A7:B7"/>
    <mergeCell ref="C7:D7"/>
    <mergeCell ref="E7:F7"/>
    <mergeCell ref="G7:J7"/>
    <mergeCell ref="A9:J9"/>
    <mergeCell ref="B28:J28"/>
  </mergeCells>
  <pageMargins left="0.51181102362204722" right="0.51181102362204722" top="0.78740157480314965" bottom="0.78740157480314965" header="0.31496062992125984" footer="0.31496062992125984"/>
  <pageSetup paperSize="9" scale="7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view="pageBreakPreview" topLeftCell="A103" zoomScale="90" zoomScaleSheetLayoutView="90" workbookViewId="0">
      <selection activeCell="A11" sqref="A11:J11"/>
    </sheetView>
  </sheetViews>
  <sheetFormatPr defaultRowHeight="12.75" x14ac:dyDescent="0.2"/>
  <cols>
    <col min="1" max="1" width="10" customWidth="1"/>
    <col min="2" max="2" width="11" customWidth="1"/>
    <col min="3" max="3" width="15" customWidth="1"/>
    <col min="4" max="4" width="11.28515625" customWidth="1"/>
    <col min="5" max="5" width="11.5703125" customWidth="1"/>
    <col min="6" max="6" width="15" customWidth="1"/>
    <col min="7" max="7" width="14.28515625" customWidth="1"/>
    <col min="8" max="8" width="13" customWidth="1"/>
    <col min="9" max="9" width="12.42578125" customWidth="1"/>
    <col min="10" max="10"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ht="15.75" customHeight="1" x14ac:dyDescent="0.2">
      <c r="A3" s="1316" t="s">
        <v>79</v>
      </c>
      <c r="B3" s="1317"/>
      <c r="C3" s="1321" t="str">
        <f>ORÇ!B2</f>
        <v>PREFEITURA MUNICIPAL DE OURÉM</v>
      </c>
      <c r="D3" s="1738"/>
      <c r="E3" s="1322"/>
      <c r="F3" s="1326" t="s">
        <v>85</v>
      </c>
      <c r="G3" s="1327"/>
      <c r="H3" s="1819" t="str">
        <f>ORÇ!I2</f>
        <v>OURÉM/PA</v>
      </c>
      <c r="I3" s="1820"/>
      <c r="J3" s="1821"/>
    </row>
    <row r="4" spans="1:11" ht="15.75" customHeight="1" x14ac:dyDescent="0.2">
      <c r="A4" s="1316" t="s">
        <v>80</v>
      </c>
      <c r="B4" s="1317"/>
      <c r="C4" s="1321" t="str">
        <f>ORÇ!B3</f>
        <v>CONSTRUÇÃO DO CENTRO DE FISIOTERAPIA, NO MUNICÍPIO DE OURÉM/PA</v>
      </c>
      <c r="D4" s="1738"/>
      <c r="E4" s="1738"/>
      <c r="F4" s="1738"/>
      <c r="G4" s="1738"/>
      <c r="H4" s="1738"/>
      <c r="I4" s="1738"/>
      <c r="J4" s="1322"/>
    </row>
    <row r="5" spans="1:11" ht="15.75" customHeight="1" x14ac:dyDescent="0.2">
      <c r="A5" s="1316" t="s">
        <v>161</v>
      </c>
      <c r="B5" s="1317"/>
      <c r="C5" s="1808" t="str">
        <f>ORÇ!B4</f>
        <v>AV. PADRE ANGELO MORETTE, S/Nº - OURÉM/PA</v>
      </c>
      <c r="D5" s="1809"/>
      <c r="E5" s="1809"/>
      <c r="F5" s="1809"/>
      <c r="G5" s="1809"/>
      <c r="H5" s="1809"/>
      <c r="I5" s="1809"/>
      <c r="J5" s="1810"/>
    </row>
    <row r="6" spans="1:11" ht="30"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11" ht="16.5" customHeight="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16.5" customHeight="1" thickBot="1" x14ac:dyDescent="0.25">
      <c r="A9" s="1674" t="str">
        <f>CONCATENATE("MEMÓRIA DE CÁLCULO ",ORÇ!A438)</f>
        <v>MEMÓRIA DE CÁLCULO 16</v>
      </c>
      <c r="B9" s="1675"/>
      <c r="C9" s="1675"/>
      <c r="D9" s="1675"/>
      <c r="E9" s="1675"/>
      <c r="F9" s="1675"/>
      <c r="G9" s="1675"/>
      <c r="H9" s="1675"/>
      <c r="I9" s="1675"/>
      <c r="J9" s="1676"/>
      <c r="K9" s="67"/>
    </row>
    <row r="10" spans="1:11" ht="16.5" customHeight="1" x14ac:dyDescent="0.2">
      <c r="A10" s="1677" t="str">
        <f>ORÇ!D438</f>
        <v>Muro e Gradil</v>
      </c>
      <c r="B10" s="1677"/>
      <c r="C10" s="1677"/>
      <c r="D10" s="1677"/>
      <c r="E10" s="1677"/>
      <c r="F10" s="1677"/>
      <c r="G10" s="1677"/>
      <c r="H10" s="1677"/>
      <c r="I10" s="1677"/>
      <c r="J10" s="1677"/>
      <c r="K10" s="126"/>
    </row>
    <row r="11" spans="1:11" ht="15.75" customHeight="1" x14ac:dyDescent="0.2">
      <c r="A11" s="30">
        <f>ORÇ!A438</f>
        <v>16</v>
      </c>
      <c r="B11" s="750" t="str">
        <f>ORÇ!D438</f>
        <v>Muro e Gradil</v>
      </c>
      <c r="C11" s="183"/>
      <c r="D11" s="198"/>
      <c r="E11" s="198"/>
      <c r="F11" s="198"/>
      <c r="G11" s="198"/>
      <c r="H11" s="198"/>
      <c r="I11" s="198"/>
      <c r="J11" s="198"/>
    </row>
    <row r="12" spans="1:11" ht="15.75" customHeight="1" x14ac:dyDescent="0.2">
      <c r="A12" s="30" t="str">
        <f>ORÇ!A439</f>
        <v>16.1</v>
      </c>
      <c r="B12" s="750" t="str">
        <f>ORÇ!D439</f>
        <v>Demolição e Retirada</v>
      </c>
      <c r="C12" s="183"/>
      <c r="D12" s="198"/>
      <c r="E12" s="198"/>
      <c r="F12" s="198"/>
      <c r="G12" s="198"/>
      <c r="H12" s="198"/>
      <c r="I12" s="198"/>
      <c r="J12" s="198"/>
    </row>
    <row r="13" spans="1:11" ht="15.75" customHeight="1" x14ac:dyDescent="0.2">
      <c r="A13" s="30"/>
      <c r="B13" s="775"/>
      <c r="C13" s="183"/>
      <c r="D13" s="198"/>
      <c r="E13" s="198"/>
      <c r="F13" s="198"/>
      <c r="G13" s="198"/>
      <c r="H13" s="198"/>
      <c r="I13" s="198"/>
      <c r="J13" s="198"/>
    </row>
    <row r="14" spans="1:11" ht="15.75" customHeight="1" x14ac:dyDescent="0.2">
      <c r="A14" s="30"/>
      <c r="B14" s="775"/>
      <c r="C14" s="183"/>
      <c r="D14" s="198"/>
      <c r="E14" s="198"/>
      <c r="F14" s="198"/>
      <c r="G14" s="198"/>
      <c r="H14" s="198"/>
      <c r="I14" s="198"/>
      <c r="J14" s="198"/>
    </row>
    <row r="15" spans="1:11" ht="15.75" customHeight="1" x14ac:dyDescent="0.2">
      <c r="A15" s="30"/>
      <c r="B15" s="775"/>
      <c r="C15" s="183"/>
      <c r="D15" s="198"/>
      <c r="E15" s="198"/>
      <c r="F15" s="198"/>
      <c r="G15" s="198"/>
      <c r="H15" s="198"/>
      <c r="I15" s="198"/>
      <c r="J15" s="198"/>
    </row>
    <row r="16" spans="1:11" ht="15.75" customHeight="1" x14ac:dyDescent="0.2">
      <c r="A16" s="30"/>
      <c r="B16" s="775"/>
      <c r="C16" s="183"/>
      <c r="D16" s="198"/>
      <c r="E16" s="198"/>
      <c r="F16" s="198"/>
      <c r="G16" s="198"/>
      <c r="H16" s="198"/>
      <c r="I16" s="198"/>
      <c r="J16" s="198"/>
    </row>
    <row r="17" spans="1:10" ht="15.75" customHeight="1" x14ac:dyDescent="0.2">
      <c r="A17" s="30"/>
      <c r="B17" s="775"/>
      <c r="C17" s="183"/>
      <c r="D17" s="198"/>
      <c r="E17" s="198"/>
      <c r="F17" s="198"/>
      <c r="G17" s="198"/>
      <c r="H17" s="198"/>
      <c r="I17" s="198"/>
      <c r="J17" s="198"/>
    </row>
    <row r="18" spans="1:10" ht="15.75" customHeight="1" x14ac:dyDescent="0.2">
      <c r="A18" s="30"/>
      <c r="B18" s="775"/>
      <c r="C18" s="183"/>
      <c r="D18" s="198"/>
      <c r="E18" s="198"/>
      <c r="F18" s="198"/>
      <c r="G18" s="198"/>
      <c r="H18" s="198"/>
      <c r="I18" s="198"/>
      <c r="J18" s="198"/>
    </row>
    <row r="19" spans="1:10" ht="15.75" customHeight="1" x14ac:dyDescent="0.2">
      <c r="A19" s="30"/>
      <c r="B19" s="775"/>
      <c r="C19" s="183"/>
      <c r="D19" s="198"/>
      <c r="E19" s="198"/>
      <c r="F19" s="198"/>
      <c r="G19" s="198"/>
      <c r="H19" s="198"/>
      <c r="I19" s="198"/>
      <c r="J19" s="198"/>
    </row>
    <row r="20" spans="1:10" ht="15.75" customHeight="1" x14ac:dyDescent="0.2">
      <c r="A20" s="30"/>
      <c r="B20" s="775"/>
      <c r="C20" s="183"/>
      <c r="D20" s="198"/>
      <c r="E20" s="198"/>
      <c r="F20" s="198"/>
      <c r="G20" s="198"/>
      <c r="H20" s="198"/>
      <c r="I20" s="198"/>
      <c r="J20" s="198"/>
    </row>
    <row r="21" spans="1:10" ht="15.75" customHeight="1" x14ac:dyDescent="0.2">
      <c r="A21" s="30"/>
      <c r="B21" s="775"/>
      <c r="C21" s="183"/>
      <c r="D21" s="198"/>
      <c r="E21" s="198"/>
      <c r="F21" s="198"/>
      <c r="G21" s="198"/>
      <c r="H21" s="198"/>
      <c r="I21" s="198"/>
      <c r="J21" s="198"/>
    </row>
    <row r="22" spans="1:10" ht="15.75" customHeight="1" x14ac:dyDescent="0.2">
      <c r="A22" s="30"/>
      <c r="B22" s="775"/>
      <c r="C22" s="183"/>
      <c r="D22" s="198"/>
      <c r="E22" s="198"/>
      <c r="F22" s="198"/>
      <c r="G22" s="198"/>
      <c r="H22" s="198"/>
      <c r="I22" s="198"/>
      <c r="J22" s="198"/>
    </row>
    <row r="23" spans="1:10" ht="15.75" customHeight="1" x14ac:dyDescent="0.2">
      <c r="A23" s="30"/>
      <c r="B23" s="775"/>
      <c r="C23" s="183"/>
      <c r="D23" s="198"/>
      <c r="E23" s="198"/>
      <c r="F23" s="198"/>
      <c r="G23" s="198"/>
      <c r="H23" s="198"/>
      <c r="I23" s="198"/>
      <c r="J23" s="198"/>
    </row>
    <row r="24" spans="1:10" ht="15.75" customHeight="1" x14ac:dyDescent="0.2">
      <c r="A24" s="30"/>
      <c r="B24" s="775"/>
      <c r="C24" s="183"/>
      <c r="D24" s="198"/>
      <c r="E24" s="198"/>
      <c r="F24" s="198"/>
      <c r="G24" s="198"/>
      <c r="H24" s="198"/>
      <c r="I24" s="198"/>
      <c r="J24" s="198"/>
    </row>
    <row r="25" spans="1:10" s="790" customFormat="1" ht="15.75" customHeight="1" x14ac:dyDescent="0.2">
      <c r="A25" s="788" t="str">
        <f>ORÇ!A440</f>
        <v>16.1.1</v>
      </c>
      <c r="B25" s="1713" t="str">
        <f>ORÇ!D440</f>
        <v>DEMOLIÇÃO DE ALVENARIA DE BLOCO FURADO, DE FORMA MANUAL, SEM REAPROVEITAMENTO. AF_12/2017</v>
      </c>
      <c r="C25" s="1713"/>
      <c r="D25" s="1713"/>
      <c r="E25" s="1713"/>
      <c r="F25" s="1713"/>
      <c r="G25" s="1713"/>
      <c r="H25" s="1713"/>
      <c r="I25" s="1713"/>
      <c r="J25" s="1713"/>
    </row>
    <row r="26" spans="1:10" s="566" customFormat="1" ht="17.25" customHeight="1" x14ac:dyDescent="0.2">
      <c r="A26" s="809"/>
      <c r="B26" s="1892"/>
      <c r="C26" s="1892"/>
      <c r="D26" s="1892"/>
      <c r="E26" s="1892"/>
      <c r="F26" s="1892"/>
      <c r="G26" s="1892"/>
      <c r="H26" s="1892"/>
      <c r="I26" s="1892"/>
      <c r="J26" s="1892"/>
    </row>
    <row r="27" spans="1:10" s="590" customFormat="1" ht="17.25" customHeight="1" x14ac:dyDescent="0.2">
      <c r="A27" s="809"/>
      <c r="B27" s="822"/>
      <c r="C27" s="823" t="s">
        <v>216</v>
      </c>
      <c r="D27" s="823"/>
      <c r="E27" s="823" t="s">
        <v>311</v>
      </c>
      <c r="F27" s="823"/>
      <c r="G27" s="823" t="s">
        <v>414</v>
      </c>
      <c r="H27" s="823"/>
      <c r="I27" s="823" t="s">
        <v>312</v>
      </c>
      <c r="J27" s="397"/>
    </row>
    <row r="28" spans="1:10" s="566" customFormat="1" ht="17.25" customHeight="1" x14ac:dyDescent="0.2">
      <c r="A28" s="557"/>
      <c r="B28" s="1504" t="s">
        <v>1336</v>
      </c>
      <c r="C28" s="825">
        <v>10.7</v>
      </c>
      <c r="D28" s="774" t="s">
        <v>45</v>
      </c>
      <c r="E28" s="825">
        <v>2.2000000000000002</v>
      </c>
      <c r="F28" s="774" t="s">
        <v>45</v>
      </c>
      <c r="G28" s="825">
        <v>0.15</v>
      </c>
      <c r="H28" s="774" t="s">
        <v>46</v>
      </c>
      <c r="I28" s="825">
        <f>ROUND(C28*E28*G28,2)</f>
        <v>3.53</v>
      </c>
      <c r="J28" s="592"/>
    </row>
    <row r="29" spans="1:10" s="554" customFormat="1" ht="17.25" customHeight="1" x14ac:dyDescent="0.2">
      <c r="A29" s="572"/>
      <c r="B29" s="1504"/>
      <c r="C29" s="825">
        <v>4</v>
      </c>
      <c r="D29" s="774" t="s">
        <v>45</v>
      </c>
      <c r="E29" s="825">
        <v>0.7</v>
      </c>
      <c r="F29" s="774" t="s">
        <v>45</v>
      </c>
      <c r="G29" s="825">
        <v>0.15</v>
      </c>
      <c r="H29" s="774" t="s">
        <v>46</v>
      </c>
      <c r="I29" s="825">
        <f t="shared" ref="I29" si="0">ROUND(C29*E29*G29,2)</f>
        <v>0.42</v>
      </c>
      <c r="J29" s="572"/>
    </row>
    <row r="30" spans="1:10" s="554" customFormat="1" ht="17.25" customHeight="1" x14ac:dyDescent="0.2">
      <c r="A30" s="572"/>
      <c r="B30" s="577"/>
      <c r="C30" s="794"/>
      <c r="D30" s="793"/>
      <c r="E30" s="794"/>
      <c r="F30" s="793"/>
      <c r="G30" s="794"/>
      <c r="H30" s="793"/>
      <c r="I30" s="794"/>
      <c r="J30" s="572"/>
    </row>
    <row r="31" spans="1:10" s="566" customFormat="1" ht="17.25" customHeight="1" x14ac:dyDescent="0.2">
      <c r="A31" s="557"/>
      <c r="B31" s="795" t="s">
        <v>47</v>
      </c>
      <c r="C31" s="797">
        <f>ROUND(SUM(I28:I29),2)</f>
        <v>3.95</v>
      </c>
      <c r="D31" s="824" t="s">
        <v>497</v>
      </c>
      <c r="E31" s="271"/>
      <c r="F31" s="271"/>
      <c r="G31" s="271"/>
      <c r="H31" s="271"/>
      <c r="I31" s="271"/>
      <c r="J31" s="592"/>
    </row>
    <row r="32" spans="1:10" s="554" customFormat="1" ht="17.25" customHeight="1" x14ac:dyDescent="0.2">
      <c r="A32" s="572"/>
      <c r="B32" s="577"/>
      <c r="C32" s="810"/>
      <c r="D32" s="557"/>
      <c r="E32" s="810"/>
      <c r="F32" s="557"/>
      <c r="G32" s="810"/>
      <c r="H32" s="557"/>
      <c r="I32" s="810"/>
      <c r="J32" s="572"/>
    </row>
    <row r="33" spans="1:10" s="790" customFormat="1" ht="30.75" customHeight="1" x14ac:dyDescent="0.2">
      <c r="A33" s="788" t="str">
        <f>ORÇ!A441</f>
        <v>16.1.2</v>
      </c>
      <c r="B33" s="1710" t="str">
        <f>ORÇ!D441</f>
        <v>DEMOLIÇÃO DE PILARES E VIGAS EM CONCRETO ARMADO, DE FORMA MECANIZADA COM MARTELETE, SEM REAPROVEITAMENTO. AF_12/2017</v>
      </c>
      <c r="C33" s="1710"/>
      <c r="D33" s="1710"/>
      <c r="E33" s="1710"/>
      <c r="F33" s="1710"/>
      <c r="G33" s="1710"/>
      <c r="H33" s="1710"/>
      <c r="I33" s="1710"/>
      <c r="J33" s="1710"/>
    </row>
    <row r="34" spans="1:10" s="577" customFormat="1" ht="15.75" customHeight="1" x14ac:dyDescent="0.2">
      <c r="A34" s="820"/>
      <c r="B34" s="1887"/>
      <c r="C34" s="1887"/>
      <c r="D34" s="1887"/>
      <c r="E34" s="1887"/>
      <c r="F34" s="1887"/>
      <c r="G34" s="1887"/>
      <c r="H34" s="1887"/>
      <c r="I34" s="1887"/>
      <c r="J34" s="1887"/>
    </row>
    <row r="35" spans="1:10" s="590" customFormat="1" ht="17.25" customHeight="1" x14ac:dyDescent="0.2">
      <c r="A35" s="809"/>
      <c r="B35" s="822"/>
      <c r="C35" s="823" t="s">
        <v>216</v>
      </c>
      <c r="D35" s="823"/>
      <c r="E35" s="823" t="s">
        <v>405</v>
      </c>
      <c r="F35" s="823"/>
      <c r="G35" s="823" t="s">
        <v>311</v>
      </c>
      <c r="H35" s="823"/>
      <c r="I35" s="823" t="s">
        <v>312</v>
      </c>
      <c r="J35" s="397"/>
    </row>
    <row r="36" spans="1:10" s="566" customFormat="1" ht="17.25" customHeight="1" x14ac:dyDescent="0.2">
      <c r="A36" s="557"/>
      <c r="B36" s="1504" t="s">
        <v>1336</v>
      </c>
      <c r="C36" s="825">
        <v>0.25</v>
      </c>
      <c r="D36" s="774" t="s">
        <v>45</v>
      </c>
      <c r="E36" s="825">
        <v>0.25</v>
      </c>
      <c r="F36" s="774" t="s">
        <v>45</v>
      </c>
      <c r="G36" s="825">
        <v>2.2000000000000002</v>
      </c>
      <c r="H36" s="774" t="s">
        <v>46</v>
      </c>
      <c r="I36" s="825">
        <f>ROUND(C36*E36*G36,2)</f>
        <v>0.14000000000000001</v>
      </c>
      <c r="J36" s="592"/>
    </row>
    <row r="37" spans="1:10" s="554" customFormat="1" ht="17.25" customHeight="1" x14ac:dyDescent="0.2">
      <c r="A37" s="572"/>
      <c r="B37" s="1504"/>
      <c r="C37" s="825">
        <v>0.25</v>
      </c>
      <c r="D37" s="774" t="s">
        <v>45</v>
      </c>
      <c r="E37" s="825">
        <v>0.25</v>
      </c>
      <c r="F37" s="774" t="s">
        <v>45</v>
      </c>
      <c r="G37" s="825">
        <v>2.2000000000000002</v>
      </c>
      <c r="H37" s="774" t="s">
        <v>46</v>
      </c>
      <c r="I37" s="825">
        <f t="shared" ref="I37" si="1">ROUND(C37*E37*G37,2)</f>
        <v>0.14000000000000001</v>
      </c>
      <c r="J37" s="572"/>
    </row>
    <row r="38" spans="1:10" s="554" customFormat="1" ht="17.25" customHeight="1" x14ac:dyDescent="0.2">
      <c r="A38" s="572"/>
      <c r="B38" s="577"/>
      <c r="C38" s="794"/>
      <c r="D38" s="793"/>
      <c r="E38" s="794"/>
      <c r="F38" s="793"/>
      <c r="G38" s="794"/>
      <c r="H38" s="793"/>
      <c r="I38" s="794"/>
      <c r="J38" s="572"/>
    </row>
    <row r="39" spans="1:10" s="566" customFormat="1" ht="17.25" customHeight="1" x14ac:dyDescent="0.2">
      <c r="A39" s="557"/>
      <c r="B39" s="795" t="s">
        <v>47</v>
      </c>
      <c r="C39" s="797">
        <f>ROUND(SUM(I36:I37),2)</f>
        <v>0.28000000000000003</v>
      </c>
      <c r="D39" s="824" t="s">
        <v>497</v>
      </c>
      <c r="E39" s="271"/>
      <c r="F39" s="271"/>
      <c r="G39" s="271"/>
      <c r="H39" s="271"/>
      <c r="I39" s="271"/>
      <c r="J39" s="592"/>
    </row>
    <row r="40" spans="1:10" s="554" customFormat="1" ht="17.25" customHeight="1" x14ac:dyDescent="0.2">
      <c r="A40" s="572"/>
      <c r="B40" s="577"/>
      <c r="C40" s="810"/>
      <c r="D40" s="557"/>
      <c r="E40" s="810"/>
      <c r="F40" s="557"/>
      <c r="G40" s="810"/>
      <c r="H40" s="557"/>
      <c r="I40" s="810"/>
      <c r="J40" s="572"/>
    </row>
    <row r="41" spans="1:10" s="790" customFormat="1" ht="24" customHeight="1" x14ac:dyDescent="0.2">
      <c r="A41" s="788" t="str">
        <f>ORÇ!A442</f>
        <v>16.1.3</v>
      </c>
      <c r="B41" s="1710" t="str">
        <f>ORÇ!D442</f>
        <v>LIMPEZA MANUAL DE VEGETAÇÃO EM TERRENO COM ENXADA.AF_05/2018</v>
      </c>
      <c r="C41" s="1710"/>
      <c r="D41" s="1710"/>
      <c r="E41" s="1710"/>
      <c r="F41" s="1710"/>
      <c r="G41" s="1710"/>
      <c r="H41" s="1710"/>
      <c r="I41" s="1710"/>
      <c r="J41" s="1710"/>
    </row>
    <row r="42" spans="1:10" s="577" customFormat="1" ht="17.25" customHeight="1" x14ac:dyDescent="0.2">
      <c r="A42" s="820"/>
      <c r="B42" s="1887"/>
      <c r="C42" s="1887"/>
      <c r="D42" s="1887"/>
      <c r="E42" s="1887"/>
      <c r="F42" s="1887"/>
      <c r="G42" s="1887"/>
      <c r="H42" s="1887"/>
      <c r="I42" s="1887"/>
      <c r="J42" s="1887"/>
    </row>
    <row r="43" spans="1:10" s="590" customFormat="1" ht="17.25" customHeight="1" x14ac:dyDescent="0.2">
      <c r="A43" s="809"/>
      <c r="B43" s="822"/>
      <c r="C43" s="823" t="s">
        <v>216</v>
      </c>
      <c r="D43" s="823"/>
      <c r="E43" s="823" t="s">
        <v>405</v>
      </c>
      <c r="F43" s="823"/>
      <c r="G43" s="823" t="s">
        <v>213</v>
      </c>
      <c r="J43" s="397"/>
    </row>
    <row r="44" spans="1:10" s="566" customFormat="1" ht="17.25" customHeight="1" x14ac:dyDescent="0.2">
      <c r="A44" s="557"/>
      <c r="B44" s="1504" t="s">
        <v>1337</v>
      </c>
      <c r="C44" s="825">
        <v>10.7</v>
      </c>
      <c r="D44" s="774" t="s">
        <v>45</v>
      </c>
      <c r="E44" s="825">
        <v>2</v>
      </c>
      <c r="F44" s="774" t="s">
        <v>46</v>
      </c>
      <c r="G44" s="825">
        <f>ROUND(C44*E44,2)</f>
        <v>21.4</v>
      </c>
      <c r="J44" s="592"/>
    </row>
    <row r="45" spans="1:10" s="554" customFormat="1" ht="17.25" customHeight="1" x14ac:dyDescent="0.2">
      <c r="A45" s="572"/>
      <c r="B45" s="1504"/>
      <c r="C45" s="825">
        <v>4</v>
      </c>
      <c r="D45" s="774" t="s">
        <v>45</v>
      </c>
      <c r="E45" s="825">
        <v>2</v>
      </c>
      <c r="F45" s="774" t="s">
        <v>46</v>
      </c>
      <c r="G45" s="825">
        <f>ROUND(C45*E45,2)</f>
        <v>8</v>
      </c>
      <c r="J45" s="572"/>
    </row>
    <row r="46" spans="1:10" s="554" customFormat="1" ht="17.25" customHeight="1" x14ac:dyDescent="0.2">
      <c r="A46" s="572"/>
      <c r="B46" s="577"/>
      <c r="C46" s="794"/>
      <c r="D46" s="793"/>
      <c r="E46" s="794"/>
      <c r="F46" s="793"/>
      <c r="G46" s="794"/>
      <c r="H46" s="793"/>
      <c r="I46" s="794"/>
      <c r="J46" s="572"/>
    </row>
    <row r="47" spans="1:10" s="566" customFormat="1" ht="17.25" customHeight="1" x14ac:dyDescent="0.2">
      <c r="A47" s="557"/>
      <c r="B47" s="795" t="s">
        <v>47</v>
      </c>
      <c r="C47" s="797">
        <f>ROUND(SUM(G44:G45),2)</f>
        <v>29.4</v>
      </c>
      <c r="D47" s="824" t="s">
        <v>4</v>
      </c>
      <c r="E47" s="271"/>
      <c r="F47" s="271"/>
      <c r="G47" s="271"/>
      <c r="H47" s="271"/>
      <c r="I47" s="271"/>
      <c r="J47" s="592"/>
    </row>
    <row r="48" spans="1:10" s="554" customFormat="1" ht="17.25" customHeight="1" x14ac:dyDescent="0.2">
      <c r="A48" s="572"/>
      <c r="B48" s="577"/>
      <c r="C48" s="810"/>
      <c r="D48" s="557"/>
      <c r="E48" s="810"/>
      <c r="F48" s="557"/>
      <c r="G48" s="810"/>
      <c r="H48" s="557"/>
      <c r="I48" s="810"/>
      <c r="J48" s="572"/>
    </row>
    <row r="49" spans="1:10" s="790" customFormat="1" ht="15.75" customHeight="1" x14ac:dyDescent="0.2">
      <c r="A49" s="788" t="str">
        <f>ORÇ!A443</f>
        <v>16.2</v>
      </c>
      <c r="B49" s="1713" t="str">
        <f>ORÇ!D443</f>
        <v>Fundação</v>
      </c>
      <c r="C49" s="1713"/>
      <c r="D49" s="1713"/>
      <c r="E49" s="1713"/>
      <c r="F49" s="1713"/>
      <c r="G49" s="1713"/>
      <c r="H49" s="1713"/>
      <c r="I49" s="1713"/>
      <c r="J49" s="1713"/>
    </row>
    <row r="50" spans="1:10" s="577" customFormat="1" ht="17.25" customHeight="1" x14ac:dyDescent="0.2">
      <c r="A50" s="820"/>
      <c r="B50" s="827" t="s">
        <v>1338</v>
      </c>
      <c r="C50" s="826"/>
      <c r="D50" s="826"/>
      <c r="E50" s="826"/>
      <c r="F50" s="826"/>
      <c r="G50" s="826"/>
      <c r="H50" s="826"/>
      <c r="I50" s="826"/>
      <c r="J50" s="826"/>
    </row>
    <row r="51" spans="1:10" s="577" customFormat="1" ht="17.25" customHeight="1" x14ac:dyDescent="0.2">
      <c r="A51" s="820"/>
      <c r="B51" s="828" t="s">
        <v>1339</v>
      </c>
      <c r="C51" s="826"/>
      <c r="D51" s="826"/>
      <c r="E51" s="826"/>
      <c r="F51" s="826"/>
      <c r="G51" s="826"/>
      <c r="H51" s="826"/>
      <c r="I51" s="826"/>
      <c r="J51" s="826"/>
    </row>
    <row r="52" spans="1:10" s="577" customFormat="1" ht="17.25" customHeight="1" x14ac:dyDescent="0.2">
      <c r="A52" s="820"/>
      <c r="B52" s="829" t="s">
        <v>1352</v>
      </c>
      <c r="C52" s="826"/>
      <c r="D52" s="826"/>
      <c r="E52" s="826"/>
      <c r="F52" s="826"/>
      <c r="G52" s="826"/>
      <c r="H52" s="826"/>
      <c r="I52" s="826"/>
      <c r="J52" s="826"/>
    </row>
    <row r="53" spans="1:10" s="577" customFormat="1" ht="17.25" customHeight="1" x14ac:dyDescent="0.2">
      <c r="A53" s="820"/>
      <c r="B53" s="829" t="s">
        <v>1353</v>
      </c>
      <c r="C53" s="826"/>
      <c r="D53" s="826"/>
      <c r="E53" s="826"/>
      <c r="F53" s="826"/>
      <c r="G53" s="826"/>
      <c r="H53" s="826"/>
      <c r="I53" s="826"/>
      <c r="J53" s="826"/>
    </row>
    <row r="54" spans="1:10" s="577" customFormat="1" ht="17.25" customHeight="1" x14ac:dyDescent="0.2">
      <c r="A54" s="820"/>
      <c r="B54" s="828" t="s">
        <v>1340</v>
      </c>
      <c r="C54" s="826"/>
      <c r="D54" s="826"/>
      <c r="E54" s="826"/>
      <c r="F54" s="826"/>
      <c r="G54" s="826"/>
      <c r="H54" s="826"/>
      <c r="I54" s="826"/>
      <c r="J54" s="826"/>
    </row>
    <row r="55" spans="1:10" s="577" customFormat="1" ht="27" customHeight="1" x14ac:dyDescent="0.2">
      <c r="A55" s="820"/>
      <c r="B55" s="829" t="s">
        <v>1354</v>
      </c>
      <c r="C55" s="830"/>
      <c r="D55" s="830"/>
      <c r="E55" s="826"/>
      <c r="F55" s="826"/>
      <c r="G55" s="826"/>
      <c r="H55" s="826"/>
      <c r="I55" s="826"/>
      <c r="J55" s="826"/>
    </row>
    <row r="56" spans="1:10" s="790" customFormat="1" ht="15.75" customHeight="1" x14ac:dyDescent="0.2">
      <c r="A56" s="788" t="str">
        <f>ORÇ!A444</f>
        <v>16.2.1</v>
      </c>
      <c r="B56" s="1713" t="str">
        <f>ORÇ!D444</f>
        <v>ESCAVAÇÃO MANUAL ATÉ 1.50M DE PROFUNDIDADE</v>
      </c>
      <c r="C56" s="1713"/>
      <c r="D56" s="1713"/>
      <c r="E56" s="1713"/>
      <c r="F56" s="1713"/>
      <c r="G56" s="1713"/>
      <c r="H56" s="1713"/>
      <c r="I56" s="1713"/>
      <c r="J56" s="1713"/>
    </row>
    <row r="57" spans="1:10" s="577" customFormat="1" ht="17.25" customHeight="1" x14ac:dyDescent="0.2">
      <c r="A57" s="820"/>
      <c r="B57" s="826"/>
      <c r="C57" s="826"/>
      <c r="D57" s="826"/>
      <c r="E57" s="826"/>
      <c r="F57" s="826"/>
      <c r="G57" s="826"/>
      <c r="H57" s="826"/>
      <c r="I57" s="826"/>
      <c r="J57" s="826"/>
    </row>
    <row r="58" spans="1:10" s="556" customFormat="1" ht="15.75" customHeight="1" x14ac:dyDescent="0.2">
      <c r="A58" s="829"/>
      <c r="B58" s="1889" t="s">
        <v>1344</v>
      </c>
      <c r="C58" s="1890"/>
      <c r="D58" s="1890"/>
      <c r="E58" s="1890"/>
      <c r="F58" s="1890"/>
      <c r="G58" s="1890"/>
      <c r="H58" s="1890"/>
      <c r="I58" s="1890"/>
      <c r="J58" s="1891"/>
    </row>
    <row r="59" spans="1:10" s="556" customFormat="1" ht="32.25" customHeight="1" x14ac:dyDescent="0.2">
      <c r="A59" s="829" t="s">
        <v>1341</v>
      </c>
      <c r="B59" s="823" t="s">
        <v>753</v>
      </c>
      <c r="C59" s="823"/>
      <c r="D59" s="831" t="s">
        <v>888</v>
      </c>
      <c r="E59" s="823"/>
      <c r="F59" s="831" t="s">
        <v>1342</v>
      </c>
      <c r="G59" s="823"/>
      <c r="H59" s="831" t="s">
        <v>469</v>
      </c>
      <c r="I59" s="823"/>
      <c r="J59" s="823" t="s">
        <v>312</v>
      </c>
    </row>
    <row r="60" spans="1:10" s="572" customFormat="1" ht="17.25" customHeight="1" x14ac:dyDescent="0.2">
      <c r="A60" s="804" t="s">
        <v>1295</v>
      </c>
      <c r="B60" s="825">
        <v>0.2</v>
      </c>
      <c r="C60" s="774" t="s">
        <v>45</v>
      </c>
      <c r="D60" s="825">
        <v>0.3</v>
      </c>
      <c r="E60" s="774" t="s">
        <v>45</v>
      </c>
      <c r="F60" s="825">
        <v>0.5</v>
      </c>
      <c r="G60" s="774" t="s">
        <v>45</v>
      </c>
      <c r="H60" s="825">
        <v>13</v>
      </c>
      <c r="I60" s="774" t="s">
        <v>46</v>
      </c>
      <c r="J60" s="825">
        <f t="shared" ref="J60" si="2">ROUND(B60*D60*F60*H60,2)</f>
        <v>0.39</v>
      </c>
    </row>
    <row r="61" spans="1:10" s="577" customFormat="1" ht="17.25" customHeight="1" x14ac:dyDescent="0.2">
      <c r="A61" s="557"/>
      <c r="B61" s="592"/>
      <c r="C61" s="271"/>
      <c r="D61" s="271"/>
      <c r="E61" s="271"/>
      <c r="F61" s="271"/>
      <c r="G61" s="271"/>
      <c r="H61" s="271"/>
      <c r="I61" s="271"/>
      <c r="J61" s="592"/>
    </row>
    <row r="62" spans="1:10" s="572" customFormat="1" ht="17.25" customHeight="1" x14ac:dyDescent="0.2">
      <c r="B62" s="795" t="s">
        <v>47</v>
      </c>
      <c r="C62" s="797">
        <f>ROUND(SUM(J58:J60),2)</f>
        <v>0.39</v>
      </c>
      <c r="D62" s="824" t="s">
        <v>497</v>
      </c>
      <c r="E62" s="810"/>
      <c r="F62" s="557"/>
      <c r="G62" s="810"/>
      <c r="H62" s="557"/>
      <c r="I62" s="810"/>
    </row>
    <row r="63" spans="1:10" s="572" customFormat="1" ht="17.25" customHeight="1" x14ac:dyDescent="0.2"/>
    <row r="64" spans="1:10" s="790" customFormat="1" ht="24" customHeight="1" x14ac:dyDescent="0.2">
      <c r="A64" s="788" t="str">
        <f>ORÇ!A445</f>
        <v>16.2.2</v>
      </c>
      <c r="B64" s="1710" t="str">
        <f>ORÇ!D445</f>
        <v>LASTRO DE CONCRETO MAGRO, APLICADO EM BLOCOS DE COROAMENTO OU SAPATAS, ESPESSURA DE 5 CM. AF_08/2017</v>
      </c>
      <c r="C64" s="1710"/>
      <c r="D64" s="1710"/>
      <c r="E64" s="1710"/>
      <c r="F64" s="1710"/>
      <c r="G64" s="1710"/>
      <c r="H64" s="1710"/>
      <c r="I64" s="1710"/>
      <c r="J64" s="1710"/>
    </row>
    <row r="65" spans="1:10" s="577" customFormat="1" ht="17.25" customHeight="1" x14ac:dyDescent="0.2">
      <c r="A65" s="820"/>
      <c r="B65" s="1887"/>
      <c r="C65" s="1887"/>
      <c r="D65" s="1887"/>
      <c r="E65" s="1887"/>
      <c r="F65" s="1887"/>
      <c r="G65" s="1887"/>
      <c r="H65" s="1887"/>
      <c r="I65" s="1887"/>
      <c r="J65" s="1887"/>
    </row>
    <row r="66" spans="1:10" s="556" customFormat="1" ht="31.5" customHeight="1" x14ac:dyDescent="0.2">
      <c r="B66" s="829" t="s">
        <v>1341</v>
      </c>
      <c r="C66" s="823" t="s">
        <v>753</v>
      </c>
      <c r="D66" s="823"/>
      <c r="E66" s="831" t="s">
        <v>888</v>
      </c>
      <c r="F66" s="823"/>
      <c r="G66" s="831" t="s">
        <v>469</v>
      </c>
      <c r="H66" s="823"/>
      <c r="I66" s="823" t="s">
        <v>213</v>
      </c>
    </row>
    <row r="67" spans="1:10" s="556" customFormat="1" ht="15.75" customHeight="1" x14ac:dyDescent="0.2">
      <c r="B67" s="829"/>
      <c r="C67" s="1889" t="s">
        <v>1344</v>
      </c>
      <c r="D67" s="1890"/>
      <c r="E67" s="1890"/>
      <c r="F67" s="1890"/>
      <c r="G67" s="1890"/>
      <c r="H67" s="1890"/>
      <c r="I67" s="1891"/>
      <c r="J67" s="832"/>
    </row>
    <row r="68" spans="1:10" s="572" customFormat="1" ht="17.25" customHeight="1" x14ac:dyDescent="0.2">
      <c r="B68" s="804" t="s">
        <v>1295</v>
      </c>
      <c r="C68" s="825">
        <v>0.2</v>
      </c>
      <c r="D68" s="774" t="s">
        <v>45</v>
      </c>
      <c r="E68" s="825">
        <v>0.3</v>
      </c>
      <c r="F68" s="774" t="s">
        <v>45</v>
      </c>
      <c r="G68" s="825">
        <v>13</v>
      </c>
      <c r="H68" s="774" t="s">
        <v>46</v>
      </c>
      <c r="I68" s="825">
        <f>ROUND(C68*E68*G68,2)</f>
        <v>0.78</v>
      </c>
    </row>
    <row r="69" spans="1:10" s="577" customFormat="1" ht="17.25" customHeight="1" x14ac:dyDescent="0.2">
      <c r="B69" s="557"/>
      <c r="C69" s="592"/>
      <c r="D69" s="271"/>
      <c r="E69" s="271"/>
      <c r="F69" s="271"/>
      <c r="G69" s="271"/>
      <c r="H69" s="271"/>
      <c r="I69" s="271"/>
      <c r="J69" s="592"/>
    </row>
    <row r="70" spans="1:10" s="572" customFormat="1" ht="17.25" customHeight="1" x14ac:dyDescent="0.2">
      <c r="C70" s="795" t="s">
        <v>47</v>
      </c>
      <c r="D70" s="797">
        <f>ROUND(SUM(I67:I68),2)</f>
        <v>0.78</v>
      </c>
      <c r="E70" s="824" t="s">
        <v>4</v>
      </c>
      <c r="F70" s="810"/>
      <c r="G70" s="557"/>
      <c r="H70" s="810"/>
      <c r="I70" s="557"/>
    </row>
    <row r="71" spans="1:10" s="572" customFormat="1" ht="17.25" customHeight="1" x14ac:dyDescent="0.2"/>
    <row r="72" spans="1:10" s="790" customFormat="1" ht="31.5" customHeight="1" x14ac:dyDescent="0.2">
      <c r="A72" s="788" t="str">
        <f>ORÇ!A446</f>
        <v>16.2.3</v>
      </c>
      <c r="B72" s="1710" t="str">
        <f>ORÇ!D446</f>
        <v>FABRICAÇÃO, MONTAGEM E DESMONTAGEM DE FÔRMA PARA VIGA BALDRAME, EM MADEIRA SERRADA, E=25 MM, 4 UTILIZAÇÕES. AF_06/2017</v>
      </c>
      <c r="C72" s="1710"/>
      <c r="D72" s="1710"/>
      <c r="E72" s="1710"/>
      <c r="F72" s="1710"/>
      <c r="G72" s="1710"/>
      <c r="H72" s="1710"/>
      <c r="I72" s="1710"/>
      <c r="J72" s="1710"/>
    </row>
    <row r="73" spans="1:10" s="577" customFormat="1" ht="17.25" customHeight="1" x14ac:dyDescent="0.2">
      <c r="A73" s="820"/>
      <c r="B73" s="1887"/>
      <c r="C73" s="1887"/>
      <c r="D73" s="1887"/>
      <c r="E73" s="1887"/>
      <c r="F73" s="1887"/>
      <c r="G73" s="1887"/>
      <c r="H73" s="1887"/>
      <c r="I73" s="1887"/>
      <c r="J73" s="1887"/>
    </row>
    <row r="74" spans="1:10" s="556" customFormat="1" ht="23.25" customHeight="1" x14ac:dyDescent="0.2">
      <c r="A74" s="829" t="s">
        <v>1341</v>
      </c>
      <c r="B74" s="823" t="s">
        <v>753</v>
      </c>
      <c r="C74" s="823"/>
      <c r="D74" s="823" t="s">
        <v>405</v>
      </c>
      <c r="E74" s="823"/>
      <c r="F74" s="831" t="s">
        <v>1355</v>
      </c>
      <c r="G74" s="823"/>
      <c r="H74" s="831" t="s">
        <v>469</v>
      </c>
      <c r="I74" s="823"/>
      <c r="J74" s="823" t="s">
        <v>213</v>
      </c>
    </row>
    <row r="75" spans="1:10" s="556" customFormat="1" ht="15.75" customHeight="1" x14ac:dyDescent="0.2">
      <c r="A75" s="829"/>
      <c r="B75" s="1889" t="s">
        <v>793</v>
      </c>
      <c r="C75" s="1890"/>
      <c r="D75" s="1890"/>
      <c r="E75" s="1890"/>
      <c r="F75" s="1890"/>
      <c r="G75" s="1890"/>
      <c r="H75" s="1890"/>
      <c r="I75" s="1890"/>
      <c r="J75" s="1891"/>
    </row>
    <row r="76" spans="1:10" s="577" customFormat="1" ht="17.25" customHeight="1" x14ac:dyDescent="0.2">
      <c r="A76" s="1885" t="s">
        <v>1343</v>
      </c>
      <c r="B76" s="825">
        <v>8.9700000000000006</v>
      </c>
      <c r="C76" s="774" t="s">
        <v>45</v>
      </c>
      <c r="D76" s="825">
        <v>0.5</v>
      </c>
      <c r="E76" s="774" t="s">
        <v>45</v>
      </c>
      <c r="F76" s="825">
        <v>2</v>
      </c>
      <c r="G76" s="774" t="s">
        <v>45</v>
      </c>
      <c r="H76" s="825">
        <v>1</v>
      </c>
      <c r="I76" s="774" t="s">
        <v>46</v>
      </c>
      <c r="J76" s="825">
        <f>ROUND(B76*D76*F76*H76,2)</f>
        <v>8.9700000000000006</v>
      </c>
    </row>
    <row r="77" spans="1:10" s="572" customFormat="1" ht="17.25" customHeight="1" x14ac:dyDescent="0.2">
      <c r="A77" s="1886"/>
      <c r="B77" s="825">
        <v>7.7</v>
      </c>
      <c r="C77" s="774" t="s">
        <v>45</v>
      </c>
      <c r="D77" s="825">
        <v>0.5</v>
      </c>
      <c r="E77" s="774" t="s">
        <v>45</v>
      </c>
      <c r="F77" s="825">
        <v>2</v>
      </c>
      <c r="G77" s="774" t="s">
        <v>45</v>
      </c>
      <c r="H77" s="825">
        <v>1</v>
      </c>
      <c r="I77" s="774" t="s">
        <v>46</v>
      </c>
      <c r="J77" s="825">
        <f t="shared" ref="J77" si="3">ROUND(B77*D77*F77*H77,2)</f>
        <v>7.7</v>
      </c>
    </row>
    <row r="78" spans="1:10" s="556" customFormat="1" ht="15.75" customHeight="1" x14ac:dyDescent="0.2">
      <c r="A78" s="829"/>
      <c r="B78" s="1889" t="s">
        <v>1344</v>
      </c>
      <c r="C78" s="1890"/>
      <c r="D78" s="1890"/>
      <c r="E78" s="1890"/>
      <c r="F78" s="1890"/>
      <c r="G78" s="1890"/>
      <c r="H78" s="1890"/>
      <c r="I78" s="1890"/>
      <c r="J78" s="1891"/>
    </row>
    <row r="79" spans="1:10" s="572" customFormat="1" ht="17.25" customHeight="1" x14ac:dyDescent="0.2">
      <c r="A79" s="804" t="s">
        <v>1295</v>
      </c>
      <c r="B79" s="825">
        <v>0.2</v>
      </c>
      <c r="C79" s="774" t="s">
        <v>45</v>
      </c>
      <c r="D79" s="825">
        <v>0.45</v>
      </c>
      <c r="E79" s="774" t="s">
        <v>45</v>
      </c>
      <c r="F79" s="825">
        <v>4</v>
      </c>
      <c r="G79" s="774" t="s">
        <v>45</v>
      </c>
      <c r="H79" s="825">
        <v>13</v>
      </c>
      <c r="I79" s="774" t="s">
        <v>46</v>
      </c>
      <c r="J79" s="825">
        <f t="shared" ref="J79" si="4">ROUND(B79*D79*F79*H79,2)</f>
        <v>4.68</v>
      </c>
    </row>
    <row r="80" spans="1:10" s="577" customFormat="1" ht="17.25" customHeight="1" x14ac:dyDescent="0.2">
      <c r="A80" s="557"/>
      <c r="B80" s="592"/>
      <c r="C80" s="271"/>
      <c r="D80" s="271"/>
      <c r="E80" s="271"/>
      <c r="F80" s="271"/>
      <c r="G80" s="271"/>
      <c r="H80" s="271"/>
      <c r="I80" s="271"/>
      <c r="J80" s="592"/>
    </row>
    <row r="81" spans="1:10" s="572" customFormat="1" ht="17.25" customHeight="1" x14ac:dyDescent="0.2">
      <c r="B81" s="795" t="s">
        <v>47</v>
      </c>
      <c r="C81" s="797">
        <f>ROUND(SUM(J76:J79),2)</f>
        <v>21.35</v>
      </c>
      <c r="D81" s="824" t="s">
        <v>4</v>
      </c>
      <c r="E81" s="810"/>
      <c r="F81" s="557"/>
      <c r="G81" s="810"/>
      <c r="H81" s="557"/>
      <c r="I81" s="810"/>
    </row>
    <row r="82" spans="1:10" s="572" customFormat="1" ht="17.25" customHeight="1" x14ac:dyDescent="0.2">
      <c r="B82" s="577"/>
      <c r="C82" s="810"/>
      <c r="D82" s="557"/>
      <c r="E82" s="810"/>
      <c r="F82" s="557"/>
      <c r="G82" s="810"/>
      <c r="H82" s="557"/>
      <c r="I82" s="810"/>
    </row>
    <row r="83" spans="1:10" s="790" customFormat="1" ht="15.75" customHeight="1" x14ac:dyDescent="0.2">
      <c r="A83" s="788" t="str">
        <f>ORÇ!A447</f>
        <v>16.2.4</v>
      </c>
      <c r="B83" s="1713" t="str">
        <f>ORÇ!D447</f>
        <v>CONCRETO CICLÓPICO FCK = 15MPA, 30% PEDRA DE MÃO EM VOLUME REAL, INCLUSIVE LANÇAMENTO. AF_05/2021</v>
      </c>
      <c r="C83" s="1713"/>
      <c r="D83" s="1713"/>
      <c r="E83" s="1713"/>
      <c r="F83" s="1713"/>
      <c r="G83" s="1713"/>
      <c r="H83" s="1713"/>
      <c r="I83" s="1713"/>
      <c r="J83" s="1713"/>
    </row>
    <row r="84" spans="1:10" s="577" customFormat="1" ht="17.25" customHeight="1" x14ac:dyDescent="0.2">
      <c r="A84" s="820"/>
      <c r="B84" s="1887"/>
      <c r="C84" s="1887"/>
      <c r="D84" s="1887"/>
      <c r="E84" s="1887"/>
      <c r="F84" s="1887"/>
      <c r="G84" s="1887"/>
      <c r="H84" s="1887"/>
      <c r="I84" s="1887"/>
      <c r="J84" s="1887"/>
    </row>
    <row r="85" spans="1:10" s="556" customFormat="1" ht="20.25" customHeight="1" x14ac:dyDescent="0.2">
      <c r="A85" s="829" t="s">
        <v>1341</v>
      </c>
      <c r="B85" s="823" t="s">
        <v>753</v>
      </c>
      <c r="C85" s="823"/>
      <c r="D85" s="823" t="s">
        <v>405</v>
      </c>
      <c r="E85" s="823"/>
      <c r="F85" s="831" t="s">
        <v>630</v>
      </c>
      <c r="G85" s="823"/>
      <c r="H85" s="831" t="s">
        <v>469</v>
      </c>
      <c r="I85" s="823"/>
      <c r="J85" s="823" t="s">
        <v>312</v>
      </c>
    </row>
    <row r="86" spans="1:10" s="556" customFormat="1" ht="15.75" customHeight="1" x14ac:dyDescent="0.2">
      <c r="A86" s="829"/>
      <c r="B86" s="1889" t="s">
        <v>1344</v>
      </c>
      <c r="C86" s="1890"/>
      <c r="D86" s="1890"/>
      <c r="E86" s="1890"/>
      <c r="F86" s="1890"/>
      <c r="G86" s="1890"/>
      <c r="H86" s="1890"/>
      <c r="I86" s="1890"/>
      <c r="J86" s="1891"/>
    </row>
    <row r="87" spans="1:10" s="572" customFormat="1" ht="17.25" customHeight="1" x14ac:dyDescent="0.2">
      <c r="A87" s="804" t="s">
        <v>1295</v>
      </c>
      <c r="B87" s="825">
        <v>0.2</v>
      </c>
      <c r="C87" s="774" t="s">
        <v>45</v>
      </c>
      <c r="D87" s="825">
        <v>0.2</v>
      </c>
      <c r="E87" s="774" t="s">
        <v>45</v>
      </c>
      <c r="F87" s="825">
        <v>0.45</v>
      </c>
      <c r="G87" s="774" t="s">
        <v>45</v>
      </c>
      <c r="H87" s="825">
        <v>13</v>
      </c>
      <c r="I87" s="774" t="s">
        <v>46</v>
      </c>
      <c r="J87" s="825">
        <f t="shared" ref="J87" si="5">ROUND(B87*D87*F87*H87,2)</f>
        <v>0.23</v>
      </c>
    </row>
    <row r="88" spans="1:10" s="577" customFormat="1" ht="17.25" customHeight="1" x14ac:dyDescent="0.2">
      <c r="A88" s="557"/>
      <c r="B88" s="592"/>
      <c r="C88" s="271"/>
      <c r="D88" s="271"/>
      <c r="E88" s="271"/>
      <c r="F88" s="271"/>
      <c r="G88" s="271"/>
      <c r="H88" s="271"/>
      <c r="I88" s="271"/>
      <c r="J88" s="592"/>
    </row>
    <row r="89" spans="1:10" s="572" customFormat="1" ht="17.25" customHeight="1" x14ac:dyDescent="0.2">
      <c r="B89" s="795" t="s">
        <v>47</v>
      </c>
      <c r="C89" s="797">
        <f>ROUND(SUM(J86:J87),2)</f>
        <v>0.23</v>
      </c>
      <c r="D89" s="824" t="s">
        <v>497</v>
      </c>
      <c r="E89" s="810"/>
      <c r="F89" s="557"/>
      <c r="G89" s="810"/>
      <c r="H89" s="557"/>
      <c r="I89" s="810"/>
    </row>
    <row r="90" spans="1:10" s="572" customFormat="1" ht="17.25" customHeight="1" x14ac:dyDescent="0.2">
      <c r="A90" s="807"/>
      <c r="B90" s="808"/>
      <c r="C90" s="368"/>
      <c r="D90" s="368"/>
      <c r="E90" s="368"/>
      <c r="F90" s="368"/>
      <c r="G90" s="368"/>
      <c r="H90" s="368"/>
      <c r="I90" s="368"/>
      <c r="J90" s="368"/>
    </row>
    <row r="91" spans="1:10" s="790" customFormat="1" ht="15.75" customHeight="1" x14ac:dyDescent="0.2">
      <c r="A91" s="788" t="str">
        <f>ORÇ!A448</f>
        <v>16.2.5</v>
      </c>
      <c r="B91" s="1713" t="str">
        <f>ORÇ!D448</f>
        <v>IMPERMEABILIZAÇÃO COM MASSA ASFÁLTICA PARA CONCRETO (2 DEMÃOS)</v>
      </c>
      <c r="C91" s="1713"/>
      <c r="D91" s="1713"/>
      <c r="E91" s="1713"/>
      <c r="F91" s="1713"/>
      <c r="G91" s="1713"/>
      <c r="H91" s="1713"/>
      <c r="I91" s="1713"/>
      <c r="J91" s="1713"/>
    </row>
    <row r="92" spans="1:10" s="577" customFormat="1" ht="17.25" customHeight="1" x14ac:dyDescent="0.2">
      <c r="A92" s="820"/>
      <c r="B92" s="1887"/>
      <c r="C92" s="1887"/>
      <c r="D92" s="1887"/>
      <c r="E92" s="1887"/>
      <c r="F92" s="1887"/>
      <c r="G92" s="1887"/>
      <c r="H92" s="1887"/>
      <c r="I92" s="1887"/>
      <c r="J92" s="1887"/>
    </row>
    <row r="93" spans="1:10" s="556" customFormat="1" ht="21.75" customHeight="1" x14ac:dyDescent="0.2">
      <c r="A93" s="829" t="s">
        <v>1341</v>
      </c>
      <c r="B93" s="823" t="s">
        <v>753</v>
      </c>
      <c r="C93" s="823"/>
      <c r="D93" s="831" t="s">
        <v>405</v>
      </c>
      <c r="E93" s="823"/>
      <c r="F93" s="831" t="s">
        <v>1355</v>
      </c>
      <c r="G93" s="823"/>
      <c r="H93" s="831" t="s">
        <v>469</v>
      </c>
      <c r="I93" s="823"/>
      <c r="J93" s="823" t="s">
        <v>213</v>
      </c>
    </row>
    <row r="94" spans="1:10" s="556" customFormat="1" ht="15.75" customHeight="1" x14ac:dyDescent="0.2">
      <c r="A94" s="829"/>
      <c r="B94" s="1889" t="s">
        <v>793</v>
      </c>
      <c r="C94" s="1890"/>
      <c r="D94" s="1890"/>
      <c r="E94" s="1890"/>
      <c r="F94" s="1890"/>
      <c r="G94" s="1890"/>
      <c r="H94" s="1890"/>
      <c r="I94" s="1890"/>
      <c r="J94" s="1891"/>
    </row>
    <row r="95" spans="1:10" s="577" customFormat="1" ht="17.25" customHeight="1" x14ac:dyDescent="0.2">
      <c r="A95" s="1885" t="s">
        <v>1343</v>
      </c>
      <c r="B95" s="825">
        <v>8.9700000000000006</v>
      </c>
      <c r="C95" s="774" t="s">
        <v>45</v>
      </c>
      <c r="D95" s="825">
        <v>0.5</v>
      </c>
      <c r="E95" s="774" t="s">
        <v>45</v>
      </c>
      <c r="F95" s="825">
        <v>2</v>
      </c>
      <c r="G95" s="774" t="s">
        <v>45</v>
      </c>
      <c r="H95" s="825">
        <v>1</v>
      </c>
      <c r="I95" s="774" t="s">
        <v>46</v>
      </c>
      <c r="J95" s="825">
        <f>ROUND(B95*D95*F95*H95,2)</f>
        <v>8.9700000000000006</v>
      </c>
    </row>
    <row r="96" spans="1:10" s="572" customFormat="1" ht="17.25" customHeight="1" x14ac:dyDescent="0.2">
      <c r="A96" s="1886"/>
      <c r="B96" s="825">
        <v>7.7</v>
      </c>
      <c r="C96" s="774" t="s">
        <v>45</v>
      </c>
      <c r="D96" s="825">
        <v>0.5</v>
      </c>
      <c r="E96" s="774" t="s">
        <v>45</v>
      </c>
      <c r="F96" s="825">
        <v>2</v>
      </c>
      <c r="G96" s="774" t="s">
        <v>45</v>
      </c>
      <c r="H96" s="825">
        <v>1</v>
      </c>
      <c r="I96" s="774" t="s">
        <v>46</v>
      </c>
      <c r="J96" s="825">
        <f t="shared" ref="J96:J97" si="6">ROUND(B96*D96*F96*H96,2)</f>
        <v>7.7</v>
      </c>
    </row>
    <row r="97" spans="1:10" s="572" customFormat="1" ht="17.25" customHeight="1" x14ac:dyDescent="0.2">
      <c r="A97" s="804" t="s">
        <v>420</v>
      </c>
      <c r="B97" s="825">
        <v>0.6</v>
      </c>
      <c r="C97" s="774" t="s">
        <v>45</v>
      </c>
      <c r="D97" s="825">
        <v>0.5</v>
      </c>
      <c r="E97" s="774" t="s">
        <v>45</v>
      </c>
      <c r="F97" s="825">
        <v>4</v>
      </c>
      <c r="G97" s="774" t="s">
        <v>45</v>
      </c>
      <c r="H97" s="825">
        <v>6</v>
      </c>
      <c r="I97" s="774" t="s">
        <v>46</v>
      </c>
      <c r="J97" s="825">
        <f t="shared" si="6"/>
        <v>7.2</v>
      </c>
    </row>
    <row r="98" spans="1:10" s="556" customFormat="1" ht="15.75" customHeight="1" x14ac:dyDescent="0.2">
      <c r="A98" s="829"/>
      <c r="B98" s="1889" t="s">
        <v>1344</v>
      </c>
      <c r="C98" s="1890"/>
      <c r="D98" s="1890"/>
      <c r="E98" s="1890"/>
      <c r="F98" s="1890"/>
      <c r="G98" s="1890"/>
      <c r="H98" s="1890"/>
      <c r="I98" s="1890"/>
      <c r="J98" s="1891"/>
    </row>
    <row r="99" spans="1:10" s="572" customFormat="1" ht="17.25" customHeight="1" x14ac:dyDescent="0.2">
      <c r="A99" s="804" t="s">
        <v>1295</v>
      </c>
      <c r="B99" s="825">
        <v>0.2</v>
      </c>
      <c r="C99" s="774" t="s">
        <v>45</v>
      </c>
      <c r="D99" s="825">
        <v>0.45</v>
      </c>
      <c r="E99" s="774" t="s">
        <v>45</v>
      </c>
      <c r="F99" s="825">
        <v>4</v>
      </c>
      <c r="G99" s="774" t="s">
        <v>45</v>
      </c>
      <c r="H99" s="825">
        <v>13</v>
      </c>
      <c r="I99" s="774" t="s">
        <v>46</v>
      </c>
      <c r="J99" s="825">
        <f t="shared" ref="J99" si="7">ROUND(B99*D99*F99*H99,2)</f>
        <v>4.68</v>
      </c>
    </row>
    <row r="100" spans="1:10" s="577" customFormat="1" ht="17.25" customHeight="1" x14ac:dyDescent="0.2">
      <c r="A100" s="557"/>
      <c r="B100" s="592"/>
      <c r="C100" s="271"/>
      <c r="D100" s="271"/>
      <c r="E100" s="271"/>
      <c r="F100" s="271"/>
      <c r="G100" s="271"/>
      <c r="H100" s="271"/>
      <c r="I100" s="271"/>
      <c r="J100" s="592"/>
    </row>
    <row r="101" spans="1:10" s="572" customFormat="1" ht="17.25" customHeight="1" x14ac:dyDescent="0.2">
      <c r="B101" s="795" t="s">
        <v>47</v>
      </c>
      <c r="C101" s="797">
        <f>ROUND(SUM(J95:J99),2)</f>
        <v>28.55</v>
      </c>
      <c r="D101" s="824" t="s">
        <v>4</v>
      </c>
      <c r="E101" s="810"/>
      <c r="F101" s="557"/>
      <c r="G101" s="810"/>
      <c r="H101" s="557"/>
      <c r="I101" s="810"/>
    </row>
    <row r="102" spans="1:10" s="572" customFormat="1" ht="17.25" customHeight="1" x14ac:dyDescent="0.2"/>
    <row r="103" spans="1:10" s="790" customFormat="1" ht="15.75" customHeight="1" x14ac:dyDescent="0.2">
      <c r="A103" s="788" t="str">
        <f>ORÇ!A449</f>
        <v>16.2.6</v>
      </c>
      <c r="B103" s="1713" t="str">
        <f>ORÇ!D449</f>
        <v>REATERRO MANUAL APILOADO COM SOQUETE. AF_10/2017</v>
      </c>
      <c r="C103" s="1713"/>
      <c r="D103" s="1713"/>
      <c r="E103" s="1713"/>
      <c r="F103" s="1713"/>
      <c r="G103" s="1713"/>
      <c r="H103" s="1713"/>
      <c r="I103" s="1713"/>
      <c r="J103" s="1713"/>
    </row>
    <row r="104" spans="1:10" s="577" customFormat="1" ht="17.25" customHeight="1" x14ac:dyDescent="0.2">
      <c r="A104" s="820"/>
      <c r="B104" s="1887"/>
      <c r="C104" s="1887"/>
      <c r="D104" s="1887"/>
      <c r="E104" s="1887"/>
      <c r="F104" s="1887"/>
      <c r="G104" s="1887"/>
      <c r="H104" s="1887"/>
      <c r="I104" s="1887"/>
      <c r="J104" s="1887"/>
    </row>
    <row r="105" spans="1:10" s="840" customFormat="1" ht="35.25" customHeight="1" x14ac:dyDescent="0.2">
      <c r="A105" s="837"/>
      <c r="B105" s="831" t="s">
        <v>1356</v>
      </c>
      <c r="C105" s="831"/>
      <c r="D105" s="831" t="s">
        <v>1357</v>
      </c>
      <c r="E105" s="831"/>
      <c r="F105" s="831" t="s">
        <v>1358</v>
      </c>
      <c r="G105" s="831"/>
      <c r="H105" s="841" t="s">
        <v>312</v>
      </c>
      <c r="I105" s="838"/>
      <c r="J105" s="838"/>
    </row>
    <row r="106" spans="1:10" s="557" customFormat="1" ht="27.75" customHeight="1" x14ac:dyDescent="0.2">
      <c r="B106" s="825">
        <f>C62</f>
        <v>0.39</v>
      </c>
      <c r="C106" s="774" t="s">
        <v>215</v>
      </c>
      <c r="D106" s="825">
        <f>0.05*D70</f>
        <v>3.9000000000000007E-2</v>
      </c>
      <c r="E106" s="774" t="s">
        <v>215</v>
      </c>
      <c r="F106" s="825">
        <f>C89</f>
        <v>0.23</v>
      </c>
      <c r="G106" s="774" t="s">
        <v>46</v>
      </c>
      <c r="H106" s="842">
        <f>ROUND(B106-D106-F106,2)</f>
        <v>0.12</v>
      </c>
      <c r="I106" s="271"/>
      <c r="J106" s="271"/>
    </row>
    <row r="107" spans="1:10" s="572" customFormat="1" ht="17.25" customHeight="1" x14ac:dyDescent="0.2">
      <c r="B107" s="811"/>
      <c r="C107" s="794"/>
      <c r="D107" s="793"/>
      <c r="E107" s="794"/>
      <c r="F107" s="793"/>
      <c r="G107" s="794"/>
      <c r="H107" s="793"/>
      <c r="I107" s="794"/>
    </row>
    <row r="108" spans="1:10" s="790" customFormat="1" ht="15.75" customHeight="1" x14ac:dyDescent="0.2">
      <c r="A108" s="788" t="str">
        <f>ORÇ!A450</f>
        <v>16.3</v>
      </c>
      <c r="B108" s="1713" t="str">
        <f>ORÇ!D450</f>
        <v>Construção, Revestimento e Pintura</v>
      </c>
      <c r="C108" s="1713"/>
      <c r="D108" s="1713"/>
      <c r="E108" s="1713"/>
      <c r="F108" s="1713"/>
      <c r="G108" s="1713"/>
      <c r="H108" s="1713"/>
      <c r="I108" s="1713"/>
      <c r="J108" s="1713"/>
    </row>
    <row r="109" spans="1:10" s="790" customFormat="1" ht="24" customHeight="1" x14ac:dyDescent="0.2">
      <c r="A109" s="788" t="str">
        <f>ORÇ!A451</f>
        <v>16.3.1</v>
      </c>
      <c r="B109" s="1710" t="str">
        <f>ORÇ!D451</f>
        <v>MURO EM ALVENARIA REBOCADO E PINTADO 2 FACES(H=2.0M)</v>
      </c>
      <c r="C109" s="1710"/>
      <c r="D109" s="1710"/>
      <c r="E109" s="1710"/>
      <c r="F109" s="1710"/>
      <c r="G109" s="1710"/>
      <c r="H109" s="1710"/>
      <c r="I109" s="1710"/>
      <c r="J109" s="1710"/>
    </row>
    <row r="110" spans="1:10" s="577" customFormat="1" ht="17.25" customHeight="1" x14ac:dyDescent="0.2">
      <c r="A110" s="820"/>
      <c r="B110" s="1887"/>
      <c r="C110" s="1887"/>
      <c r="D110" s="1887"/>
      <c r="E110" s="1887"/>
      <c r="F110" s="1887"/>
      <c r="G110" s="1887"/>
      <c r="H110" s="1887"/>
      <c r="I110" s="1887"/>
      <c r="J110" s="1887"/>
    </row>
    <row r="111" spans="1:10" s="577" customFormat="1" ht="17.25" customHeight="1" x14ac:dyDescent="0.2">
      <c r="A111" s="557"/>
      <c r="B111" s="832" t="s">
        <v>793</v>
      </c>
      <c r="C111" s="823" t="s">
        <v>753</v>
      </c>
      <c r="D111" s="271"/>
      <c r="E111" s="271"/>
      <c r="F111" s="271"/>
      <c r="G111" s="271"/>
      <c r="H111" s="271"/>
      <c r="I111" s="271"/>
      <c r="J111" s="592"/>
    </row>
    <row r="112" spans="1:10" s="572" customFormat="1" ht="15" customHeight="1" x14ac:dyDescent="0.2">
      <c r="B112" s="1885" t="s">
        <v>1362</v>
      </c>
      <c r="C112" s="843">
        <v>9.6</v>
      </c>
      <c r="D112" s="793"/>
      <c r="E112" s="794"/>
      <c r="F112" s="793"/>
      <c r="G112" s="794"/>
      <c r="H112" s="793"/>
      <c r="I112" s="794"/>
    </row>
    <row r="113" spans="1:13" s="572" customFormat="1" ht="15" customHeight="1" x14ac:dyDescent="0.2">
      <c r="B113" s="1886"/>
      <c r="C113" s="825">
        <v>8.3000000000000007</v>
      </c>
      <c r="D113" s="793"/>
      <c r="E113" s="794"/>
      <c r="F113" s="793"/>
      <c r="G113" s="794"/>
      <c r="H113" s="793"/>
      <c r="I113" s="794"/>
    </row>
    <row r="114" spans="1:13" s="572" customFormat="1" ht="17.25" customHeight="1" x14ac:dyDescent="0.2">
      <c r="B114" s="577"/>
      <c r="C114" s="794"/>
      <c r="D114" s="793"/>
      <c r="E114" s="794"/>
      <c r="F114" s="793"/>
      <c r="G114" s="794"/>
      <c r="H114" s="793"/>
      <c r="I114" s="794"/>
    </row>
    <row r="115" spans="1:13" s="572" customFormat="1" ht="17.25" customHeight="1" x14ac:dyDescent="0.2">
      <c r="B115" s="795" t="s">
        <v>47</v>
      </c>
      <c r="C115" s="797">
        <f>ROUND(SUM(C112:C114),2)</f>
        <v>17.899999999999999</v>
      </c>
      <c r="D115" s="824" t="s">
        <v>12</v>
      </c>
      <c r="E115" s="794"/>
      <c r="F115" s="793"/>
      <c r="G115" s="794"/>
      <c r="H115" s="793"/>
      <c r="I115" s="794"/>
      <c r="M115" s="846"/>
    </row>
    <row r="116" spans="1:13" s="577" customFormat="1" ht="17.25" customHeight="1" x14ac:dyDescent="0.2">
      <c r="A116" s="557"/>
      <c r="B116" s="592"/>
      <c r="C116" s="271"/>
      <c r="D116" s="271"/>
      <c r="E116" s="271"/>
      <c r="F116" s="271"/>
      <c r="G116" s="271"/>
      <c r="H116" s="271"/>
      <c r="I116" s="271"/>
      <c r="J116" s="592"/>
    </row>
    <row r="117" spans="1:13" s="790" customFormat="1" ht="15.75" customHeight="1" x14ac:dyDescent="0.2">
      <c r="A117" s="788" t="str">
        <f>ORÇ!A452</f>
        <v>16.3.2</v>
      </c>
      <c r="B117" s="1713" t="str">
        <f>ORÇ!D452</f>
        <v>CINTA DE AMARRAÇÃO DE ALVENARIA MOLDADA IN LOCO EM CONCRETO. AF_03/2016</v>
      </c>
      <c r="C117" s="1713"/>
      <c r="D117" s="1713"/>
      <c r="E117" s="1713"/>
      <c r="F117" s="1713"/>
      <c r="G117" s="1713"/>
      <c r="H117" s="1713"/>
      <c r="I117" s="1713"/>
      <c r="J117" s="1713"/>
    </row>
    <row r="118" spans="1:13" s="577" customFormat="1" ht="17.25" customHeight="1" x14ac:dyDescent="0.2">
      <c r="A118" s="820"/>
      <c r="B118" s="1887"/>
      <c r="C118" s="1887"/>
      <c r="D118" s="1887"/>
      <c r="E118" s="1887"/>
      <c r="F118" s="1887"/>
      <c r="G118" s="1887"/>
      <c r="H118" s="1887"/>
      <c r="I118" s="1887"/>
      <c r="J118" s="1887"/>
    </row>
    <row r="119" spans="1:13" s="577" customFormat="1" ht="17.25" customHeight="1" x14ac:dyDescent="0.2">
      <c r="A119" s="557"/>
      <c r="B119" s="832" t="s">
        <v>793</v>
      </c>
      <c r="C119" s="823" t="s">
        <v>753</v>
      </c>
      <c r="D119" s="271"/>
      <c r="E119" s="271"/>
      <c r="F119" s="271"/>
      <c r="G119" s="271"/>
      <c r="H119" s="271"/>
      <c r="I119" s="271"/>
      <c r="J119" s="592"/>
    </row>
    <row r="120" spans="1:13" s="572" customFormat="1" ht="17.25" customHeight="1" x14ac:dyDescent="0.2">
      <c r="B120" s="1885" t="s">
        <v>1362</v>
      </c>
      <c r="C120" s="843">
        <v>9.6</v>
      </c>
      <c r="D120" s="793"/>
      <c r="E120" s="794"/>
      <c r="F120" s="793"/>
      <c r="G120" s="794"/>
      <c r="H120" s="793"/>
      <c r="I120" s="794"/>
    </row>
    <row r="121" spans="1:13" s="572" customFormat="1" ht="17.25" customHeight="1" x14ac:dyDescent="0.2">
      <c r="B121" s="1886"/>
      <c r="C121" s="825">
        <v>8.3000000000000007</v>
      </c>
      <c r="D121" s="793"/>
      <c r="E121" s="794"/>
      <c r="F121" s="793"/>
      <c r="G121" s="794"/>
      <c r="H121" s="793"/>
      <c r="I121" s="794"/>
    </row>
    <row r="122" spans="1:13" s="572" customFormat="1" ht="17.25" customHeight="1" x14ac:dyDescent="0.2">
      <c r="B122" s="577"/>
      <c r="C122" s="794"/>
      <c r="D122" s="793"/>
      <c r="E122" s="794"/>
      <c r="F122" s="793"/>
      <c r="G122" s="794"/>
      <c r="H122" s="793"/>
      <c r="I122" s="794"/>
    </row>
    <row r="123" spans="1:13" s="572" customFormat="1" ht="17.25" customHeight="1" x14ac:dyDescent="0.2">
      <c r="B123" s="795" t="s">
        <v>47</v>
      </c>
      <c r="C123" s="797">
        <f>ROUND(SUM(C120:C122),2)</f>
        <v>17.899999999999999</v>
      </c>
      <c r="D123" s="824" t="s">
        <v>12</v>
      </c>
      <c r="E123" s="794"/>
      <c r="F123" s="793"/>
      <c r="G123" s="794"/>
      <c r="H123" s="793"/>
      <c r="I123" s="794"/>
      <c r="M123" s="846"/>
    </row>
    <row r="124" spans="1:13" s="577" customFormat="1" ht="17.25" customHeight="1" x14ac:dyDescent="0.2">
      <c r="A124" s="557"/>
      <c r="B124" s="592"/>
      <c r="C124" s="271"/>
      <c r="D124" s="271"/>
      <c r="E124" s="271"/>
      <c r="F124" s="271"/>
      <c r="G124" s="271"/>
      <c r="H124" s="271"/>
      <c r="I124" s="271"/>
      <c r="J124" s="592"/>
    </row>
    <row r="125" spans="1:13" s="790" customFormat="1" ht="33" customHeight="1" x14ac:dyDescent="0.2">
      <c r="A125" s="788" t="str">
        <f>ORÇ!A453</f>
        <v>16.3.3</v>
      </c>
      <c r="B125" s="1710" t="str">
        <f>ORÇ!D453</f>
        <v>CHAPIM EM CONCRETO APARENTE COM  PINGADEIRA E ACABAMENTO DESEMPENADO 21 X 8 CM. FONECIMENTO E INSTALAÇÃO.</v>
      </c>
      <c r="C125" s="1710"/>
      <c r="D125" s="1710"/>
      <c r="E125" s="1710"/>
      <c r="F125" s="1710"/>
      <c r="G125" s="1710"/>
      <c r="H125" s="1710"/>
      <c r="I125" s="1710"/>
      <c r="J125" s="1710"/>
    </row>
    <row r="126" spans="1:13" s="577" customFormat="1" ht="17.25" customHeight="1" x14ac:dyDescent="0.2">
      <c r="A126" s="820"/>
      <c r="B126" s="1887"/>
      <c r="C126" s="1887"/>
      <c r="D126" s="1887"/>
      <c r="E126" s="1887"/>
      <c r="F126" s="1887"/>
      <c r="G126" s="1887"/>
      <c r="H126" s="1887"/>
      <c r="I126" s="1887"/>
      <c r="J126" s="1887"/>
    </row>
    <row r="127" spans="1:13" s="577" customFormat="1" ht="17.25" customHeight="1" x14ac:dyDescent="0.2">
      <c r="A127" s="557"/>
      <c r="B127" s="832" t="s">
        <v>793</v>
      </c>
      <c r="C127" s="823" t="s">
        <v>753</v>
      </c>
      <c r="D127" s="271"/>
      <c r="E127" s="271"/>
      <c r="F127" s="271"/>
      <c r="G127" s="271"/>
      <c r="H127" s="271"/>
      <c r="I127" s="271"/>
      <c r="J127" s="592"/>
    </row>
    <row r="128" spans="1:13" s="572" customFormat="1" ht="17.25" customHeight="1" x14ac:dyDescent="0.2">
      <c r="B128" s="1885" t="s">
        <v>1362</v>
      </c>
      <c r="C128" s="843">
        <v>9.6</v>
      </c>
      <c r="D128" s="793"/>
      <c r="E128" s="794"/>
      <c r="F128" s="793"/>
      <c r="G128" s="794"/>
      <c r="H128" s="793"/>
      <c r="I128" s="794"/>
    </row>
    <row r="129" spans="1:10" s="572" customFormat="1" ht="17.25" customHeight="1" x14ac:dyDescent="0.2">
      <c r="B129" s="1886"/>
      <c r="C129" s="825">
        <v>8.3000000000000007</v>
      </c>
      <c r="D129" s="793"/>
      <c r="E129" s="794"/>
      <c r="F129" s="793"/>
      <c r="G129" s="794"/>
      <c r="H129" s="793"/>
      <c r="I129" s="794"/>
    </row>
    <row r="130" spans="1:10" s="572" customFormat="1" ht="17.25" customHeight="1" x14ac:dyDescent="0.2">
      <c r="B130" s="1885" t="s">
        <v>1363</v>
      </c>
      <c r="C130" s="825">
        <v>55</v>
      </c>
      <c r="D130" s="793"/>
      <c r="E130" s="794"/>
      <c r="F130" s="793"/>
      <c r="G130" s="794"/>
      <c r="H130" s="793"/>
      <c r="I130" s="794"/>
    </row>
    <row r="131" spans="1:10" s="572" customFormat="1" ht="17.25" customHeight="1" x14ac:dyDescent="0.2">
      <c r="B131" s="1886"/>
      <c r="C131" s="825">
        <v>55</v>
      </c>
      <c r="D131" s="793"/>
      <c r="E131" s="794"/>
      <c r="F131" s="793"/>
      <c r="G131" s="794"/>
      <c r="H131" s="793"/>
      <c r="I131" s="794"/>
    </row>
    <row r="132" spans="1:10" s="572" customFormat="1" ht="17.25" customHeight="1" x14ac:dyDescent="0.2">
      <c r="B132" s="821"/>
      <c r="C132" s="836"/>
      <c r="D132" s="793"/>
      <c r="E132" s="794"/>
      <c r="F132" s="793"/>
      <c r="G132" s="794"/>
      <c r="H132" s="793"/>
      <c r="I132" s="794"/>
    </row>
    <row r="133" spans="1:10" s="572" customFormat="1" ht="17.25" customHeight="1" x14ac:dyDescent="0.2">
      <c r="B133" s="795" t="s">
        <v>47</v>
      </c>
      <c r="C133" s="797">
        <f>ROUND(SUM(C128:C132),2)</f>
        <v>127.9</v>
      </c>
      <c r="D133" s="824" t="s">
        <v>12</v>
      </c>
      <c r="E133" s="794"/>
      <c r="F133" s="793"/>
      <c r="G133" s="794"/>
      <c r="H133" s="793"/>
      <c r="I133" s="794"/>
    </row>
    <row r="134" spans="1:10" s="572" customFormat="1" ht="17.25" customHeight="1" x14ac:dyDescent="0.2">
      <c r="B134" s="577"/>
      <c r="C134" s="810"/>
      <c r="D134" s="557"/>
      <c r="E134" s="810"/>
      <c r="F134" s="557"/>
      <c r="G134" s="810"/>
      <c r="H134" s="557"/>
      <c r="I134" s="810"/>
    </row>
    <row r="135" spans="1:10" s="790" customFormat="1" ht="15.75" customHeight="1" x14ac:dyDescent="0.2">
      <c r="A135" s="788" t="str">
        <f>ORÇ!A454</f>
        <v>16.3.4</v>
      </c>
      <c r="B135" s="1713" t="str">
        <f>ORÇ!D454</f>
        <v>APLICAÇÃO E LIXAMENTO DE MASSA LÁTEX EM PAREDES, UMA DEMÃO. AF_06/2014</v>
      </c>
      <c r="C135" s="1713"/>
      <c r="D135" s="1713"/>
      <c r="E135" s="1713"/>
      <c r="F135" s="1713"/>
      <c r="G135" s="1713"/>
      <c r="H135" s="1713"/>
      <c r="I135" s="1713"/>
      <c r="J135" s="1713"/>
    </row>
    <row r="136" spans="1:10" s="577" customFormat="1" ht="17.25" customHeight="1" x14ac:dyDescent="0.2">
      <c r="A136" s="820"/>
      <c r="B136" s="826"/>
      <c r="C136" s="826"/>
      <c r="D136" s="826"/>
      <c r="E136" s="826"/>
      <c r="F136" s="826"/>
      <c r="G136" s="826"/>
      <c r="H136" s="826"/>
      <c r="I136" s="826"/>
      <c r="J136" s="826"/>
    </row>
    <row r="137" spans="1:10" s="556" customFormat="1" ht="17.25" customHeight="1" x14ac:dyDescent="0.2">
      <c r="B137" s="832" t="s">
        <v>793</v>
      </c>
      <c r="C137" s="823" t="s">
        <v>753</v>
      </c>
      <c r="D137" s="823"/>
      <c r="E137" s="831" t="s">
        <v>311</v>
      </c>
      <c r="F137" s="823"/>
      <c r="G137" s="831" t="s">
        <v>1355</v>
      </c>
      <c r="H137" s="823"/>
      <c r="I137" s="823" t="s">
        <v>213</v>
      </c>
    </row>
    <row r="138" spans="1:10" s="572" customFormat="1" ht="17.25" customHeight="1" x14ac:dyDescent="0.2">
      <c r="B138" s="1885" t="s">
        <v>1363</v>
      </c>
      <c r="C138" s="825">
        <v>55</v>
      </c>
      <c r="D138" s="774" t="s">
        <v>45</v>
      </c>
      <c r="E138" s="825">
        <v>2</v>
      </c>
      <c r="F138" s="774" t="s">
        <v>45</v>
      </c>
      <c r="G138" s="825">
        <v>1</v>
      </c>
      <c r="H138" s="774" t="s">
        <v>46</v>
      </c>
      <c r="I138" s="843">
        <f t="shared" ref="I138:I139" si="8">ROUND(C138*E138*G138,2)</f>
        <v>110</v>
      </c>
    </row>
    <row r="139" spans="1:10" s="572" customFormat="1" ht="17.25" customHeight="1" x14ac:dyDescent="0.2">
      <c r="B139" s="1886"/>
      <c r="C139" s="825">
        <v>55</v>
      </c>
      <c r="D139" s="774" t="s">
        <v>45</v>
      </c>
      <c r="E139" s="825">
        <v>2</v>
      </c>
      <c r="F139" s="774" t="s">
        <v>45</v>
      </c>
      <c r="G139" s="825">
        <v>1</v>
      </c>
      <c r="H139" s="774" t="s">
        <v>46</v>
      </c>
      <c r="I139" s="843">
        <f t="shared" si="8"/>
        <v>110</v>
      </c>
    </row>
    <row r="140" spans="1:10" s="577" customFormat="1" ht="17.25" customHeight="1" x14ac:dyDescent="0.2">
      <c r="A140" s="557"/>
      <c r="B140" s="592"/>
      <c r="C140" s="271"/>
      <c r="D140" s="271"/>
      <c r="E140" s="271"/>
      <c r="F140" s="271"/>
      <c r="G140" s="271"/>
      <c r="H140" s="271"/>
      <c r="I140" s="271"/>
      <c r="J140" s="592"/>
    </row>
    <row r="141" spans="1:10" s="572" customFormat="1" ht="17.25" customHeight="1" x14ac:dyDescent="0.2">
      <c r="B141" s="795" t="s">
        <v>47</v>
      </c>
      <c r="C141" s="797">
        <f>ROUND(SUM(I138:I140),2)</f>
        <v>220</v>
      </c>
      <c r="D141" s="824" t="s">
        <v>4</v>
      </c>
      <c r="E141" s="810"/>
      <c r="F141" s="557"/>
      <c r="G141" s="810"/>
      <c r="H141" s="557"/>
      <c r="I141" s="810"/>
    </row>
    <row r="142" spans="1:10" s="572" customFormat="1" ht="17.25" customHeight="1" x14ac:dyDescent="0.2"/>
    <row r="143" spans="1:10" s="790" customFormat="1" ht="15.75" customHeight="1" x14ac:dyDescent="0.2">
      <c r="A143" s="788" t="str">
        <f>ORÇ!A455</f>
        <v>16.3.5</v>
      </c>
      <c r="B143" s="1713" t="str">
        <f>ORÇ!D455</f>
        <v>APLICAÇÃO DE FUNDO SELADOR ACRÍLICO EM PAREDES, UMA DEMÃO. AF_06/2014</v>
      </c>
      <c r="C143" s="1713"/>
      <c r="D143" s="1713"/>
      <c r="E143" s="1713"/>
      <c r="F143" s="1713"/>
      <c r="G143" s="1713"/>
      <c r="H143" s="1713"/>
      <c r="I143" s="1713"/>
      <c r="J143" s="1713"/>
    </row>
    <row r="144" spans="1:10" s="577" customFormat="1" ht="17.25" customHeight="1" x14ac:dyDescent="0.2">
      <c r="A144" s="820"/>
      <c r="B144" s="826"/>
      <c r="C144" s="826"/>
      <c r="D144" s="826"/>
      <c r="E144" s="826"/>
      <c r="F144" s="826"/>
      <c r="G144" s="826"/>
      <c r="H144" s="826"/>
      <c r="I144" s="826"/>
      <c r="J144" s="826"/>
    </row>
    <row r="145" spans="1:10" s="572" customFormat="1" ht="17.25" customHeight="1" x14ac:dyDescent="0.2">
      <c r="A145" s="807"/>
      <c r="B145" s="808" t="s">
        <v>1364</v>
      </c>
      <c r="C145" s="368"/>
      <c r="D145" s="368"/>
      <c r="E145" s="368"/>
      <c r="F145" s="368"/>
      <c r="G145" s="368"/>
      <c r="H145" s="368"/>
      <c r="I145" s="368"/>
      <c r="J145" s="368"/>
    </row>
    <row r="146" spans="1:10" s="572" customFormat="1" ht="17.25" customHeight="1" x14ac:dyDescent="0.2">
      <c r="B146" s="795" t="s">
        <v>47</v>
      </c>
      <c r="C146" s="797">
        <f>C141</f>
        <v>220</v>
      </c>
      <c r="D146" s="824" t="s">
        <v>4</v>
      </c>
      <c r="E146" s="810"/>
      <c r="F146" s="557"/>
      <c r="G146" s="810"/>
      <c r="H146" s="557"/>
      <c r="I146" s="810"/>
    </row>
    <row r="147" spans="1:10" s="572" customFormat="1" ht="17.25" customHeight="1" x14ac:dyDescent="0.2"/>
    <row r="148" spans="1:10" s="790" customFormat="1" ht="15.75" customHeight="1" x14ac:dyDescent="0.2">
      <c r="A148" s="788" t="str">
        <f>ORÇ!A456</f>
        <v>16.3.6</v>
      </c>
      <c r="B148" s="1713" t="str">
        <f>ORÇ!D456</f>
        <v>APLICAÇÃO MANUAL DE PINTURA COM TINTA LÁTEX ACRÍLICA EM PAREDES, DUAS DEMÃOS. AF_06/2014</v>
      </c>
      <c r="C148" s="1713"/>
      <c r="D148" s="1713"/>
      <c r="E148" s="1713"/>
      <c r="F148" s="1713"/>
      <c r="G148" s="1713"/>
      <c r="H148" s="1713"/>
      <c r="I148" s="1713"/>
      <c r="J148" s="1713"/>
    </row>
    <row r="149" spans="1:10" s="577" customFormat="1" ht="21" customHeight="1" x14ac:dyDescent="0.2">
      <c r="A149" s="820"/>
      <c r="B149" s="826"/>
      <c r="C149" s="826"/>
      <c r="D149" s="826"/>
      <c r="E149" s="826"/>
      <c r="F149" s="826"/>
      <c r="G149" s="826"/>
      <c r="H149" s="826"/>
      <c r="I149" s="826"/>
      <c r="J149" s="826"/>
    </row>
    <row r="150" spans="1:10" s="572" customFormat="1" ht="17.25" customHeight="1" x14ac:dyDescent="0.2">
      <c r="A150" s="807"/>
      <c r="B150" s="808" t="s">
        <v>1364</v>
      </c>
      <c r="C150" s="368"/>
      <c r="D150" s="368"/>
      <c r="E150" s="368"/>
      <c r="F150" s="368"/>
      <c r="G150" s="368"/>
      <c r="H150" s="368"/>
      <c r="I150" s="368"/>
      <c r="J150" s="368"/>
    </row>
    <row r="151" spans="1:10" s="572" customFormat="1" ht="17.25" customHeight="1" x14ac:dyDescent="0.2">
      <c r="B151" s="795" t="s">
        <v>47</v>
      </c>
      <c r="C151" s="797">
        <f>C146</f>
        <v>220</v>
      </c>
      <c r="D151" s="824" t="s">
        <v>4</v>
      </c>
      <c r="E151" s="810"/>
      <c r="F151" s="557"/>
      <c r="G151" s="810"/>
      <c r="H151" s="557"/>
      <c r="I151" s="810"/>
    </row>
    <row r="152" spans="1:10" s="572" customFormat="1" ht="17.25" customHeight="1" x14ac:dyDescent="0.2"/>
    <row r="153" spans="1:10" s="790" customFormat="1" ht="15.75" customHeight="1" x14ac:dyDescent="0.2">
      <c r="A153" s="788" t="str">
        <f>ORÇ!A457</f>
        <v>16.4</v>
      </c>
      <c r="B153" s="1713" t="str">
        <f>ORÇ!D457</f>
        <v>Alambrado e Esquadria</v>
      </c>
      <c r="C153" s="1713"/>
      <c r="D153" s="1713"/>
      <c r="E153" s="1713"/>
      <c r="F153" s="1713"/>
      <c r="G153" s="1713"/>
      <c r="H153" s="1713"/>
      <c r="I153" s="1713"/>
      <c r="J153" s="1713"/>
    </row>
    <row r="154" spans="1:10" s="790" customFormat="1" ht="42" customHeight="1" x14ac:dyDescent="0.2">
      <c r="A154" s="788" t="str">
        <f>ORÇ!A458</f>
        <v>16.4.1</v>
      </c>
      <c r="B154" s="1710" t="str">
        <f>ORÇ!D458</f>
        <v>ALAMBRADO PARA QUADRA POLIESPORTIVA, ESTRUTURADO POR TUBOS DE ACO GALVANIZADO, (MONTANTES COM DIAMETRO 2", TRAVESSAS E ESCORAS COM DIÂMETRO 1 ¼), COM TELA DE ARAME GALVANIZADO, FIO 10 BWG E MALHA QUADRADA 5X5CM (EXCETO MURETA). AF_03/2021</v>
      </c>
      <c r="C154" s="1710"/>
      <c r="D154" s="1710"/>
      <c r="E154" s="1710"/>
      <c r="F154" s="1710"/>
      <c r="G154" s="1710"/>
      <c r="H154" s="1710"/>
      <c r="I154" s="1710"/>
      <c r="J154" s="1710"/>
    </row>
    <row r="155" spans="1:10" s="577" customFormat="1" ht="17.25" customHeight="1" x14ac:dyDescent="0.2">
      <c r="A155" s="820"/>
      <c r="B155" s="826"/>
      <c r="C155" s="826"/>
      <c r="D155" s="826"/>
      <c r="E155" s="826"/>
      <c r="F155" s="826"/>
      <c r="G155" s="826"/>
      <c r="H155" s="826"/>
      <c r="I155" s="826"/>
      <c r="J155" s="826"/>
    </row>
    <row r="156" spans="1:10" s="556" customFormat="1" ht="17.25" customHeight="1" x14ac:dyDescent="0.2">
      <c r="A156" s="809"/>
      <c r="B156" s="823" t="s">
        <v>48</v>
      </c>
      <c r="C156" s="823" t="s">
        <v>753</v>
      </c>
      <c r="D156" s="823"/>
      <c r="E156" s="823" t="s">
        <v>311</v>
      </c>
      <c r="F156" s="823"/>
      <c r="G156" s="823" t="s">
        <v>213</v>
      </c>
      <c r="H156" s="397"/>
      <c r="I156" s="397"/>
      <c r="J156" s="397"/>
    </row>
    <row r="157" spans="1:10" s="577" customFormat="1" ht="17.25" customHeight="1" x14ac:dyDescent="0.2">
      <c r="A157" s="557"/>
      <c r="B157" s="2" t="s">
        <v>1366</v>
      </c>
      <c r="C157" s="825">
        <v>6</v>
      </c>
      <c r="D157" s="774" t="s">
        <v>45</v>
      </c>
      <c r="E157" s="825">
        <v>2.35</v>
      </c>
      <c r="F157" s="774" t="s">
        <v>46</v>
      </c>
      <c r="G157" s="825">
        <f>ROUND(C157*E157,2)</f>
        <v>14.1</v>
      </c>
      <c r="H157" s="271"/>
      <c r="I157" s="271"/>
      <c r="J157" s="592"/>
    </row>
    <row r="158" spans="1:10" s="577" customFormat="1" ht="17.25" customHeight="1" x14ac:dyDescent="0.2">
      <c r="A158" s="557"/>
      <c r="B158" s="2" t="s">
        <v>1367</v>
      </c>
      <c r="C158" s="825">
        <v>11.85</v>
      </c>
      <c r="D158" s="774" t="s">
        <v>45</v>
      </c>
      <c r="E158" s="825">
        <v>2.35</v>
      </c>
      <c r="F158" s="774" t="s">
        <v>46</v>
      </c>
      <c r="G158" s="825">
        <f t="shared" ref="G158:G160" si="9">ROUND(C158*E158,2)</f>
        <v>27.85</v>
      </c>
      <c r="H158" s="271"/>
      <c r="I158" s="271"/>
      <c r="J158" s="592"/>
    </row>
    <row r="159" spans="1:10" s="577" customFormat="1" ht="17.25" customHeight="1" x14ac:dyDescent="0.2">
      <c r="A159" s="557"/>
      <c r="B159" s="1885" t="s">
        <v>1368</v>
      </c>
      <c r="C159" s="825">
        <v>0.8</v>
      </c>
      <c r="D159" s="774" t="s">
        <v>45</v>
      </c>
      <c r="E159" s="825">
        <v>2.35</v>
      </c>
      <c r="F159" s="774" t="s">
        <v>46</v>
      </c>
      <c r="G159" s="825">
        <f t="shared" si="9"/>
        <v>1.88</v>
      </c>
      <c r="H159" s="271"/>
      <c r="I159" s="271"/>
      <c r="J159" s="592"/>
    </row>
    <row r="160" spans="1:10" s="577" customFormat="1" ht="17.25" customHeight="1" x14ac:dyDescent="0.2">
      <c r="A160" s="557"/>
      <c r="B160" s="1886"/>
      <c r="C160" s="825">
        <v>1.9</v>
      </c>
      <c r="D160" s="774" t="s">
        <v>45</v>
      </c>
      <c r="E160" s="825">
        <v>2.35</v>
      </c>
      <c r="F160" s="774" t="s">
        <v>46</v>
      </c>
      <c r="G160" s="825">
        <f t="shared" si="9"/>
        <v>4.47</v>
      </c>
      <c r="H160" s="271"/>
      <c r="I160" s="271"/>
      <c r="J160" s="592"/>
    </row>
    <row r="161" spans="1:10" s="577" customFormat="1" ht="17.25" customHeight="1" x14ac:dyDescent="0.2">
      <c r="A161" s="557"/>
      <c r="B161" s="592"/>
      <c r="C161" s="271"/>
      <c r="D161" s="271"/>
      <c r="E161" s="271"/>
      <c r="F161" s="271"/>
      <c r="G161" s="271"/>
      <c r="H161" s="271"/>
      <c r="I161" s="271"/>
      <c r="J161" s="592"/>
    </row>
    <row r="162" spans="1:10" s="572" customFormat="1" ht="17.25" customHeight="1" x14ac:dyDescent="0.2">
      <c r="B162" s="795" t="s">
        <v>47</v>
      </c>
      <c r="C162" s="797">
        <f>ROUND(SUM(G157:G161),2)</f>
        <v>48.3</v>
      </c>
      <c r="D162" s="824" t="s">
        <v>4</v>
      </c>
      <c r="E162" s="794"/>
      <c r="F162" s="793"/>
      <c r="G162" s="794"/>
      <c r="H162" s="793"/>
      <c r="I162" s="794"/>
    </row>
    <row r="163" spans="1:10" s="572" customFormat="1" ht="17.25" customHeight="1" x14ac:dyDescent="0.2"/>
    <row r="164" spans="1:10" s="790" customFormat="1" ht="34.5" customHeight="1" x14ac:dyDescent="0.2">
      <c r="A164" s="788" t="str">
        <f>ORÇ!A459</f>
        <v>16.4.2</v>
      </c>
      <c r="B164" s="1710" t="str">
        <f>ORÇ!D459</f>
        <v>PINTURA COM TINTA ALQUÍDICA DE FUNDO (TIPO ZARCÃO) PULVERIZADA SOBRE PERFIL METÁLICO EXECUTADO EM FÁBRICA (POR DEMÃO). AF_01/2020_P</v>
      </c>
      <c r="C164" s="1710"/>
      <c r="D164" s="1710"/>
      <c r="E164" s="1710"/>
      <c r="F164" s="1710"/>
      <c r="G164" s="1710"/>
      <c r="H164" s="1710"/>
      <c r="I164" s="1710"/>
      <c r="J164" s="1710"/>
    </row>
    <row r="165" spans="1:10" s="790" customFormat="1" ht="15.75" customHeight="1" x14ac:dyDescent="0.2">
      <c r="A165" s="788"/>
      <c r="B165" s="6"/>
      <c r="C165" s="6"/>
      <c r="D165" s="6"/>
      <c r="E165" s="6"/>
      <c r="F165" s="6"/>
      <c r="G165" s="6"/>
      <c r="H165" s="6"/>
      <c r="I165" s="6"/>
      <c r="J165" s="6"/>
    </row>
    <row r="166" spans="1:10" s="566" customFormat="1" ht="17.25" customHeight="1" x14ac:dyDescent="0.2">
      <c r="A166" s="809"/>
      <c r="B166" s="1887" t="s">
        <v>1370</v>
      </c>
      <c r="C166" s="1887"/>
      <c r="D166" s="1887"/>
      <c r="E166" s="1887"/>
      <c r="F166" s="839"/>
      <c r="G166" s="839"/>
      <c r="H166" s="839"/>
      <c r="I166" s="839"/>
      <c r="J166" s="839"/>
    </row>
    <row r="167" spans="1:10" s="572" customFormat="1" ht="17.25" customHeight="1" x14ac:dyDescent="0.2">
      <c r="B167" s="795" t="s">
        <v>47</v>
      </c>
      <c r="C167" s="797">
        <f>C162</f>
        <v>48.3</v>
      </c>
      <c r="D167" s="824" t="s">
        <v>4</v>
      </c>
      <c r="E167" s="794"/>
      <c r="F167" s="793"/>
      <c r="G167" s="794"/>
      <c r="H167" s="793"/>
      <c r="I167" s="794"/>
    </row>
    <row r="168" spans="1:10" s="554" customFormat="1" ht="17.25" customHeight="1" x14ac:dyDescent="0.2">
      <c r="A168" s="572"/>
      <c r="B168" s="577"/>
      <c r="C168" s="794"/>
      <c r="D168" s="793"/>
      <c r="E168" s="794"/>
      <c r="F168" s="793"/>
      <c r="G168" s="794"/>
      <c r="H168" s="793"/>
      <c r="I168" s="794"/>
      <c r="J168" s="572"/>
    </row>
    <row r="169" spans="1:10" s="554" customFormat="1" ht="17.25" customHeight="1" x14ac:dyDescent="0.2">
      <c r="A169" s="572"/>
      <c r="B169" s="1888" t="s">
        <v>1369</v>
      </c>
      <c r="C169" s="1888"/>
      <c r="D169" s="1888"/>
      <c r="E169" s="1888"/>
      <c r="F169" s="1888"/>
      <c r="G169" s="1888"/>
      <c r="H169" s="1888"/>
      <c r="I169" s="1888"/>
      <c r="J169" s="1888"/>
    </row>
    <row r="170" spans="1:10" s="554" customFormat="1" ht="17.25" customHeight="1" x14ac:dyDescent="0.2">
      <c r="A170" s="572"/>
      <c r="B170" s="1888"/>
      <c r="C170" s="1888"/>
      <c r="D170" s="1888"/>
      <c r="E170" s="1888"/>
      <c r="F170" s="1888"/>
      <c r="G170" s="1888"/>
      <c r="H170" s="1888"/>
      <c r="I170" s="1888"/>
      <c r="J170" s="1888"/>
    </row>
    <row r="171" spans="1:10" s="554" customFormat="1" ht="17.25" customHeight="1" x14ac:dyDescent="0.2">
      <c r="A171" s="572"/>
      <c r="B171" s="577"/>
      <c r="C171" s="810"/>
      <c r="D171" s="557"/>
      <c r="E171" s="810"/>
      <c r="F171" s="557"/>
      <c r="G171" s="810"/>
      <c r="H171" s="557"/>
      <c r="I171" s="810"/>
      <c r="J171" s="572"/>
    </row>
    <row r="172" spans="1:10" s="790" customFormat="1" ht="15.75" customHeight="1" x14ac:dyDescent="0.2">
      <c r="A172" s="788" t="str">
        <f>ORÇ!A460</f>
        <v>16.4.3</v>
      </c>
      <c r="B172" s="1713" t="str">
        <f>ORÇ!D460</f>
        <v>PORTÃO TIPO GRADIL DE 2'',INCLUINDO: REQUADRO, FIXAÇÃO, FERROLHO, CADEADO E PINTURA ANTI CORROSIVA. FORNECIMENTO E INSTALAÇÃO.</v>
      </c>
      <c r="C172" s="1713"/>
      <c r="D172" s="1713"/>
      <c r="E172" s="1713"/>
      <c r="F172" s="1713"/>
      <c r="G172" s="1713"/>
      <c r="H172" s="1713"/>
      <c r="I172" s="1713"/>
      <c r="J172" s="1713"/>
    </row>
    <row r="173" spans="1:10" s="577" customFormat="1" ht="17.25" customHeight="1" x14ac:dyDescent="0.2">
      <c r="A173" s="820"/>
      <c r="B173" s="826"/>
      <c r="C173" s="826"/>
      <c r="D173" s="826"/>
      <c r="E173" s="826"/>
      <c r="F173" s="826"/>
      <c r="G173" s="826"/>
      <c r="H173" s="826"/>
      <c r="I173" s="826"/>
      <c r="J173" s="826"/>
    </row>
    <row r="174" spans="1:10" s="556" customFormat="1" ht="17.25" customHeight="1" x14ac:dyDescent="0.2">
      <c r="A174" s="809"/>
      <c r="B174" s="823" t="s">
        <v>48</v>
      </c>
      <c r="C174" s="823" t="s">
        <v>753</v>
      </c>
      <c r="D174" s="823"/>
      <c r="E174" s="823" t="s">
        <v>311</v>
      </c>
      <c r="F174" s="823"/>
      <c r="G174" s="823" t="s">
        <v>213</v>
      </c>
      <c r="H174" s="397"/>
      <c r="I174" s="397"/>
      <c r="J174" s="397"/>
    </row>
    <row r="175" spans="1:10" s="577" customFormat="1" ht="17.25" customHeight="1" x14ac:dyDescent="0.2">
      <c r="A175" s="557"/>
      <c r="B175" s="1885" t="s">
        <v>1368</v>
      </c>
      <c r="C175" s="825">
        <v>2</v>
      </c>
      <c r="D175" s="774" t="s">
        <v>45</v>
      </c>
      <c r="E175" s="825">
        <v>1.9</v>
      </c>
      <c r="F175" s="774" t="s">
        <v>46</v>
      </c>
      <c r="G175" s="825">
        <f>ROUND(C175*E175,2)</f>
        <v>3.8</v>
      </c>
      <c r="H175" s="271"/>
      <c r="I175" s="271"/>
      <c r="J175" s="592"/>
    </row>
    <row r="176" spans="1:10" s="577" customFormat="1" ht="17.25" customHeight="1" x14ac:dyDescent="0.2">
      <c r="A176" s="557"/>
      <c r="B176" s="1886"/>
      <c r="C176" s="825">
        <v>3</v>
      </c>
      <c r="D176" s="774" t="s">
        <v>45</v>
      </c>
      <c r="E176" s="825">
        <v>1.96</v>
      </c>
      <c r="F176" s="774" t="s">
        <v>46</v>
      </c>
      <c r="G176" s="825">
        <f t="shared" ref="G176:G177" si="10">ROUND(C176*E176,2)</f>
        <v>5.88</v>
      </c>
      <c r="H176" s="271"/>
      <c r="I176" s="271"/>
      <c r="J176" s="592"/>
    </row>
    <row r="177" spans="1:10" s="577" customFormat="1" ht="17.25" customHeight="1" x14ac:dyDescent="0.2">
      <c r="A177" s="557"/>
      <c r="B177" s="2" t="s">
        <v>1371</v>
      </c>
      <c r="C177" s="825">
        <v>1.8</v>
      </c>
      <c r="D177" s="774" t="s">
        <v>45</v>
      </c>
      <c r="E177" s="825">
        <v>1.9</v>
      </c>
      <c r="F177" s="774" t="s">
        <v>46</v>
      </c>
      <c r="G177" s="825">
        <f t="shared" si="10"/>
        <v>3.42</v>
      </c>
      <c r="H177" s="271"/>
      <c r="I177" s="271"/>
      <c r="J177" s="592"/>
    </row>
    <row r="178" spans="1:10" s="577" customFormat="1" ht="17.25" customHeight="1" x14ac:dyDescent="0.2">
      <c r="A178" s="557"/>
      <c r="B178" s="592"/>
      <c r="C178" s="271"/>
      <c r="D178" s="271"/>
      <c r="E178" s="271"/>
      <c r="F178" s="271"/>
      <c r="G178" s="271"/>
      <c r="H178" s="271"/>
      <c r="I178" s="271"/>
      <c r="J178" s="592"/>
    </row>
    <row r="179" spans="1:10" s="572" customFormat="1" ht="17.25" customHeight="1" x14ac:dyDescent="0.2">
      <c r="B179" s="795" t="s">
        <v>47</v>
      </c>
      <c r="C179" s="797">
        <f>ROUND(SUM(G175:G178),2)</f>
        <v>13.1</v>
      </c>
      <c r="D179" s="824" t="s">
        <v>4</v>
      </c>
      <c r="E179" s="794"/>
      <c r="F179" s="793"/>
      <c r="G179" s="794"/>
      <c r="H179" s="793"/>
      <c r="I179" s="794"/>
    </row>
    <row r="180" spans="1:10" s="572" customFormat="1" ht="17.25" customHeight="1" x14ac:dyDescent="0.2"/>
    <row r="181" spans="1:10" s="572" customFormat="1" x14ac:dyDescent="0.2">
      <c r="C181" s="794"/>
      <c r="D181" s="793"/>
    </row>
    <row r="182" spans="1:10" s="572" customFormat="1" x14ac:dyDescent="0.2"/>
    <row r="183" spans="1:10" s="566" customFormat="1" ht="42.75" customHeight="1" x14ac:dyDescent="0.2">
      <c r="A183" s="809"/>
      <c r="B183" s="1892"/>
      <c r="C183" s="1892"/>
      <c r="D183" s="1892"/>
      <c r="E183" s="1892"/>
      <c r="F183" s="1892"/>
      <c r="G183" s="1892"/>
      <c r="H183" s="1892"/>
      <c r="I183" s="1892"/>
      <c r="J183" s="1892"/>
    </row>
    <row r="184" spans="1:10" s="554" customFormat="1" x14ac:dyDescent="0.2">
      <c r="A184" s="807"/>
      <c r="B184" s="808"/>
      <c r="C184" s="368"/>
      <c r="D184" s="368"/>
      <c r="E184" s="368"/>
      <c r="F184" s="368"/>
      <c r="G184" s="368"/>
      <c r="H184" s="368"/>
      <c r="I184" s="368"/>
      <c r="J184" s="368"/>
    </row>
    <row r="185" spans="1:10" s="566" customFormat="1" x14ac:dyDescent="0.2">
      <c r="A185" s="557"/>
      <c r="B185" s="592"/>
      <c r="C185" s="271"/>
      <c r="D185" s="271"/>
      <c r="E185" s="271"/>
      <c r="F185" s="271"/>
      <c r="G185" s="271"/>
      <c r="J185" s="592"/>
    </row>
    <row r="186" spans="1:10" s="554" customFormat="1" x14ac:dyDescent="0.2">
      <c r="A186" s="572"/>
      <c r="B186" s="811"/>
      <c r="C186" s="794"/>
      <c r="D186" s="793"/>
      <c r="E186" s="794"/>
      <c r="F186" s="793"/>
      <c r="G186" s="794"/>
      <c r="J186" s="572"/>
    </row>
    <row r="187" spans="1:10" s="554" customFormat="1" ht="19.5" customHeight="1" x14ac:dyDescent="0.2">
      <c r="A187" s="572"/>
      <c r="B187" s="577"/>
      <c r="C187" s="810"/>
      <c r="D187" s="557"/>
      <c r="E187" s="810"/>
      <c r="F187" s="557"/>
      <c r="G187" s="794"/>
      <c r="J187" s="572"/>
    </row>
    <row r="188" spans="1:10" s="572" customFormat="1" x14ac:dyDescent="0.2"/>
    <row r="189" spans="1:10" s="572" customFormat="1" x14ac:dyDescent="0.2">
      <c r="C189" s="794"/>
      <c r="D189" s="793"/>
    </row>
    <row r="190" spans="1:10" s="566" customFormat="1" x14ac:dyDescent="0.2">
      <c r="A190" s="557"/>
      <c r="B190" s="592"/>
      <c r="C190" s="592"/>
      <c r="D190" s="592"/>
      <c r="E190" s="592"/>
      <c r="F190" s="592"/>
      <c r="G190" s="592"/>
      <c r="H190" s="592"/>
      <c r="I190" s="592"/>
      <c r="J190" s="592"/>
    </row>
    <row r="191" spans="1:10" s="554" customFormat="1" x14ac:dyDescent="0.2">
      <c r="A191" s="572"/>
      <c r="B191" s="572"/>
      <c r="C191" s="572"/>
      <c r="D191" s="572"/>
      <c r="E191" s="572"/>
      <c r="F191" s="572"/>
      <c r="G191" s="572"/>
      <c r="H191" s="572"/>
      <c r="I191" s="572"/>
      <c r="J191" s="572"/>
    </row>
    <row r="192" spans="1:10" s="554" customFormat="1" x14ac:dyDescent="0.2">
      <c r="A192" s="572"/>
      <c r="B192" s="792"/>
      <c r="C192" s="792"/>
      <c r="D192" s="792"/>
      <c r="E192" s="572"/>
      <c r="F192" s="572"/>
      <c r="G192" s="572"/>
      <c r="H192" s="572"/>
      <c r="I192" s="572"/>
      <c r="J192" s="572"/>
    </row>
    <row r="193" spans="1:10" s="554" customFormat="1" x14ac:dyDescent="0.2">
      <c r="A193" s="572"/>
      <c r="B193" s="572"/>
      <c r="C193" s="572"/>
      <c r="D193" s="572"/>
      <c r="E193" s="572"/>
      <c r="F193" s="572"/>
      <c r="G193" s="572"/>
      <c r="H193" s="572"/>
      <c r="I193" s="572"/>
      <c r="J193" s="572"/>
    </row>
    <row r="194" spans="1:10" s="572" customFormat="1" x14ac:dyDescent="0.2">
      <c r="A194" s="557"/>
      <c r="B194" s="592"/>
      <c r="C194" s="592"/>
      <c r="D194" s="592"/>
      <c r="E194" s="592"/>
      <c r="F194" s="592"/>
      <c r="G194" s="592"/>
      <c r="H194" s="592"/>
      <c r="I194" s="592"/>
      <c r="J194" s="592"/>
    </row>
    <row r="195" spans="1:10" s="572" customFormat="1" x14ac:dyDescent="0.2"/>
    <row r="196" spans="1:10" s="21" customFormat="1" x14ac:dyDescent="0.2"/>
    <row r="197" spans="1:10" s="471" customFormat="1" x14ac:dyDescent="0.2"/>
  </sheetData>
  <mergeCells count="73">
    <mergeCell ref="B175:B176"/>
    <mergeCell ref="B25:J25"/>
    <mergeCell ref="B91:J91"/>
    <mergeCell ref="B183:J183"/>
    <mergeCell ref="B33:J33"/>
    <mergeCell ref="B49:J49"/>
    <mergeCell ref="B56:J56"/>
    <mergeCell ref="B64:J64"/>
    <mergeCell ref="B65:J65"/>
    <mergeCell ref="B135:J135"/>
    <mergeCell ref="B72:J72"/>
    <mergeCell ref="B83:J83"/>
    <mergeCell ref="B103:J103"/>
    <mergeCell ref="B108:J108"/>
    <mergeCell ref="B92:J92"/>
    <mergeCell ref="B104:J104"/>
    <mergeCell ref="B110:J110"/>
    <mergeCell ref="A7:B7"/>
    <mergeCell ref="C7:D7"/>
    <mergeCell ref="E7:F7"/>
    <mergeCell ref="G7:J7"/>
    <mergeCell ref="A9:J9"/>
    <mergeCell ref="B41:J41"/>
    <mergeCell ref="B42:J42"/>
    <mergeCell ref="B28:B29"/>
    <mergeCell ref="B36:B37"/>
    <mergeCell ref="B44:B45"/>
    <mergeCell ref="A76:A77"/>
    <mergeCell ref="C67:I67"/>
    <mergeCell ref="B58:J58"/>
    <mergeCell ref="A95:A96"/>
    <mergeCell ref="A4:B4"/>
    <mergeCell ref="C4:J4"/>
    <mergeCell ref="B26:J26"/>
    <mergeCell ref="B34:J34"/>
    <mergeCell ref="A1:J2"/>
    <mergeCell ref="A3:B3"/>
    <mergeCell ref="C3:E3"/>
    <mergeCell ref="F3:G3"/>
    <mergeCell ref="H3:J3"/>
    <mergeCell ref="A10:J10"/>
    <mergeCell ref="A5:B5"/>
    <mergeCell ref="C5:J5"/>
    <mergeCell ref="A6:B6"/>
    <mergeCell ref="C6:D6"/>
    <mergeCell ref="E6:F6"/>
    <mergeCell ref="G6:J6"/>
    <mergeCell ref="B126:J126"/>
    <mergeCell ref="B128:B129"/>
    <mergeCell ref="B130:B131"/>
    <mergeCell ref="B73:J73"/>
    <mergeCell ref="B84:J84"/>
    <mergeCell ref="B94:J94"/>
    <mergeCell ref="B109:J109"/>
    <mergeCell ref="B117:J117"/>
    <mergeCell ref="B125:J125"/>
    <mergeCell ref="B118:J118"/>
    <mergeCell ref="B75:J75"/>
    <mergeCell ref="B78:J78"/>
    <mergeCell ref="B112:B113"/>
    <mergeCell ref="B120:B121"/>
    <mergeCell ref="B98:J98"/>
    <mergeCell ref="B86:J86"/>
    <mergeCell ref="B138:B139"/>
    <mergeCell ref="B172:J172"/>
    <mergeCell ref="B159:B160"/>
    <mergeCell ref="B166:E166"/>
    <mergeCell ref="B169:J170"/>
    <mergeCell ref="B143:J143"/>
    <mergeCell ref="B148:J148"/>
    <mergeCell ref="B153:J153"/>
    <mergeCell ref="B154:J154"/>
    <mergeCell ref="B164:J164"/>
  </mergeCells>
  <phoneticPr fontId="6" type="noConversion"/>
  <pageMargins left="0.51181102362204722" right="0.51181102362204722" top="0.78740157480314965" bottom="0.78740157480314965" header="0.31496062992125984" footer="0.31496062992125984"/>
  <pageSetup paperSize="9" scale="73" orientation="portrait" r:id="rId1"/>
  <rowBreaks count="2" manualBreakCount="2">
    <brk id="48" max="9" man="1"/>
    <brk id="152"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1"/>
  <sheetViews>
    <sheetView showGridLines="0" view="pageBreakPreview" topLeftCell="A133" zoomScaleSheetLayoutView="100" workbookViewId="0">
      <selection activeCell="A11" sqref="A11:J11"/>
    </sheetView>
  </sheetViews>
  <sheetFormatPr defaultRowHeight="12.75" x14ac:dyDescent="0.2"/>
  <cols>
    <col min="1" max="1" width="10" customWidth="1"/>
    <col min="2" max="2" width="11" customWidth="1"/>
    <col min="3" max="3" width="15.7109375" customWidth="1"/>
    <col min="4" max="4" width="11.28515625" customWidth="1"/>
    <col min="5" max="5" width="11.5703125" customWidth="1"/>
    <col min="6" max="6" width="13.42578125" customWidth="1"/>
    <col min="7" max="7" width="14.28515625" customWidth="1"/>
    <col min="8" max="8" width="13" customWidth="1"/>
    <col min="9" max="9" width="12.42578125" customWidth="1"/>
    <col min="10" max="10" width="12.7109375" customWidth="1"/>
  </cols>
  <sheetData>
    <row r="1" spans="1:24" ht="12.75" customHeight="1" x14ac:dyDescent="0.2">
      <c r="A1" s="1307"/>
      <c r="B1" s="1307"/>
      <c r="C1" s="1307"/>
      <c r="D1" s="1307"/>
      <c r="E1" s="1307"/>
      <c r="F1" s="1307"/>
      <c r="G1" s="1307"/>
      <c r="H1" s="1307"/>
      <c r="I1" s="1307"/>
      <c r="J1" s="1307"/>
      <c r="K1" s="218"/>
    </row>
    <row r="2" spans="1:24" ht="69.95" customHeight="1" x14ac:dyDescent="0.2">
      <c r="A2" s="1365"/>
      <c r="B2" s="1365"/>
      <c r="C2" s="1365"/>
      <c r="D2" s="1365"/>
      <c r="E2" s="1365"/>
      <c r="F2" s="1365"/>
      <c r="G2" s="1365"/>
      <c r="H2" s="1365"/>
      <c r="I2" s="1365"/>
      <c r="J2" s="1365"/>
      <c r="K2" s="218"/>
    </row>
    <row r="3" spans="1:24" ht="15.75" customHeight="1" x14ac:dyDescent="0.2">
      <c r="A3" s="1316" t="s">
        <v>79</v>
      </c>
      <c r="B3" s="1317"/>
      <c r="C3" s="1321" t="str">
        <f>ORÇ!B2</f>
        <v>PREFEITURA MUNICIPAL DE OURÉM</v>
      </c>
      <c r="D3" s="1738"/>
      <c r="E3" s="1322"/>
      <c r="F3" s="1326" t="s">
        <v>85</v>
      </c>
      <c r="G3" s="1327"/>
      <c r="H3" s="1819" t="str">
        <f>ORÇ!I2</f>
        <v>OURÉM/PA</v>
      </c>
      <c r="I3" s="1820"/>
      <c r="J3" s="1821"/>
    </row>
    <row r="4" spans="1:24" ht="15.75" customHeight="1" x14ac:dyDescent="0.2">
      <c r="A4" s="1316" t="s">
        <v>80</v>
      </c>
      <c r="B4" s="1317"/>
      <c r="C4" s="1321" t="str">
        <f>ORÇ!B3</f>
        <v>CONSTRUÇÃO DO CENTRO DE FISIOTERAPIA, NO MUNICÍPIO DE OURÉM/PA</v>
      </c>
      <c r="D4" s="1738"/>
      <c r="E4" s="1738"/>
      <c r="F4" s="1738"/>
      <c r="G4" s="1738"/>
      <c r="H4" s="1738"/>
      <c r="I4" s="1738"/>
      <c r="J4" s="1322"/>
    </row>
    <row r="5" spans="1:24" ht="15.75" customHeight="1" x14ac:dyDescent="0.2">
      <c r="A5" s="1316" t="s">
        <v>161</v>
      </c>
      <c r="B5" s="1317"/>
      <c r="C5" s="1808" t="str">
        <f>ORÇ!B4</f>
        <v>AV. PADRE ANGELO MORETTE, S/Nº - OURÉM/PA</v>
      </c>
      <c r="D5" s="1809"/>
      <c r="E5" s="1809"/>
      <c r="F5" s="1809"/>
      <c r="G5" s="1809"/>
      <c r="H5" s="1809"/>
      <c r="I5" s="1809"/>
      <c r="J5" s="1810"/>
    </row>
    <row r="6" spans="1:24" ht="27.75"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24" ht="22.5" customHeight="1" x14ac:dyDescent="0.2">
      <c r="A7" s="1736" t="s">
        <v>82</v>
      </c>
      <c r="B7" s="1736"/>
      <c r="C7" s="1672" t="str">
        <f>ORÇ!B6</f>
        <v>MARUZA BAPTISTA</v>
      </c>
      <c r="D7" s="1673"/>
      <c r="E7" s="1342" t="s">
        <v>170</v>
      </c>
      <c r="F7" s="1343"/>
      <c r="G7" s="1811" t="str">
        <f>ORÇ!G7</f>
        <v>CAU: 28510-2 A</v>
      </c>
      <c r="H7" s="1812"/>
      <c r="I7" s="1812"/>
      <c r="J7" s="1813"/>
    </row>
    <row r="8" spans="1:24" ht="14.25" customHeight="1" thickBot="1" x14ac:dyDescent="0.25">
      <c r="A8" s="284"/>
      <c r="B8" s="284"/>
      <c r="C8" s="285"/>
      <c r="D8" s="285"/>
      <c r="E8" s="282"/>
      <c r="F8" s="282"/>
      <c r="G8" s="282"/>
      <c r="H8" s="282"/>
      <c r="I8" s="282"/>
      <c r="J8" s="282"/>
    </row>
    <row r="9" spans="1:24" ht="15" customHeight="1" thickBot="1" x14ac:dyDescent="0.25">
      <c r="A9" s="1674" t="str">
        <f>CONCATENATE("MEMÓRIA DE CÁLCULO ",ORÇ!A462)</f>
        <v>MEMÓRIA DE CÁLCULO 17</v>
      </c>
      <c r="B9" s="1675"/>
      <c r="C9" s="1675"/>
      <c r="D9" s="1675"/>
      <c r="E9" s="1675"/>
      <c r="F9" s="1675"/>
      <c r="G9" s="1675"/>
      <c r="H9" s="1675"/>
      <c r="I9" s="1675"/>
      <c r="J9" s="1676"/>
      <c r="K9" s="67"/>
    </row>
    <row r="10" spans="1:24" ht="16.5" customHeight="1" x14ac:dyDescent="0.2">
      <c r="A10" s="1822" t="str">
        <f>ORÇ!D462</f>
        <v>Playground e Terapia Sensorial</v>
      </c>
      <c r="B10" s="1822"/>
      <c r="C10" s="1822"/>
      <c r="D10" s="1822"/>
      <c r="E10" s="1822"/>
      <c r="F10" s="1822"/>
      <c r="G10" s="1822"/>
      <c r="H10" s="1822"/>
      <c r="I10" s="1822"/>
      <c r="J10" s="1822"/>
      <c r="K10" s="126"/>
    </row>
    <row r="11" spans="1:24" s="139" customFormat="1" ht="19.5" customHeight="1" x14ac:dyDescent="0.2">
      <c r="A11" s="226">
        <f>ORÇ!A462</f>
        <v>17</v>
      </c>
      <c r="B11" s="789" t="str">
        <f>ORÇ!D462</f>
        <v>Playground e Terapia Sensorial</v>
      </c>
      <c r="C11" s="337"/>
      <c r="D11" s="420"/>
      <c r="E11" s="420"/>
      <c r="F11" s="420"/>
      <c r="G11" s="420"/>
      <c r="H11" s="420"/>
      <c r="I11" s="420"/>
      <c r="J11" s="420"/>
    </row>
    <row r="12" spans="1:24" s="139" customFormat="1" ht="22.5" customHeight="1" x14ac:dyDescent="0.2">
      <c r="A12" s="226" t="str">
        <f>ORÇ!A463</f>
        <v>17.1</v>
      </c>
      <c r="B12" s="789" t="str">
        <f>ORÇ!D463</f>
        <v>Banco</v>
      </c>
      <c r="C12" s="337"/>
      <c r="D12" s="420"/>
      <c r="E12" s="420"/>
      <c r="F12" s="420"/>
      <c r="G12" s="420"/>
      <c r="H12" s="420"/>
      <c r="I12" s="420"/>
      <c r="J12" s="420"/>
    </row>
    <row r="13" spans="1:24" s="139" customFormat="1" ht="22.5" customHeight="1" x14ac:dyDescent="0.2">
      <c r="A13" s="226" t="str">
        <f>ORÇ!A464</f>
        <v>17.1.1</v>
      </c>
      <c r="B13" s="789" t="str">
        <f>ORÇ!D464</f>
        <v>BANCO EM CONCRETO C/2 MOD.2,75X0,4M (DET.12)</v>
      </c>
      <c r="C13" s="337"/>
      <c r="D13" s="420"/>
      <c r="E13" s="420"/>
      <c r="F13" s="420"/>
      <c r="G13" s="420"/>
      <c r="H13" s="420"/>
      <c r="I13" s="420"/>
      <c r="J13" s="420"/>
      <c r="X13"/>
    </row>
    <row r="14" spans="1:24" s="572" customFormat="1" ht="15" customHeight="1" x14ac:dyDescent="0.2"/>
    <row r="15" spans="1:24" s="572" customFormat="1" ht="17.25" customHeight="1" x14ac:dyDescent="0.2">
      <c r="B15" s="795" t="s">
        <v>47</v>
      </c>
      <c r="C15" s="797">
        <v>1</v>
      </c>
      <c r="D15" s="824" t="s">
        <v>834</v>
      </c>
      <c r="E15" s="794"/>
      <c r="F15" s="793"/>
      <c r="G15" s="794"/>
      <c r="H15" s="793"/>
      <c r="I15" s="794"/>
    </row>
    <row r="16" spans="1:24" s="572" customFormat="1" ht="15" customHeight="1" x14ac:dyDescent="0.2">
      <c r="O16"/>
    </row>
    <row r="17" spans="1:24" s="140" customFormat="1" ht="22.5" customHeight="1" x14ac:dyDescent="0.2">
      <c r="A17" s="226" t="str">
        <f>ORÇ!A465</f>
        <v>17.2</v>
      </c>
      <c r="B17" s="1050" t="str">
        <f>ORÇ!D465</f>
        <v>Brinquedo</v>
      </c>
      <c r="C17" s="337"/>
      <c r="D17" s="162"/>
      <c r="E17" s="162"/>
      <c r="F17" s="162"/>
      <c r="G17" s="162"/>
      <c r="H17" s="162"/>
      <c r="I17" s="162"/>
      <c r="J17" s="162"/>
      <c r="X17" s="21"/>
    </row>
    <row r="18" spans="1:24" s="140" customFormat="1" ht="22.5" customHeight="1" x14ac:dyDescent="0.2">
      <c r="A18" s="226" t="str">
        <f>ORÇ!A466</f>
        <v>17.2.1</v>
      </c>
      <c r="B18" s="1050" t="str">
        <f>ORÇ!D466</f>
        <v>BALANÇO COM ESCORREGA, INCLUSO FUNDAÇÃO EM CONCRETO CICLÓPICO. FORNECIMENTO E INSTALAÇÃO.</v>
      </c>
      <c r="C18" s="337"/>
      <c r="D18" s="162"/>
      <c r="E18" s="162"/>
      <c r="F18" s="162"/>
      <c r="G18" s="162"/>
      <c r="H18" s="162"/>
      <c r="I18" s="162"/>
      <c r="J18" s="162"/>
      <c r="X18" s="21"/>
    </row>
    <row r="19" spans="1:24" s="572" customFormat="1" ht="15" customHeight="1" x14ac:dyDescent="0.2"/>
    <row r="20" spans="1:24" s="572" customFormat="1" ht="18" customHeight="1" x14ac:dyDescent="0.2">
      <c r="B20" s="795" t="s">
        <v>47</v>
      </c>
      <c r="C20" s="797">
        <v>1</v>
      </c>
      <c r="D20" s="824" t="s">
        <v>834</v>
      </c>
      <c r="E20" s="794"/>
      <c r="F20" s="793"/>
      <c r="G20" s="794"/>
      <c r="H20" s="793"/>
      <c r="I20" s="794"/>
    </row>
    <row r="21" spans="1:24" s="572" customFormat="1" x14ac:dyDescent="0.2">
      <c r="O21" s="21"/>
    </row>
    <row r="22" spans="1:24" s="140" customFormat="1" ht="22.5" customHeight="1" x14ac:dyDescent="0.2">
      <c r="A22" s="226" t="str">
        <f>ORÇ!A467</f>
        <v>17.3</v>
      </c>
      <c r="B22" s="1050" t="str">
        <f>ORÇ!D467</f>
        <v>Área para Terapia Sensorial</v>
      </c>
      <c r="C22" s="337"/>
      <c r="D22" s="162"/>
      <c r="E22" s="162"/>
      <c r="F22" s="162"/>
      <c r="G22" s="162"/>
      <c r="H22" s="162"/>
      <c r="I22" s="162"/>
      <c r="J22" s="162"/>
      <c r="X22" s="21"/>
    </row>
    <row r="23" spans="1:24" s="140" customFormat="1" ht="22.5" customHeight="1" x14ac:dyDescent="0.2">
      <c r="A23" s="226"/>
      <c r="B23" s="1050"/>
      <c r="C23" s="337"/>
      <c r="D23" s="162"/>
      <c r="E23" s="162"/>
      <c r="F23" s="162"/>
      <c r="G23" s="162"/>
      <c r="H23" s="162"/>
      <c r="I23" s="162"/>
      <c r="J23" s="162"/>
      <c r="X23" s="21"/>
    </row>
    <row r="24" spans="1:24" s="140" customFormat="1" ht="22.5" customHeight="1" x14ac:dyDescent="0.2">
      <c r="A24" s="226"/>
      <c r="B24" s="1050"/>
      <c r="C24" s="337"/>
      <c r="D24" s="162"/>
      <c r="E24" s="162"/>
      <c r="F24" s="162"/>
      <c r="G24" s="162"/>
      <c r="H24" s="162"/>
      <c r="I24" s="162"/>
      <c r="J24" s="162"/>
      <c r="X24" s="21"/>
    </row>
    <row r="25" spans="1:24" s="140" customFormat="1" ht="22.5" customHeight="1" x14ac:dyDescent="0.2">
      <c r="A25" s="226"/>
      <c r="B25" s="1050"/>
      <c r="C25" s="337"/>
      <c r="D25" s="162"/>
      <c r="E25" s="162"/>
      <c r="F25" s="162"/>
      <c r="G25" s="162"/>
      <c r="H25" s="162"/>
      <c r="I25" s="162"/>
      <c r="J25" s="162"/>
      <c r="X25" s="21"/>
    </row>
    <row r="26" spans="1:24" s="140" customFormat="1" ht="22.5" customHeight="1" x14ac:dyDescent="0.2">
      <c r="A26" s="226"/>
      <c r="B26" s="1050"/>
      <c r="C26" s="337"/>
      <c r="D26" s="162"/>
      <c r="E26" s="162"/>
      <c r="F26" s="162"/>
      <c r="G26" s="162"/>
      <c r="H26" s="162"/>
      <c r="I26" s="162"/>
      <c r="J26" s="162"/>
      <c r="X26" s="21"/>
    </row>
    <row r="27" spans="1:24" s="140" customFormat="1" ht="22.5" customHeight="1" x14ac:dyDescent="0.2">
      <c r="A27" s="226"/>
      <c r="B27" s="1050"/>
      <c r="C27" s="337"/>
      <c r="D27" s="162"/>
      <c r="E27" s="162"/>
      <c r="F27" s="162"/>
      <c r="G27" s="162"/>
      <c r="H27" s="162"/>
      <c r="I27" s="162"/>
      <c r="J27" s="162"/>
      <c r="X27" s="21"/>
    </row>
    <row r="28" spans="1:24" s="140" customFormat="1" ht="22.5" customHeight="1" x14ac:dyDescent="0.2">
      <c r="A28" s="226"/>
      <c r="B28" s="1050"/>
      <c r="C28" s="337"/>
      <c r="D28" s="162"/>
      <c r="E28" s="162"/>
      <c r="F28" s="162"/>
      <c r="G28" s="162"/>
      <c r="H28" s="162"/>
      <c r="I28" s="162"/>
      <c r="J28" s="162"/>
      <c r="X28" s="21"/>
    </row>
    <row r="29" spans="1:24" s="140" customFormat="1" ht="22.5" customHeight="1" x14ac:dyDescent="0.2">
      <c r="A29" s="226"/>
      <c r="B29" s="1050"/>
      <c r="C29" s="337"/>
      <c r="D29" s="162"/>
      <c r="E29" s="162"/>
      <c r="F29" s="162"/>
      <c r="G29" s="162"/>
      <c r="H29" s="162"/>
      <c r="I29" s="162"/>
      <c r="J29" s="162"/>
      <c r="X29" s="21"/>
    </row>
    <row r="30" spans="1:24" s="140" customFormat="1" ht="7.5" customHeight="1" x14ac:dyDescent="0.2">
      <c r="A30" s="226"/>
      <c r="B30" s="1050"/>
      <c r="C30" s="337"/>
      <c r="D30" s="162"/>
      <c r="E30" s="162"/>
      <c r="F30" s="162"/>
      <c r="G30" s="162"/>
      <c r="H30" s="162"/>
      <c r="I30" s="21"/>
      <c r="J30" s="162"/>
      <c r="X30" s="21"/>
    </row>
    <row r="31" spans="1:24" s="140" customFormat="1" ht="18" customHeight="1" x14ac:dyDescent="0.2">
      <c r="A31" s="226" t="str">
        <f>ORÇ!A468</f>
        <v>17.3.1</v>
      </c>
      <c r="B31" s="1050" t="str">
        <f>ORÇ!D468</f>
        <v>Preparação das Caixas</v>
      </c>
      <c r="C31" s="337"/>
      <c r="D31" s="162"/>
      <c r="E31" s="162"/>
      <c r="F31" s="162"/>
      <c r="G31" s="162"/>
      <c r="H31" s="162"/>
      <c r="I31" s="162"/>
      <c r="J31" s="162"/>
      <c r="X31" s="21"/>
    </row>
    <row r="32" spans="1:24" s="140" customFormat="1" ht="18" customHeight="1" x14ac:dyDescent="0.2">
      <c r="A32" s="226"/>
      <c r="B32" s="1050"/>
      <c r="C32" s="337"/>
      <c r="D32" s="162"/>
      <c r="E32" s="162"/>
      <c r="F32" s="162"/>
      <c r="G32" s="162"/>
      <c r="H32" s="162"/>
      <c r="I32" s="162"/>
      <c r="J32" s="162"/>
      <c r="X32" s="21"/>
    </row>
    <row r="33" spans="1:24" s="140" customFormat="1" ht="18" customHeight="1" x14ac:dyDescent="0.2">
      <c r="A33" s="226"/>
      <c r="B33" s="303" t="s">
        <v>1711</v>
      </c>
      <c r="C33" s="303" t="s">
        <v>590</v>
      </c>
      <c r="D33" s="162"/>
      <c r="E33" s="162"/>
      <c r="F33" s="162"/>
      <c r="X33" s="21"/>
    </row>
    <row r="34" spans="1:24" s="140" customFormat="1" ht="18" customHeight="1" x14ac:dyDescent="0.2">
      <c r="A34" s="226"/>
      <c r="B34" s="1057" t="s">
        <v>1712</v>
      </c>
      <c r="C34" s="303">
        <v>3</v>
      </c>
      <c r="D34" s="162"/>
      <c r="E34" s="162"/>
      <c r="F34" s="162"/>
      <c r="X34" s="21"/>
    </row>
    <row r="35" spans="1:24" s="140" customFormat="1" ht="18" customHeight="1" x14ac:dyDescent="0.2">
      <c r="A35" s="226"/>
      <c r="B35" s="1057" t="s">
        <v>1713</v>
      </c>
      <c r="C35" s="303">
        <v>3</v>
      </c>
      <c r="D35" s="162"/>
      <c r="E35" s="162"/>
      <c r="F35" s="162"/>
      <c r="X35" s="21"/>
    </row>
    <row r="36" spans="1:24" s="140" customFormat="1" ht="18" customHeight="1" x14ac:dyDescent="0.2">
      <c r="A36" s="226"/>
      <c r="B36" s="1057" t="s">
        <v>1851</v>
      </c>
      <c r="C36" s="303">
        <v>3</v>
      </c>
      <c r="D36" s="162"/>
      <c r="E36" s="162"/>
      <c r="F36" s="162"/>
      <c r="X36" s="21"/>
    </row>
    <row r="37" spans="1:24" s="140" customFormat="1" ht="18" customHeight="1" x14ac:dyDescent="0.2">
      <c r="A37" s="226"/>
      <c r="B37" s="1057" t="s">
        <v>1714</v>
      </c>
      <c r="C37" s="303">
        <v>3</v>
      </c>
      <c r="D37" s="1058" t="s">
        <v>1083</v>
      </c>
      <c r="E37" s="162"/>
      <c r="F37" s="162"/>
      <c r="X37" s="21"/>
    </row>
    <row r="38" spans="1:24" s="140" customFormat="1" ht="18" customHeight="1" x14ac:dyDescent="0.2">
      <c r="A38" s="226"/>
      <c r="B38" s="1057" t="s">
        <v>1715</v>
      </c>
      <c r="C38" s="303">
        <v>3</v>
      </c>
      <c r="D38" s="162"/>
      <c r="E38" s="162"/>
      <c r="F38" s="162"/>
      <c r="X38" s="21"/>
    </row>
    <row r="39" spans="1:24" s="140" customFormat="1" ht="18" customHeight="1" x14ac:dyDescent="0.2">
      <c r="A39" s="226"/>
      <c r="B39" s="1057" t="s">
        <v>1716</v>
      </c>
      <c r="C39" s="303">
        <v>5</v>
      </c>
      <c r="D39" s="1058" t="s">
        <v>1083</v>
      </c>
      <c r="E39" s="162"/>
      <c r="F39" s="162"/>
      <c r="X39" s="21"/>
    </row>
    <row r="40" spans="1:24" s="140" customFormat="1" ht="18" customHeight="1" x14ac:dyDescent="0.2">
      <c r="A40" s="226"/>
      <c r="B40" s="162"/>
      <c r="C40" s="162"/>
      <c r="D40" s="162"/>
      <c r="E40" s="162"/>
      <c r="F40" s="162"/>
      <c r="X40" s="21"/>
    </row>
    <row r="41" spans="1:24" s="140" customFormat="1" ht="18" customHeight="1" x14ac:dyDescent="0.2">
      <c r="A41" s="226"/>
      <c r="B41" s="303" t="s">
        <v>47</v>
      </c>
      <c r="C41" s="303">
        <f>ROUND(SUM(C34:C40),2)</f>
        <v>20</v>
      </c>
      <c r="D41" s="162"/>
      <c r="E41" s="162"/>
      <c r="F41" s="162"/>
      <c r="X41" s="21"/>
    </row>
    <row r="42" spans="1:24" s="140" customFormat="1" ht="18" customHeight="1" x14ac:dyDescent="0.2">
      <c r="A42" s="226"/>
      <c r="B42" s="1050"/>
      <c r="C42" s="337"/>
      <c r="D42" s="162"/>
      <c r="E42" s="162"/>
      <c r="F42" s="162"/>
      <c r="G42" s="162"/>
      <c r="H42" s="162"/>
      <c r="I42" s="162"/>
      <c r="J42" s="162"/>
      <c r="X42" s="21"/>
    </row>
    <row r="43" spans="1:24" s="140" customFormat="1" ht="18" customHeight="1" x14ac:dyDescent="0.2">
      <c r="A43" s="226"/>
      <c r="B43" s="1050"/>
      <c r="C43" s="337"/>
      <c r="D43" s="162"/>
      <c r="E43" s="162"/>
      <c r="F43" s="162"/>
      <c r="G43" s="162"/>
      <c r="H43" s="162"/>
      <c r="I43" s="162"/>
      <c r="J43" s="162"/>
      <c r="X43" s="21"/>
    </row>
    <row r="44" spans="1:24" s="140" customFormat="1" ht="18" customHeight="1" x14ac:dyDescent="0.2">
      <c r="A44" s="226"/>
      <c r="B44" s="1050"/>
      <c r="C44" s="337"/>
      <c r="D44" s="162"/>
      <c r="E44" s="162"/>
      <c r="F44" s="162"/>
      <c r="G44" s="162"/>
      <c r="H44" s="162"/>
      <c r="I44" s="162"/>
      <c r="J44" s="162"/>
      <c r="X44" s="21"/>
    </row>
    <row r="45" spans="1:24" s="140" customFormat="1" ht="18" customHeight="1" x14ac:dyDescent="0.2">
      <c r="A45" s="226"/>
      <c r="B45" s="1050"/>
      <c r="C45" s="337"/>
      <c r="D45" s="162"/>
      <c r="E45" s="162"/>
      <c r="F45" s="162"/>
      <c r="G45" s="162"/>
      <c r="H45" s="162"/>
      <c r="I45" s="162"/>
      <c r="J45" s="162"/>
      <c r="X45" s="21"/>
    </row>
    <row r="46" spans="1:24" s="140" customFormat="1" ht="18" customHeight="1" x14ac:dyDescent="0.2">
      <c r="A46" s="226"/>
      <c r="B46"/>
      <c r="C46" s="337"/>
      <c r="D46" s="162"/>
      <c r="E46" s="162"/>
      <c r="F46" s="162"/>
      <c r="G46" s="162"/>
      <c r="H46" s="162"/>
      <c r="I46" s="162"/>
      <c r="J46" s="162"/>
      <c r="X46" s="21"/>
    </row>
    <row r="47" spans="1:24" s="140" customFormat="1" ht="18" customHeight="1" x14ac:dyDescent="0.2">
      <c r="A47" s="226"/>
      <c r="B47" s="1050"/>
      <c r="C47" s="337"/>
      <c r="D47" s="162"/>
      <c r="E47" s="162"/>
      <c r="F47" s="162"/>
      <c r="G47" s="162"/>
      <c r="H47" s="162"/>
      <c r="I47" s="162"/>
      <c r="J47" s="162"/>
      <c r="X47" s="21"/>
    </row>
    <row r="48" spans="1:24" s="140" customFormat="1" ht="18" customHeight="1" x14ac:dyDescent="0.2">
      <c r="A48" s="226"/>
      <c r="B48" s="1050"/>
      <c r="C48" s="337"/>
      <c r="D48" s="162"/>
      <c r="E48" s="162"/>
      <c r="F48" s="162"/>
      <c r="G48" s="162"/>
      <c r="H48" s="162"/>
      <c r="I48" s="162"/>
      <c r="J48" s="162"/>
      <c r="X48" s="21"/>
    </row>
    <row r="49" spans="1:24" s="140" customFormat="1" ht="18" customHeight="1" x14ac:dyDescent="0.2">
      <c r="A49" s="226"/>
      <c r="B49" s="1050"/>
      <c r="C49" s="337"/>
      <c r="D49" s="162"/>
      <c r="E49" s="162"/>
      <c r="F49" s="162"/>
      <c r="G49" s="162"/>
      <c r="H49" s="162"/>
      <c r="I49" s="162"/>
      <c r="J49" s="162"/>
      <c r="X49" s="21"/>
    </row>
    <row r="50" spans="1:24" s="140" customFormat="1" ht="22.5" customHeight="1" x14ac:dyDescent="0.2">
      <c r="A50" s="226" t="str">
        <f>ORÇ!A469</f>
        <v>17.3.1.1</v>
      </c>
      <c r="B50" s="1050" t="str">
        <f>ORÇ!D469</f>
        <v>ESCAVAÇÃO MANUAL ATÉ 1.50M DE PROFUNDIDADE</v>
      </c>
      <c r="C50" s="337"/>
      <c r="D50" s="162"/>
      <c r="E50" s="162"/>
      <c r="F50" s="162"/>
      <c r="G50" s="162"/>
      <c r="H50" s="162"/>
      <c r="I50" s="162"/>
      <c r="J50" s="162"/>
      <c r="X50" s="21"/>
    </row>
    <row r="51" spans="1:24" s="572" customFormat="1" ht="15" customHeight="1" x14ac:dyDescent="0.2">
      <c r="B51" s="792"/>
      <c r="C51" s="792"/>
      <c r="D51" s="792"/>
      <c r="M51" s="21"/>
    </row>
    <row r="52" spans="1:24" s="556" customFormat="1" ht="15" customHeight="1" x14ac:dyDescent="0.2">
      <c r="C52" s="1059" t="s">
        <v>216</v>
      </c>
      <c r="D52" s="1059"/>
      <c r="E52" s="1059" t="s">
        <v>405</v>
      </c>
      <c r="F52" s="1059"/>
      <c r="G52" s="1059" t="s">
        <v>469</v>
      </c>
      <c r="H52" s="1059"/>
      <c r="I52" s="1059" t="s">
        <v>312</v>
      </c>
    </row>
    <row r="53" spans="1:24" s="572" customFormat="1" ht="15" customHeight="1" x14ac:dyDescent="0.2">
      <c r="A53" s="557"/>
      <c r="B53" s="2" t="s">
        <v>1702</v>
      </c>
      <c r="C53" s="825">
        <v>0.82</v>
      </c>
      <c r="D53" s="1051" t="s">
        <v>45</v>
      </c>
      <c r="E53" s="825">
        <v>0.82</v>
      </c>
      <c r="F53" s="1051" t="s">
        <v>45</v>
      </c>
      <c r="G53" s="825">
        <v>20</v>
      </c>
      <c r="H53" s="1051" t="s">
        <v>46</v>
      </c>
      <c r="I53" s="825">
        <f>ROUND(C53*E53*G53,2)</f>
        <v>13.45</v>
      </c>
      <c r="J53" s="592"/>
    </row>
    <row r="54" spans="1:24" s="21" customFormat="1" ht="15" customHeight="1" x14ac:dyDescent="0.2"/>
    <row r="55" spans="1:24" s="572" customFormat="1" ht="17.25" customHeight="1" x14ac:dyDescent="0.2">
      <c r="B55" s="795" t="s">
        <v>47</v>
      </c>
      <c r="C55" s="797">
        <f>ROUND(SUM(I53:I54),2)</f>
        <v>13.45</v>
      </c>
      <c r="D55" s="824" t="s">
        <v>4</v>
      </c>
      <c r="E55" s="794"/>
      <c r="F55" s="793"/>
      <c r="G55" s="794"/>
      <c r="H55" s="793"/>
      <c r="I55" s="794"/>
      <c r="M55" s="846"/>
    </row>
    <row r="56" spans="1:24" s="21" customFormat="1" ht="15" customHeight="1" x14ac:dyDescent="0.2"/>
    <row r="57" spans="1:24" s="140" customFormat="1" ht="27.75" customHeight="1" x14ac:dyDescent="0.2">
      <c r="A57" s="226" t="str">
        <f>ORÇ!A470</f>
        <v>17.3.1.2</v>
      </c>
      <c r="B57" s="1710" t="str">
        <f>ORÇ!D470</f>
        <v>LASTRO DE CONCRETO MAGRO, APLICADO EM BLOCOS DE COROAMENTO OU SAPATAS, ESPESSURA DE 5 CM. AF_08/2017</v>
      </c>
      <c r="C57" s="1710"/>
      <c r="D57" s="1710"/>
      <c r="E57" s="1710"/>
      <c r="F57" s="1710"/>
      <c r="G57" s="1710"/>
      <c r="H57" s="1710"/>
      <c r="I57" s="1710"/>
      <c r="J57" s="1710"/>
      <c r="X57" s="21"/>
    </row>
    <row r="58" spans="1:24" s="572" customFormat="1" ht="15" customHeight="1" x14ac:dyDescent="0.2">
      <c r="B58" s="792"/>
      <c r="C58" s="792"/>
      <c r="D58" s="792"/>
    </row>
    <row r="59" spans="1:24" s="577" customFormat="1" ht="30.75" customHeight="1" x14ac:dyDescent="0.2">
      <c r="B59" s="1896" t="s">
        <v>1703</v>
      </c>
      <c r="C59" s="1896"/>
      <c r="D59" s="1896"/>
      <c r="E59" s="1896"/>
      <c r="F59" s="1896"/>
      <c r="G59" s="1896"/>
      <c r="H59" s="1896"/>
      <c r="I59" s="1896"/>
      <c r="J59" s="1896"/>
    </row>
    <row r="60" spans="1:24" s="572" customFormat="1" ht="15" customHeight="1" x14ac:dyDescent="0.2">
      <c r="B60" s="792"/>
      <c r="C60" s="792"/>
      <c r="D60" s="792"/>
    </row>
    <row r="61" spans="1:24" s="556" customFormat="1" ht="15" customHeight="1" x14ac:dyDescent="0.2">
      <c r="C61" s="1059" t="s">
        <v>216</v>
      </c>
      <c r="D61" s="1059"/>
      <c r="E61" s="1059" t="s">
        <v>405</v>
      </c>
      <c r="F61" s="1059"/>
      <c r="G61" s="1059" t="s">
        <v>469</v>
      </c>
      <c r="H61" s="1059"/>
      <c r="I61" s="1059" t="s">
        <v>213</v>
      </c>
    </row>
    <row r="62" spans="1:24" s="572" customFormat="1" ht="15" customHeight="1" x14ac:dyDescent="0.2">
      <c r="A62" s="557"/>
      <c r="B62" s="2" t="s">
        <v>1435</v>
      </c>
      <c r="C62" s="825">
        <v>0.82</v>
      </c>
      <c r="D62" s="1051" t="s">
        <v>45</v>
      </c>
      <c r="E62" s="825">
        <v>0.82</v>
      </c>
      <c r="F62" s="1051" t="s">
        <v>45</v>
      </c>
      <c r="G62" s="825">
        <v>8</v>
      </c>
      <c r="H62" s="1051" t="s">
        <v>46</v>
      </c>
      <c r="I62" s="825">
        <f>ROUND(C62*E62*G62,2)</f>
        <v>5.38</v>
      </c>
      <c r="J62" s="592"/>
    </row>
    <row r="63" spans="1:24" s="21" customFormat="1" ht="15" customHeight="1" x14ac:dyDescent="0.2"/>
    <row r="64" spans="1:24" s="572" customFormat="1" ht="17.25" customHeight="1" x14ac:dyDescent="0.2">
      <c r="B64" s="795" t="s">
        <v>47</v>
      </c>
      <c r="C64" s="797">
        <f>ROUND(SUM(I62:I63),2)</f>
        <v>5.38</v>
      </c>
      <c r="D64" s="824" t="s">
        <v>4</v>
      </c>
      <c r="E64" s="794"/>
      <c r="F64" s="793"/>
      <c r="G64" s="794"/>
      <c r="H64" s="793"/>
      <c r="I64" s="794"/>
      <c r="M64" s="846"/>
    </row>
    <row r="65" spans="1:24" s="21" customFormat="1" ht="15" customHeight="1" x14ac:dyDescent="0.2"/>
    <row r="66" spans="1:24" s="140" customFormat="1" ht="22.5" customHeight="1" x14ac:dyDescent="0.2">
      <c r="A66" s="226" t="str">
        <f>ORÇ!A471</f>
        <v>17.3.1.3</v>
      </c>
      <c r="B66" s="1713" t="str">
        <f>ORÇ!D471</f>
        <v>PREPARO DE FUNDO DE VALA COM LARGURA MENOR QUE 1,5 M (ACERTO DO SOLO NATURAL). AF_08/2020</v>
      </c>
      <c r="C66" s="1713"/>
      <c r="D66" s="1713"/>
      <c r="E66" s="1713"/>
      <c r="F66" s="1713"/>
      <c r="G66" s="1713"/>
      <c r="H66" s="1713"/>
      <c r="I66" s="1713"/>
      <c r="J66" s="1713"/>
      <c r="X66" s="21"/>
    </row>
    <row r="67" spans="1:24" s="572" customFormat="1" ht="15" customHeight="1" x14ac:dyDescent="0.2">
      <c r="B67" s="792"/>
      <c r="C67" s="792"/>
      <c r="D67" s="792"/>
    </row>
    <row r="68" spans="1:24" s="556" customFormat="1" ht="15" customHeight="1" x14ac:dyDescent="0.2">
      <c r="C68" s="1059" t="s">
        <v>216</v>
      </c>
      <c r="D68" s="1059"/>
      <c r="E68" s="1059" t="s">
        <v>405</v>
      </c>
      <c r="F68" s="1059"/>
      <c r="G68" s="1059" t="s">
        <v>469</v>
      </c>
      <c r="H68" s="1059"/>
      <c r="I68" s="1059" t="s">
        <v>213</v>
      </c>
    </row>
    <row r="69" spans="1:24" s="572" customFormat="1" ht="15" customHeight="1" x14ac:dyDescent="0.2">
      <c r="A69" s="557"/>
      <c r="B69" s="2" t="s">
        <v>1435</v>
      </c>
      <c r="C69" s="825">
        <v>0.82</v>
      </c>
      <c r="D69" s="1051" t="s">
        <v>45</v>
      </c>
      <c r="E69" s="825">
        <v>0.82</v>
      </c>
      <c r="F69" s="1051" t="s">
        <v>45</v>
      </c>
      <c r="G69" s="825">
        <v>20</v>
      </c>
      <c r="H69" s="1051" t="s">
        <v>46</v>
      </c>
      <c r="I69" s="825">
        <f>ROUND(C69*E69*G69,2)</f>
        <v>13.45</v>
      </c>
      <c r="J69" s="592"/>
    </row>
    <row r="70" spans="1:24" s="21" customFormat="1" ht="15" customHeight="1" x14ac:dyDescent="0.2"/>
    <row r="71" spans="1:24" s="572" customFormat="1" ht="17.25" customHeight="1" x14ac:dyDescent="0.2">
      <c r="B71" s="795" t="s">
        <v>47</v>
      </c>
      <c r="C71" s="797">
        <f>ROUND(SUM(I69:I70),2)</f>
        <v>13.45</v>
      </c>
      <c r="D71" s="824" t="s">
        <v>4</v>
      </c>
      <c r="E71" s="794"/>
      <c r="F71" s="793"/>
      <c r="G71" s="794"/>
      <c r="H71" s="793"/>
      <c r="I71" s="794"/>
      <c r="M71" s="846"/>
    </row>
    <row r="72" spans="1:24" s="21" customFormat="1" ht="15" customHeight="1" x14ac:dyDescent="0.2"/>
    <row r="73" spans="1:24" s="140" customFormat="1" ht="33" customHeight="1" x14ac:dyDescent="0.2">
      <c r="A73" s="226" t="str">
        <f>ORÇ!A472</f>
        <v>17.3.1.4</v>
      </c>
      <c r="B73" s="1710" t="str">
        <f>ORÇ!D472</f>
        <v>CAIBRO APARELHADO 6 X 8 CM, EM MACARANDUBA, ANGELIM OU EQUIVALENTE DA REGIÃO, PARA DEMARCAÇÃO DE PISO SENSORIAL. FORNECIMENTO E INSTALAÇÃO.</v>
      </c>
      <c r="C73" s="1710"/>
      <c r="D73" s="1710"/>
      <c r="E73" s="1710"/>
      <c r="F73" s="1710"/>
      <c r="G73" s="1710"/>
      <c r="H73" s="1710"/>
      <c r="I73" s="1710"/>
      <c r="J73" s="1710"/>
      <c r="X73" s="21"/>
    </row>
    <row r="74" spans="1:24" s="572" customFormat="1" ht="15" customHeight="1" x14ac:dyDescent="0.2">
      <c r="B74" s="792"/>
      <c r="C74" s="792"/>
      <c r="D74" s="792"/>
    </row>
    <row r="75" spans="1:24" s="556" customFormat="1" ht="15" customHeight="1" x14ac:dyDescent="0.2">
      <c r="B75" s="556" t="s">
        <v>1702</v>
      </c>
      <c r="C75" s="1059" t="s">
        <v>520</v>
      </c>
      <c r="D75" s="1059"/>
      <c r="E75" s="1059" t="s">
        <v>590</v>
      </c>
      <c r="F75" s="1059"/>
      <c r="G75" s="1059" t="s">
        <v>614</v>
      </c>
    </row>
    <row r="76" spans="1:24" s="572" customFormat="1" ht="17.25" customHeight="1" x14ac:dyDescent="0.2">
      <c r="A76" s="557"/>
      <c r="B76" s="1897" t="s">
        <v>1292</v>
      </c>
      <c r="C76" s="825">
        <v>2.34</v>
      </c>
      <c r="D76" s="1051" t="s">
        <v>45</v>
      </c>
      <c r="E76" s="493">
        <v>2</v>
      </c>
      <c r="F76" s="491" t="s">
        <v>46</v>
      </c>
      <c r="G76" s="493">
        <f>ROUND(C76*E76,2)</f>
        <v>4.68</v>
      </c>
      <c r="I76" s="592"/>
      <c r="J76" s="592"/>
    </row>
    <row r="77" spans="1:24" s="572" customFormat="1" ht="17.25" customHeight="1" x14ac:dyDescent="0.2">
      <c r="A77" s="557"/>
      <c r="B77" s="1897"/>
      <c r="C77" s="825">
        <v>0.7</v>
      </c>
      <c r="D77" s="1051" t="s">
        <v>45</v>
      </c>
      <c r="E77" s="493">
        <v>4</v>
      </c>
      <c r="F77" s="491" t="s">
        <v>46</v>
      </c>
      <c r="G77" s="493">
        <f t="shared" ref="G77:G83" si="0">ROUND(C77*E77,2)</f>
        <v>2.8</v>
      </c>
      <c r="I77" s="592"/>
      <c r="J77" s="592"/>
    </row>
    <row r="78" spans="1:24" s="572" customFormat="1" ht="17.25" customHeight="1" x14ac:dyDescent="0.2">
      <c r="A78" s="557"/>
      <c r="B78" s="1897"/>
      <c r="C78" s="825">
        <v>6.14</v>
      </c>
      <c r="D78" s="1051" t="s">
        <v>45</v>
      </c>
      <c r="E78" s="493">
        <v>2</v>
      </c>
      <c r="F78" s="491" t="s">
        <v>46</v>
      </c>
      <c r="G78" s="493">
        <f t="shared" si="0"/>
        <v>12.28</v>
      </c>
      <c r="I78" s="592"/>
      <c r="J78" s="592"/>
    </row>
    <row r="79" spans="1:24" s="572" customFormat="1" ht="17.25" customHeight="1" x14ac:dyDescent="0.2">
      <c r="A79" s="557"/>
      <c r="B79" s="1897"/>
      <c r="C79" s="825">
        <v>0.82</v>
      </c>
      <c r="D79" s="1051" t="s">
        <v>45</v>
      </c>
      <c r="E79" s="493">
        <v>4</v>
      </c>
      <c r="F79" s="491" t="s">
        <v>46</v>
      </c>
      <c r="G79" s="493">
        <f t="shared" si="0"/>
        <v>3.28</v>
      </c>
      <c r="I79" s="592"/>
      <c r="J79" s="592"/>
    </row>
    <row r="80" spans="1:24" s="572" customFormat="1" ht="17.25" customHeight="1" x14ac:dyDescent="0.2">
      <c r="A80" s="557"/>
      <c r="B80" s="1897" t="s">
        <v>1293</v>
      </c>
      <c r="C80" s="825">
        <v>0.7</v>
      </c>
      <c r="D80" s="1051" t="s">
        <v>45</v>
      </c>
      <c r="E80" s="493">
        <v>12</v>
      </c>
      <c r="F80" s="491" t="s">
        <v>46</v>
      </c>
      <c r="G80" s="493">
        <f t="shared" si="0"/>
        <v>8.4</v>
      </c>
      <c r="I80" s="592"/>
      <c r="J80" s="592"/>
    </row>
    <row r="81" spans="1:24" s="572" customFormat="1" ht="17.25" customHeight="1" x14ac:dyDescent="0.2">
      <c r="A81" s="557"/>
      <c r="B81" s="1897"/>
      <c r="C81" s="825">
        <v>2.2200000000000002</v>
      </c>
      <c r="D81" s="1051" t="s">
        <v>45</v>
      </c>
      <c r="E81" s="493">
        <v>2</v>
      </c>
      <c r="F81" s="491" t="s">
        <v>46</v>
      </c>
      <c r="G81" s="493">
        <f t="shared" si="0"/>
        <v>4.4400000000000004</v>
      </c>
      <c r="I81" s="592"/>
      <c r="J81" s="592"/>
    </row>
    <row r="82" spans="1:24" s="572" customFormat="1" ht="17.25" customHeight="1" x14ac:dyDescent="0.2">
      <c r="A82" s="557"/>
      <c r="B82" s="1897"/>
      <c r="C82" s="825">
        <v>1.46</v>
      </c>
      <c r="D82" s="1051" t="s">
        <v>45</v>
      </c>
      <c r="E82" s="493">
        <v>2</v>
      </c>
      <c r="F82" s="491" t="s">
        <v>46</v>
      </c>
      <c r="G82" s="493">
        <f t="shared" si="0"/>
        <v>2.92</v>
      </c>
      <c r="I82" s="592"/>
      <c r="J82" s="592"/>
    </row>
    <row r="83" spans="1:24" s="572" customFormat="1" ht="17.25" customHeight="1" x14ac:dyDescent="0.2">
      <c r="A83" s="557"/>
      <c r="B83" s="1897"/>
      <c r="C83" s="825">
        <v>2.98</v>
      </c>
      <c r="D83" s="1051" t="s">
        <v>45</v>
      </c>
      <c r="E83" s="493">
        <v>2</v>
      </c>
      <c r="F83" s="491" t="s">
        <v>46</v>
      </c>
      <c r="G83" s="493">
        <f t="shared" si="0"/>
        <v>5.96</v>
      </c>
      <c r="I83" s="592"/>
      <c r="J83" s="592"/>
    </row>
    <row r="84" spans="1:24" s="21" customFormat="1" ht="15" customHeight="1" x14ac:dyDescent="0.2"/>
    <row r="85" spans="1:24" s="572" customFormat="1" ht="17.25" customHeight="1" x14ac:dyDescent="0.2">
      <c r="B85" s="795" t="s">
        <v>47</v>
      </c>
      <c r="C85" s="797">
        <f>ROUND(SUM(G76:G84),2)</f>
        <v>44.76</v>
      </c>
      <c r="D85" s="824" t="s">
        <v>12</v>
      </c>
      <c r="E85" s="794"/>
      <c r="F85" s="793"/>
      <c r="G85" s="794"/>
      <c r="H85" s="793"/>
      <c r="I85" s="794"/>
      <c r="M85" s="846"/>
    </row>
    <row r="86" spans="1:24" s="21" customFormat="1" ht="15" customHeight="1" x14ac:dyDescent="0.2"/>
    <row r="87" spans="1:24" s="140" customFormat="1" ht="22.5" customHeight="1" x14ac:dyDescent="0.2">
      <c r="A87" s="226" t="str">
        <f>ORÇ!A473</f>
        <v>17.3.2</v>
      </c>
      <c r="B87" s="1050" t="str">
        <f>ORÇ!D473</f>
        <v>Piso Sensorial</v>
      </c>
      <c r="C87" s="337"/>
      <c r="D87" s="162"/>
      <c r="E87" s="162"/>
      <c r="F87" s="162"/>
      <c r="G87" s="162"/>
      <c r="H87" s="162"/>
      <c r="I87" s="162"/>
      <c r="J87" s="162"/>
      <c r="X87" s="21"/>
    </row>
    <row r="88" spans="1:24" s="140" customFormat="1" ht="22.5" customHeight="1" x14ac:dyDescent="0.2">
      <c r="A88" s="226" t="str">
        <f>ORÇ!A474</f>
        <v>17.3.2.1</v>
      </c>
      <c r="B88" s="1050" t="str">
        <f>ORÇ!D474</f>
        <v>SEIXO COM ESPALHAMENTO</v>
      </c>
      <c r="C88" s="337"/>
      <c r="D88" s="162"/>
      <c r="E88" s="162"/>
      <c r="F88" s="162"/>
      <c r="G88" s="162"/>
      <c r="H88" s="162"/>
      <c r="I88" s="162"/>
      <c r="J88" s="162"/>
      <c r="X88" s="21"/>
    </row>
    <row r="89" spans="1:24" s="572" customFormat="1" ht="15" customHeight="1" x14ac:dyDescent="0.2">
      <c r="B89" s="792"/>
      <c r="C89" s="792"/>
      <c r="D89" s="792"/>
    </row>
    <row r="90" spans="1:24" s="556" customFormat="1" ht="15" customHeight="1" x14ac:dyDescent="0.2">
      <c r="C90" s="1059" t="s">
        <v>216</v>
      </c>
      <c r="D90" s="1059"/>
      <c r="E90" s="1059" t="s">
        <v>405</v>
      </c>
      <c r="F90" s="1059"/>
      <c r="G90" s="1059" t="s">
        <v>630</v>
      </c>
      <c r="H90" s="1059"/>
      <c r="I90" s="1059" t="s">
        <v>312</v>
      </c>
    </row>
    <row r="91" spans="1:24" s="572" customFormat="1" ht="15" customHeight="1" x14ac:dyDescent="0.2">
      <c r="A91" s="557"/>
      <c r="B91" s="2" t="s">
        <v>1437</v>
      </c>
      <c r="C91" s="825">
        <v>0.7</v>
      </c>
      <c r="D91" s="1051" t="s">
        <v>45</v>
      </c>
      <c r="E91" s="825">
        <v>0.7</v>
      </c>
      <c r="F91" s="1051" t="s">
        <v>45</v>
      </c>
      <c r="G91" s="825">
        <v>0.08</v>
      </c>
      <c r="H91" s="1051" t="s">
        <v>46</v>
      </c>
      <c r="I91" s="825">
        <f>ROUND(C91*E91*G91,2)</f>
        <v>0.04</v>
      </c>
      <c r="J91" s="592"/>
    </row>
    <row r="92" spans="1:24" s="21" customFormat="1" ht="15" customHeight="1" x14ac:dyDescent="0.2"/>
    <row r="93" spans="1:24" s="695" customFormat="1" ht="28.5" customHeight="1" x14ac:dyDescent="0.2">
      <c r="B93" s="1052" t="s">
        <v>498</v>
      </c>
      <c r="C93" s="1052"/>
      <c r="D93" s="1052" t="s">
        <v>1717</v>
      </c>
      <c r="E93" s="1052"/>
      <c r="F93" s="1052" t="s">
        <v>312</v>
      </c>
    </row>
    <row r="94" spans="1:24" s="602" customFormat="1" ht="15" customHeight="1" x14ac:dyDescent="0.2">
      <c r="B94" s="456">
        <f>I91</f>
        <v>0.04</v>
      </c>
      <c r="C94" s="1045" t="s">
        <v>45</v>
      </c>
      <c r="D94" s="1045">
        <v>3</v>
      </c>
      <c r="E94" s="1045" t="s">
        <v>46</v>
      </c>
      <c r="F94" s="1045">
        <f>ROUND(B94*D94,2)</f>
        <v>0.12</v>
      </c>
    </row>
    <row r="95" spans="1:24" s="21" customFormat="1" ht="15" customHeight="1" x14ac:dyDescent="0.2"/>
    <row r="96" spans="1:24" s="572" customFormat="1" ht="17.25" customHeight="1" x14ac:dyDescent="0.2">
      <c r="B96" s="795" t="s">
        <v>47</v>
      </c>
      <c r="C96" s="797">
        <f>ROUND(SUM(F94:F95),2)</f>
        <v>0.12</v>
      </c>
      <c r="D96" s="824" t="s">
        <v>497</v>
      </c>
      <c r="E96" s="794"/>
      <c r="F96" s="793"/>
      <c r="G96" s="794"/>
      <c r="H96" s="793"/>
      <c r="I96" s="794"/>
      <c r="M96" s="846"/>
    </row>
    <row r="97" spans="1:24" s="21" customFormat="1" ht="15" customHeight="1" x14ac:dyDescent="0.2"/>
    <row r="98" spans="1:24" s="140" customFormat="1" ht="22.5" customHeight="1" x14ac:dyDescent="0.2">
      <c r="A98" s="226" t="str">
        <f>ORÇ!A475</f>
        <v>17.3.2.2</v>
      </c>
      <c r="B98" s="1050" t="str">
        <f>ORÇ!D475</f>
        <v>PLANTIO DE GRAMA (INCL. TERRA PRETA)</v>
      </c>
      <c r="C98" s="337"/>
      <c r="D98" s="162"/>
      <c r="E98" s="162"/>
      <c r="F98" s="162"/>
      <c r="G98" s="162"/>
      <c r="H98" s="162"/>
      <c r="I98" s="162"/>
      <c r="J98" s="162"/>
      <c r="X98" s="21"/>
    </row>
    <row r="99" spans="1:24" s="572" customFormat="1" ht="15" customHeight="1" x14ac:dyDescent="0.2">
      <c r="B99" s="792"/>
      <c r="C99" s="792"/>
      <c r="D99" s="792"/>
    </row>
    <row r="100" spans="1:24" s="556" customFormat="1" ht="15" customHeight="1" x14ac:dyDescent="0.2">
      <c r="C100" s="1059" t="s">
        <v>216</v>
      </c>
      <c r="D100" s="1059"/>
      <c r="E100" s="1059" t="s">
        <v>405</v>
      </c>
      <c r="F100" s="1059"/>
      <c r="G100" s="1059" t="s">
        <v>213</v>
      </c>
    </row>
    <row r="101" spans="1:24" s="572" customFormat="1" ht="15" customHeight="1" x14ac:dyDescent="0.2">
      <c r="A101" s="557"/>
      <c r="B101" s="2" t="s">
        <v>1438</v>
      </c>
      <c r="C101" s="825">
        <v>0.7</v>
      </c>
      <c r="D101" s="1051" t="s">
        <v>45</v>
      </c>
      <c r="E101" s="825">
        <v>0.7</v>
      </c>
      <c r="F101" s="1051" t="s">
        <v>46</v>
      </c>
      <c r="G101" s="825">
        <f>ROUND(C101*E101,2)</f>
        <v>0.49</v>
      </c>
      <c r="H101" s="1893"/>
      <c r="I101" s="1894"/>
      <c r="J101" s="592"/>
    </row>
    <row r="102" spans="1:24" s="21" customFormat="1" ht="15" customHeight="1" x14ac:dyDescent="0.2"/>
    <row r="103" spans="1:24" s="695" customFormat="1" ht="28.5" customHeight="1" x14ac:dyDescent="0.2">
      <c r="B103" s="1052" t="s">
        <v>1436</v>
      </c>
      <c r="C103" s="1052"/>
      <c r="D103" s="1052" t="s">
        <v>1717</v>
      </c>
      <c r="E103" s="1052"/>
      <c r="F103" s="1052" t="s">
        <v>213</v>
      </c>
    </row>
    <row r="104" spans="1:24" s="602" customFormat="1" ht="15" customHeight="1" x14ac:dyDescent="0.2">
      <c r="B104" s="456">
        <f>G101</f>
        <v>0.49</v>
      </c>
      <c r="C104" s="1045" t="s">
        <v>45</v>
      </c>
      <c r="D104" s="1045">
        <v>3</v>
      </c>
      <c r="E104" s="1045" t="s">
        <v>46</v>
      </c>
      <c r="F104" s="1045">
        <f>ROUND(B104*D104,2)</f>
        <v>1.47</v>
      </c>
    </row>
    <row r="105" spans="1:24" s="21" customFormat="1" ht="15" customHeight="1" x14ac:dyDescent="0.2"/>
    <row r="106" spans="1:24" s="572" customFormat="1" ht="17.25" customHeight="1" x14ac:dyDescent="0.2">
      <c r="B106" s="795" t="s">
        <v>47</v>
      </c>
      <c r="C106" s="797">
        <f>ROUND(SUM(F104:F105),2)</f>
        <v>1.47</v>
      </c>
      <c r="D106" s="824" t="s">
        <v>4</v>
      </c>
      <c r="E106" s="794"/>
      <c r="F106" s="793"/>
      <c r="G106" s="794"/>
      <c r="H106" s="793"/>
      <c r="I106" s="794"/>
      <c r="M106" s="846"/>
    </row>
    <row r="107" spans="1:24" s="572" customFormat="1" ht="15" customHeight="1" x14ac:dyDescent="0.2"/>
    <row r="108" spans="1:24" s="140" customFormat="1" ht="22.5" customHeight="1" x14ac:dyDescent="0.2">
      <c r="A108" s="226" t="str">
        <f>ORÇ!A476</f>
        <v>17.3.2.3</v>
      </c>
      <c r="B108" s="1050" t="str">
        <f>ORÇ!D476</f>
        <v>ATERRO MANUAL DE VALAS COM AREIA PARA ATERRO E COMPACTAÇÃO MECANIZADA. AF_05/2016</v>
      </c>
      <c r="C108" s="337"/>
      <c r="D108" s="162"/>
      <c r="E108" s="162"/>
      <c r="F108" s="162"/>
      <c r="G108" s="162"/>
      <c r="H108" s="162"/>
      <c r="I108" s="162"/>
      <c r="J108" s="162"/>
      <c r="X108" s="21"/>
    </row>
    <row r="109" spans="1:24" s="572" customFormat="1" ht="15" customHeight="1" x14ac:dyDescent="0.2">
      <c r="B109" s="792"/>
      <c r="C109" s="792"/>
      <c r="D109" s="792"/>
    </row>
    <row r="110" spans="1:24" s="556" customFormat="1" ht="15" customHeight="1" x14ac:dyDescent="0.2">
      <c r="C110" s="1059" t="s">
        <v>216</v>
      </c>
      <c r="D110" s="1059"/>
      <c r="E110" s="1059" t="s">
        <v>405</v>
      </c>
      <c r="F110" s="1059"/>
      <c r="G110" s="1059" t="s">
        <v>630</v>
      </c>
      <c r="H110" s="1059"/>
      <c r="I110" s="1059" t="s">
        <v>312</v>
      </c>
    </row>
    <row r="111" spans="1:24" s="572" customFormat="1" ht="15" customHeight="1" x14ac:dyDescent="0.2">
      <c r="A111" s="557"/>
      <c r="B111" s="2" t="s">
        <v>1439</v>
      </c>
      <c r="C111" s="825">
        <v>0.7</v>
      </c>
      <c r="D111" s="1051" t="s">
        <v>45</v>
      </c>
      <c r="E111" s="825">
        <v>0.7</v>
      </c>
      <c r="F111" s="1051" t="s">
        <v>45</v>
      </c>
      <c r="G111" s="825">
        <v>0.08</v>
      </c>
      <c r="H111" s="1051" t="s">
        <v>46</v>
      </c>
      <c r="I111" s="825">
        <f>ROUND(C111*E111*G111,2)</f>
        <v>0.04</v>
      </c>
      <c r="J111" s="592"/>
    </row>
    <row r="112" spans="1:24" s="21" customFormat="1" ht="15" customHeight="1" x14ac:dyDescent="0.2"/>
    <row r="113" spans="1:24" s="695" customFormat="1" ht="28.5" customHeight="1" x14ac:dyDescent="0.2">
      <c r="B113" s="1052" t="s">
        <v>498</v>
      </c>
      <c r="C113" s="1052"/>
      <c r="D113" s="1052" t="s">
        <v>1717</v>
      </c>
      <c r="E113" s="1052"/>
      <c r="F113" s="1052" t="s">
        <v>312</v>
      </c>
    </row>
    <row r="114" spans="1:24" s="602" customFormat="1" ht="15" customHeight="1" x14ac:dyDescent="0.2">
      <c r="B114" s="456">
        <f>I111</f>
        <v>0.04</v>
      </c>
      <c r="C114" s="1045" t="s">
        <v>45</v>
      </c>
      <c r="D114" s="1045">
        <v>3</v>
      </c>
      <c r="E114" s="1045" t="s">
        <v>46</v>
      </c>
      <c r="F114" s="1045">
        <f>ROUND(B114*D114,2)</f>
        <v>0.12</v>
      </c>
    </row>
    <row r="115" spans="1:24" s="21" customFormat="1" ht="15" customHeight="1" x14ac:dyDescent="0.2"/>
    <row r="116" spans="1:24" s="572" customFormat="1" ht="17.25" customHeight="1" x14ac:dyDescent="0.2">
      <c r="B116" s="795" t="s">
        <v>47</v>
      </c>
      <c r="C116" s="797">
        <f>ROUND(SUM(F113:F114),2)</f>
        <v>0.12</v>
      </c>
      <c r="D116" s="824" t="s">
        <v>497</v>
      </c>
      <c r="E116" s="794"/>
      <c r="F116" s="793"/>
      <c r="G116" s="794"/>
      <c r="H116" s="793"/>
      <c r="I116" s="794"/>
      <c r="M116" s="846"/>
    </row>
    <row r="117" spans="1:24" s="21" customFormat="1" ht="15" customHeight="1" x14ac:dyDescent="0.2"/>
    <row r="118" spans="1:24" s="140" customFormat="1" ht="33" customHeight="1" x14ac:dyDescent="0.2">
      <c r="A118" s="226" t="str">
        <f>ORÇ!A477</f>
        <v>17.3.2.4</v>
      </c>
      <c r="B118" s="1710" t="str">
        <f>ORÇ!D477</f>
        <v>PISO EM MADEIRA ROLICA TRATADA, D = 12 A 15 CM, H = 3,00 M, EM EUCALIPTO OU EQUIVALENTE DA REGIAO, FIXADO COM COLA BASE DE PVA. FORNECIMENTO E INSTALAÇÃO</v>
      </c>
      <c r="C118" s="1710"/>
      <c r="D118" s="1710"/>
      <c r="E118" s="1710"/>
      <c r="F118" s="1710"/>
      <c r="G118" s="1710"/>
      <c r="H118" s="1710"/>
      <c r="I118" s="1710"/>
      <c r="J118" s="1710"/>
      <c r="X118" s="21"/>
    </row>
    <row r="119" spans="1:24" s="572" customFormat="1" ht="15" customHeight="1" x14ac:dyDescent="0.2">
      <c r="B119" s="792"/>
      <c r="C119" s="792"/>
      <c r="D119" s="792"/>
    </row>
    <row r="120" spans="1:24" s="556" customFormat="1" ht="15" customHeight="1" x14ac:dyDescent="0.2">
      <c r="C120" s="1059" t="s">
        <v>216</v>
      </c>
      <c r="D120" s="1059"/>
      <c r="E120" s="1059" t="s">
        <v>405</v>
      </c>
      <c r="F120" s="1059"/>
      <c r="G120" s="1059" t="s">
        <v>213</v>
      </c>
    </row>
    <row r="121" spans="1:24" s="572" customFormat="1" ht="15" customHeight="1" x14ac:dyDescent="0.2">
      <c r="A121" s="557"/>
      <c r="B121" s="2" t="s">
        <v>1440</v>
      </c>
      <c r="C121" s="825">
        <v>0.7</v>
      </c>
      <c r="D121" s="1051" t="s">
        <v>45</v>
      </c>
      <c r="E121" s="825">
        <v>0.7</v>
      </c>
      <c r="F121" s="1051" t="s">
        <v>46</v>
      </c>
      <c r="G121" s="825">
        <f>ROUND(C121*E121,2)</f>
        <v>0.49</v>
      </c>
      <c r="H121" s="1893"/>
      <c r="I121" s="1894"/>
      <c r="J121" s="592"/>
    </row>
    <row r="122" spans="1:24" s="21" customFormat="1" ht="15" customHeight="1" x14ac:dyDescent="0.2"/>
    <row r="123" spans="1:24" s="695" customFormat="1" ht="28.5" customHeight="1" x14ac:dyDescent="0.2">
      <c r="B123" s="1052" t="s">
        <v>1436</v>
      </c>
      <c r="C123" s="1052"/>
      <c r="D123" s="1052" t="s">
        <v>1717</v>
      </c>
      <c r="E123" s="1052"/>
      <c r="F123" s="1052" t="s">
        <v>213</v>
      </c>
    </row>
    <row r="124" spans="1:24" s="602" customFormat="1" ht="15" customHeight="1" x14ac:dyDescent="0.2">
      <c r="B124" s="456">
        <f>G121</f>
        <v>0.49</v>
      </c>
      <c r="C124" s="1045" t="s">
        <v>45</v>
      </c>
      <c r="D124" s="1045">
        <v>3</v>
      </c>
      <c r="E124" s="1045" t="s">
        <v>46</v>
      </c>
      <c r="F124" s="1045">
        <f>ROUND(B124*D124,2)</f>
        <v>1.47</v>
      </c>
    </row>
    <row r="125" spans="1:24" s="21" customFormat="1" ht="15" customHeight="1" x14ac:dyDescent="0.2"/>
    <row r="126" spans="1:24" s="572" customFormat="1" ht="17.25" customHeight="1" x14ac:dyDescent="0.2">
      <c r="B126" s="795" t="s">
        <v>47</v>
      </c>
      <c r="C126" s="797">
        <f>ROUND(SUM(F123:F124),2)</f>
        <v>1.47</v>
      </c>
      <c r="D126" s="824" t="s">
        <v>4</v>
      </c>
      <c r="E126" s="794"/>
      <c r="F126" s="793"/>
      <c r="G126" s="794"/>
      <c r="H126" s="793"/>
      <c r="I126" s="794"/>
      <c r="M126" s="846"/>
    </row>
    <row r="127" spans="1:24" s="21" customFormat="1" ht="15" customHeight="1" x14ac:dyDescent="0.2"/>
    <row r="128" spans="1:24" s="140" customFormat="1" ht="33" customHeight="1" x14ac:dyDescent="0.2">
      <c r="A128" s="226" t="str">
        <f>ORÇ!A478</f>
        <v>17.3.2.5</v>
      </c>
      <c r="B128" s="1710" t="str">
        <f>ORÇ!D478</f>
        <v>EXECUÇÃO DE PAVIMENTO EM PEDRAS POLIÉDRICAS, REJUNTAMENTO COM ARGAMASSA TRAÇO 1:3 (CIMENTO E AREIA). AF_05/2020</v>
      </c>
      <c r="C128" s="1710"/>
      <c r="D128" s="1710"/>
      <c r="E128" s="1710"/>
      <c r="F128" s="1710"/>
      <c r="G128" s="1710"/>
      <c r="H128" s="1710"/>
      <c r="I128" s="1710"/>
      <c r="J128" s="1710"/>
      <c r="X128" s="21"/>
    </row>
    <row r="129" spans="1:24" s="572" customFormat="1" ht="15" customHeight="1" x14ac:dyDescent="0.2">
      <c r="B129" s="792"/>
      <c r="C129" s="792"/>
      <c r="D129" s="792"/>
    </row>
    <row r="130" spans="1:24" s="556" customFormat="1" ht="15" customHeight="1" x14ac:dyDescent="0.2">
      <c r="C130" s="1059" t="s">
        <v>216</v>
      </c>
      <c r="D130" s="1059"/>
      <c r="E130" s="1059" t="s">
        <v>405</v>
      </c>
      <c r="F130" s="1059"/>
      <c r="G130" s="1059" t="s">
        <v>213</v>
      </c>
    </row>
    <row r="131" spans="1:24" s="572" customFormat="1" ht="15" customHeight="1" x14ac:dyDescent="0.2">
      <c r="A131" s="557"/>
      <c r="B131" s="2" t="s">
        <v>1440</v>
      </c>
      <c r="C131" s="825">
        <v>0.7</v>
      </c>
      <c r="D131" s="1051" t="s">
        <v>45</v>
      </c>
      <c r="E131" s="825">
        <v>0.7</v>
      </c>
      <c r="F131" s="1051" t="s">
        <v>46</v>
      </c>
      <c r="G131" s="825">
        <f>ROUND(C131*E131,2)</f>
        <v>0.49</v>
      </c>
      <c r="H131" s="1893"/>
      <c r="I131" s="1894"/>
      <c r="J131" s="592"/>
    </row>
    <row r="132" spans="1:24" s="21" customFormat="1" ht="15" customHeight="1" x14ac:dyDescent="0.2"/>
    <row r="133" spans="1:24" s="695" customFormat="1" ht="28.5" customHeight="1" x14ac:dyDescent="0.2">
      <c r="B133" s="1052" t="s">
        <v>1436</v>
      </c>
      <c r="C133" s="1052"/>
      <c r="D133" s="1052" t="s">
        <v>1717</v>
      </c>
      <c r="E133" s="1052"/>
      <c r="F133" s="1052" t="s">
        <v>213</v>
      </c>
    </row>
    <row r="134" spans="1:24" s="602" customFormat="1" ht="15" customHeight="1" x14ac:dyDescent="0.2">
      <c r="B134" s="456">
        <f>G131</f>
        <v>0.49</v>
      </c>
      <c r="C134" s="1045" t="s">
        <v>45</v>
      </c>
      <c r="D134" s="1045">
        <v>3</v>
      </c>
      <c r="E134" s="1045" t="s">
        <v>46</v>
      </c>
      <c r="F134" s="1045">
        <f>ROUND(B134*D134,2)</f>
        <v>1.47</v>
      </c>
    </row>
    <row r="135" spans="1:24" s="21" customFormat="1" ht="15" customHeight="1" x14ac:dyDescent="0.2"/>
    <row r="136" spans="1:24" s="572" customFormat="1" ht="17.25" customHeight="1" x14ac:dyDescent="0.2">
      <c r="B136" s="795" t="s">
        <v>47</v>
      </c>
      <c r="C136" s="797">
        <f>ROUND(SUM(F134:F135),2)</f>
        <v>1.47</v>
      </c>
      <c r="D136" s="824" t="s">
        <v>4</v>
      </c>
      <c r="E136" s="794"/>
      <c r="F136" s="793"/>
      <c r="G136" s="794"/>
      <c r="H136" s="793"/>
      <c r="I136" s="794"/>
      <c r="M136" s="846"/>
    </row>
    <row r="137" spans="1:24" s="21" customFormat="1" ht="15" customHeight="1" x14ac:dyDescent="0.2"/>
    <row r="138" spans="1:24" s="139" customFormat="1" ht="18.75" customHeight="1" x14ac:dyDescent="0.2">
      <c r="A138" s="226" t="str">
        <f>ORÇ!A479</f>
        <v>17.3.3</v>
      </c>
      <c r="B138" s="789" t="str">
        <f>ORÇ!D479</f>
        <v>Parede Sensorial</v>
      </c>
      <c r="C138" s="337"/>
      <c r="D138" s="420"/>
      <c r="E138" s="420"/>
      <c r="F138" s="420"/>
      <c r="G138" s="420"/>
      <c r="H138" s="420"/>
      <c r="I138" s="420"/>
      <c r="J138" s="420"/>
      <c r="X138"/>
    </row>
    <row r="139" spans="1:24" s="139" customFormat="1" ht="34.5" customHeight="1" x14ac:dyDescent="0.2">
      <c r="A139" s="226" t="str">
        <f>ORÇ!A480</f>
        <v>17.3.3.1</v>
      </c>
      <c r="B139" s="1710" t="str">
        <f>ORÇ!D480</f>
        <v>MOLDURA EM MADEIRA, FEITO COM RIPAS APARELHADAS DE 1,50 X 5 CM EM MAÇARANDUBA, ANGELIM OU EQUIVALENTE DA REGIÃO, FIXADO NA ALVENARIA. FORNECIMENTO E INSTALAÇÃO.</v>
      </c>
      <c r="C139" s="1710"/>
      <c r="D139" s="1710"/>
      <c r="E139" s="1710"/>
      <c r="F139" s="1710"/>
      <c r="G139" s="1710"/>
      <c r="H139" s="1710"/>
      <c r="I139" s="1710"/>
      <c r="J139" s="1710"/>
      <c r="X139"/>
    </row>
    <row r="140" spans="1:24" s="140" customFormat="1" ht="18" customHeight="1" x14ac:dyDescent="0.2">
      <c r="A140" s="913"/>
      <c r="B140" s="421"/>
      <c r="C140" s="162"/>
      <c r="D140" s="162"/>
      <c r="E140" s="162"/>
      <c r="F140" s="162"/>
      <c r="G140" s="162"/>
      <c r="H140" s="162"/>
      <c r="I140" s="162"/>
      <c r="J140" s="162"/>
      <c r="X140" s="21"/>
    </row>
    <row r="141" spans="1:24" s="140" customFormat="1" ht="18" customHeight="1" x14ac:dyDescent="0.2">
      <c r="A141" s="913"/>
      <c r="C141" s="303" t="s">
        <v>313</v>
      </c>
      <c r="D141" s="162"/>
      <c r="E141" s="162"/>
      <c r="F141" s="162"/>
      <c r="G141" s="162"/>
      <c r="H141" s="162"/>
      <c r="I141" s="162"/>
      <c r="J141" s="162"/>
      <c r="X141" s="21"/>
    </row>
    <row r="142" spans="1:24" s="140" customFormat="1" ht="18" customHeight="1" x14ac:dyDescent="0.2">
      <c r="A142" s="913"/>
      <c r="B142" s="1895" t="s">
        <v>1719</v>
      </c>
      <c r="C142" s="303">
        <v>6</v>
      </c>
      <c r="D142" s="162"/>
      <c r="E142" s="162"/>
      <c r="F142" s="162"/>
      <c r="G142" s="162"/>
      <c r="H142" s="162"/>
      <c r="I142" s="162"/>
      <c r="J142" s="162"/>
      <c r="X142" s="21"/>
    </row>
    <row r="143" spans="1:24" s="140" customFormat="1" ht="18" customHeight="1" x14ac:dyDescent="0.2">
      <c r="A143" s="913"/>
      <c r="B143" s="1895"/>
      <c r="C143" s="303">
        <v>6</v>
      </c>
      <c r="D143" s="162"/>
      <c r="E143" s="162"/>
      <c r="F143" s="162"/>
      <c r="G143" s="162"/>
      <c r="H143" s="162"/>
      <c r="I143" s="162"/>
      <c r="J143" s="162"/>
      <c r="X143" s="21"/>
    </row>
    <row r="144" spans="1:24" s="140" customFormat="1" ht="18" customHeight="1" x14ac:dyDescent="0.2">
      <c r="A144" s="913"/>
      <c r="B144" s="1895"/>
      <c r="C144" s="303">
        <v>6.8</v>
      </c>
      <c r="D144" s="162"/>
      <c r="E144" s="162"/>
      <c r="F144" s="162"/>
      <c r="G144" s="162"/>
      <c r="H144" s="162"/>
      <c r="I144" s="162"/>
      <c r="J144" s="162"/>
      <c r="X144" s="21"/>
    </row>
    <row r="145" spans="1:24" s="140" customFormat="1" ht="18" customHeight="1" x14ac:dyDescent="0.2">
      <c r="A145" s="913"/>
      <c r="B145" s="1895"/>
      <c r="C145" s="303">
        <v>6.8</v>
      </c>
      <c r="D145" s="162"/>
      <c r="E145" s="162"/>
      <c r="F145" s="162"/>
      <c r="G145" s="162"/>
      <c r="H145" s="162"/>
      <c r="I145" s="162"/>
      <c r="J145" s="162"/>
      <c r="X145" s="21"/>
    </row>
    <row r="146" spans="1:24" s="140" customFormat="1" ht="18" customHeight="1" x14ac:dyDescent="0.2">
      <c r="A146" s="913"/>
      <c r="B146" s="1895" t="s">
        <v>1720</v>
      </c>
      <c r="C146" s="303">
        <v>1.2</v>
      </c>
      <c r="D146" s="162"/>
      <c r="E146" s="162"/>
      <c r="F146" s="162"/>
      <c r="G146" s="162"/>
      <c r="H146" s="162"/>
      <c r="I146" s="162"/>
      <c r="J146" s="162"/>
      <c r="X146" s="21"/>
    </row>
    <row r="147" spans="1:24" s="140" customFormat="1" ht="18" customHeight="1" x14ac:dyDescent="0.2">
      <c r="A147" s="913"/>
      <c r="B147" s="1895"/>
      <c r="C147" s="303">
        <v>1.2</v>
      </c>
      <c r="D147" s="162"/>
      <c r="E147" s="162"/>
      <c r="F147" s="162"/>
      <c r="G147" s="162"/>
      <c r="H147" s="162"/>
      <c r="I147" s="162"/>
      <c r="J147" s="162"/>
      <c r="X147" s="21"/>
    </row>
    <row r="148" spans="1:24" s="140" customFormat="1" ht="18" customHeight="1" x14ac:dyDescent="0.2">
      <c r="A148" s="913"/>
      <c r="B148" s="1895"/>
      <c r="C148" s="303">
        <v>1.2</v>
      </c>
      <c r="D148" s="162"/>
      <c r="E148" s="162"/>
      <c r="F148" s="162"/>
      <c r="G148" s="162"/>
      <c r="H148" s="162"/>
      <c r="I148" s="162"/>
      <c r="J148" s="162"/>
      <c r="X148" s="21"/>
    </row>
    <row r="149" spans="1:24" s="140" customFormat="1" ht="18" customHeight="1" x14ac:dyDescent="0.2">
      <c r="A149" s="913"/>
      <c r="B149" s="1895"/>
      <c r="C149" s="303">
        <v>1.2</v>
      </c>
      <c r="D149" s="162"/>
      <c r="E149" s="162"/>
      <c r="F149" s="162"/>
      <c r="G149" s="162"/>
      <c r="H149" s="162"/>
      <c r="I149" s="162"/>
      <c r="J149" s="162"/>
      <c r="X149" s="21"/>
    </row>
    <row r="150" spans="1:24" s="140" customFormat="1" ht="18" customHeight="1" x14ac:dyDescent="0.2">
      <c r="A150" s="913"/>
      <c r="B150" s="421"/>
      <c r="C150" s="162"/>
      <c r="D150" s="162"/>
      <c r="E150" s="162"/>
      <c r="F150" s="162"/>
      <c r="G150" s="162"/>
      <c r="H150" s="162"/>
      <c r="I150" s="162"/>
      <c r="J150" s="162"/>
      <c r="X150" s="21"/>
    </row>
    <row r="151" spans="1:24" s="572" customFormat="1" ht="17.25" customHeight="1" x14ac:dyDescent="0.2">
      <c r="B151" s="795" t="s">
        <v>47</v>
      </c>
      <c r="C151" s="797">
        <f>ROUND(SUM(C142:C149),2)</f>
        <v>30.4</v>
      </c>
      <c r="D151" s="824" t="s">
        <v>12</v>
      </c>
      <c r="E151" s="794"/>
      <c r="F151" s="793"/>
      <c r="G151" s="794"/>
      <c r="H151" s="793"/>
      <c r="I151" s="794"/>
      <c r="M151" s="846"/>
    </row>
  </sheetData>
  <mergeCells count="33">
    <mergeCell ref="B142:B145"/>
    <mergeCell ref="B146:B149"/>
    <mergeCell ref="B59:J59"/>
    <mergeCell ref="B73:J73"/>
    <mergeCell ref="B76:B79"/>
    <mergeCell ref="B80:B83"/>
    <mergeCell ref="A4:B4"/>
    <mergeCell ref="C4:J4"/>
    <mergeCell ref="A1:J2"/>
    <mergeCell ref="A3:B3"/>
    <mergeCell ref="C3:E3"/>
    <mergeCell ref="F3:G3"/>
    <mergeCell ref="H3:J3"/>
    <mergeCell ref="A10:J10"/>
    <mergeCell ref="A5:B5"/>
    <mergeCell ref="C5:J5"/>
    <mergeCell ref="A6:B6"/>
    <mergeCell ref="C6:D6"/>
    <mergeCell ref="E6:F6"/>
    <mergeCell ref="G6:J6"/>
    <mergeCell ref="A7:B7"/>
    <mergeCell ref="C7:D7"/>
    <mergeCell ref="E7:F7"/>
    <mergeCell ref="G7:J7"/>
    <mergeCell ref="A9:J9"/>
    <mergeCell ref="B57:J57"/>
    <mergeCell ref="B128:J128"/>
    <mergeCell ref="B139:J139"/>
    <mergeCell ref="B66:J66"/>
    <mergeCell ref="H101:I101"/>
    <mergeCell ref="H121:I121"/>
    <mergeCell ref="H131:I131"/>
    <mergeCell ref="B118:J118"/>
  </mergeCells>
  <pageMargins left="0.51181102362204722" right="0.51181102362204722" top="0.78740157480314965" bottom="0.78740157480314965" header="0.31496062992125984" footer="0.31496062992125984"/>
  <pageSetup paperSize="9" scale="72" orientation="portrait" r:id="rId1"/>
  <rowBreaks count="2" manualBreakCount="2">
    <brk id="49" max="9" man="1"/>
    <brk id="106"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7"/>
  <sheetViews>
    <sheetView showGridLines="0" view="pageBreakPreview" topLeftCell="A505" zoomScale="90" zoomScaleSheetLayoutView="90" workbookViewId="0">
      <selection activeCell="B513" sqref="B513:J513"/>
    </sheetView>
  </sheetViews>
  <sheetFormatPr defaultRowHeight="12.75" x14ac:dyDescent="0.2"/>
  <cols>
    <col min="2" max="2" width="12.85546875" customWidth="1"/>
    <col min="3" max="3" width="13" customWidth="1"/>
    <col min="4" max="4" width="11.28515625" customWidth="1"/>
    <col min="5" max="5" width="11.5703125" customWidth="1"/>
    <col min="6" max="6" width="13.42578125" customWidth="1"/>
    <col min="7" max="7" width="14.28515625" customWidth="1"/>
    <col min="8" max="8" width="13" customWidth="1"/>
    <col min="9" max="9" width="12.42578125" customWidth="1"/>
    <col min="10" max="10"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ht="17.25" customHeight="1" x14ac:dyDescent="0.2">
      <c r="A3" s="1316" t="s">
        <v>79</v>
      </c>
      <c r="B3" s="1317"/>
      <c r="C3" s="1321" t="str">
        <f>ORÇ!B2</f>
        <v>PREFEITURA MUNICIPAL DE OURÉM</v>
      </c>
      <c r="D3" s="1738"/>
      <c r="E3" s="1322"/>
      <c r="F3" s="1326" t="s">
        <v>85</v>
      </c>
      <c r="G3" s="1327"/>
      <c r="H3" s="1819" t="str">
        <f>ORÇ!I2</f>
        <v>OURÉM/PA</v>
      </c>
      <c r="I3" s="1820"/>
      <c r="J3" s="1821"/>
    </row>
    <row r="4" spans="1:11" ht="17.25" customHeight="1" x14ac:dyDescent="0.2">
      <c r="A4" s="1316" t="s">
        <v>80</v>
      </c>
      <c r="B4" s="1317"/>
      <c r="C4" s="1321" t="str">
        <f>ORÇ!B3</f>
        <v>CONSTRUÇÃO DO CENTRO DE FISIOTERAPIA, NO MUNICÍPIO DE OURÉM/PA</v>
      </c>
      <c r="D4" s="1738"/>
      <c r="E4" s="1738"/>
      <c r="F4" s="1738"/>
      <c r="G4" s="1738"/>
      <c r="H4" s="1738"/>
      <c r="I4" s="1738"/>
      <c r="J4" s="1322"/>
    </row>
    <row r="5" spans="1:11" ht="17.25" customHeight="1" x14ac:dyDescent="0.2">
      <c r="A5" s="1316" t="s">
        <v>161</v>
      </c>
      <c r="B5" s="1317"/>
      <c r="C5" s="1808" t="str">
        <f>ORÇ!B4</f>
        <v>AV. PADRE ANGELO MORETTE, S/Nº - OURÉM/PA</v>
      </c>
      <c r="D5" s="1809"/>
      <c r="E5" s="1809"/>
      <c r="F5" s="1809"/>
      <c r="G5" s="1809"/>
      <c r="H5" s="1809"/>
      <c r="I5" s="1809"/>
      <c r="J5" s="1810"/>
    </row>
    <row r="6" spans="1:11" ht="28.5"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11" ht="15.75" customHeight="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16.5" customHeight="1" thickBot="1" x14ac:dyDescent="0.25">
      <c r="A9" s="1674" t="str">
        <f>CONCATENATE("MEMÓRIA DE CÁLCULO ",ORÇ!A482)</f>
        <v>MEMÓRIA DE CÁLCULO 18</v>
      </c>
      <c r="B9" s="1675"/>
      <c r="C9" s="1675"/>
      <c r="D9" s="1675"/>
      <c r="E9" s="1675"/>
      <c r="F9" s="1675"/>
      <c r="G9" s="1675"/>
      <c r="H9" s="1675"/>
      <c r="I9" s="1675"/>
      <c r="J9" s="1676"/>
      <c r="K9" s="67"/>
    </row>
    <row r="10" spans="1:11" ht="19.5" customHeight="1" x14ac:dyDescent="0.2">
      <c r="A10" s="1822" t="str">
        <f>ORÇ!D482</f>
        <v>Área da Piscina</v>
      </c>
      <c r="B10" s="1822"/>
      <c r="C10" s="1822"/>
      <c r="D10" s="1822"/>
      <c r="E10" s="1822"/>
      <c r="F10" s="1822"/>
      <c r="G10" s="1822"/>
      <c r="H10" s="1822"/>
      <c r="I10" s="1822"/>
      <c r="J10" s="1822"/>
      <c r="K10" s="126"/>
    </row>
    <row r="11" spans="1:11" ht="13.5" customHeight="1" x14ac:dyDescent="0.2">
      <c r="A11" s="30">
        <f>ORÇ!A482</f>
        <v>18</v>
      </c>
      <c r="B11" s="815" t="str">
        <f>ORÇ!D482</f>
        <v>Área da Piscina</v>
      </c>
      <c r="C11" s="183"/>
      <c r="D11" s="198"/>
      <c r="E11" s="198"/>
      <c r="F11" s="198"/>
      <c r="G11" s="198"/>
      <c r="H11" s="198"/>
      <c r="I11" s="198"/>
      <c r="J11" s="198"/>
    </row>
    <row r="12" spans="1:11" ht="13.5" customHeight="1" x14ac:dyDescent="0.2">
      <c r="A12" s="30"/>
      <c r="B12" s="1046"/>
      <c r="C12" s="183"/>
      <c r="D12" s="198"/>
      <c r="E12" s="198"/>
      <c r="F12" s="198"/>
      <c r="G12" s="198"/>
      <c r="H12" s="198"/>
      <c r="I12" s="198"/>
      <c r="J12" s="198"/>
    </row>
    <row r="13" spans="1:11" ht="13.5" customHeight="1" x14ac:dyDescent="0.2">
      <c r="A13" s="30"/>
      <c r="B13" s="1046"/>
      <c r="C13" s="183"/>
      <c r="D13" s="198"/>
      <c r="E13" s="198"/>
      <c r="F13" s="198"/>
      <c r="G13" s="198"/>
      <c r="H13" s="198"/>
      <c r="I13" s="198"/>
      <c r="J13" s="198"/>
    </row>
    <row r="14" spans="1:11" ht="13.5" customHeight="1" x14ac:dyDescent="0.2">
      <c r="A14" s="30"/>
      <c r="B14" s="1046"/>
      <c r="C14" s="183"/>
      <c r="D14" s="198"/>
      <c r="E14" s="198"/>
      <c r="F14" s="198"/>
      <c r="G14" s="198"/>
      <c r="H14" s="198"/>
      <c r="I14" s="198"/>
      <c r="J14" s="198"/>
    </row>
    <row r="15" spans="1:11" ht="13.5" customHeight="1" x14ac:dyDescent="0.2">
      <c r="A15" s="30"/>
      <c r="B15" s="1046"/>
      <c r="C15" s="183"/>
      <c r="D15" s="198"/>
      <c r="E15" s="198"/>
      <c r="F15" s="198"/>
      <c r="G15" s="198"/>
      <c r="H15" s="198"/>
      <c r="I15" s="198"/>
      <c r="J15" s="198"/>
    </row>
    <row r="16" spans="1:11" ht="13.5" customHeight="1" x14ac:dyDescent="0.2">
      <c r="A16" s="30"/>
      <c r="B16" s="1046"/>
      <c r="C16" s="183"/>
      <c r="D16" s="198"/>
      <c r="E16" s="198"/>
      <c r="F16" s="198"/>
      <c r="G16" s="198"/>
      <c r="H16" s="198"/>
      <c r="I16" s="198"/>
      <c r="J16" s="198"/>
    </row>
    <row r="17" spans="1:11" ht="13.5" customHeight="1" x14ac:dyDescent="0.2">
      <c r="A17" s="30"/>
      <c r="B17" s="1046"/>
      <c r="C17" s="183"/>
      <c r="D17" s="198"/>
      <c r="E17" s="198"/>
      <c r="F17" s="198"/>
      <c r="G17" s="198"/>
      <c r="H17" s="198"/>
      <c r="I17" s="198"/>
      <c r="J17" s="198"/>
    </row>
    <row r="18" spans="1:11" ht="13.5" customHeight="1" x14ac:dyDescent="0.2">
      <c r="A18" s="30"/>
      <c r="B18" s="1046"/>
      <c r="C18" s="183"/>
      <c r="D18" s="198"/>
      <c r="E18" s="198"/>
      <c r="F18" s="198"/>
      <c r="G18" s="198"/>
      <c r="H18" s="198"/>
      <c r="I18" s="198"/>
      <c r="J18" s="198"/>
    </row>
    <row r="19" spans="1:11" ht="13.5" customHeight="1" x14ac:dyDescent="0.2">
      <c r="A19" s="30"/>
      <c r="B19" s="1046"/>
      <c r="C19" s="183"/>
      <c r="D19" s="198"/>
      <c r="E19" s="198"/>
      <c r="F19" s="198"/>
      <c r="G19" s="198"/>
      <c r="H19" s="198"/>
      <c r="I19" s="198"/>
      <c r="J19" s="198"/>
    </row>
    <row r="20" spans="1:11" ht="13.5" customHeight="1" x14ac:dyDescent="0.2">
      <c r="A20" s="30"/>
      <c r="B20" s="1046"/>
      <c r="C20" s="183"/>
      <c r="D20" s="198"/>
      <c r="E20" s="198"/>
      <c r="F20" s="198"/>
      <c r="G20" s="198"/>
      <c r="H20" s="198"/>
      <c r="I20" s="198"/>
      <c r="J20" s="198"/>
    </row>
    <row r="21" spans="1:11" ht="13.5" customHeight="1" x14ac:dyDescent="0.2">
      <c r="A21" s="30"/>
      <c r="B21" s="1046"/>
      <c r="C21" s="183"/>
      <c r="D21" s="198"/>
      <c r="E21" s="198"/>
      <c r="F21" s="198"/>
      <c r="G21" s="198"/>
      <c r="H21" s="198"/>
      <c r="I21" s="198"/>
      <c r="J21" s="198"/>
    </row>
    <row r="22" spans="1:11" ht="13.5" customHeight="1" x14ac:dyDescent="0.2">
      <c r="A22" s="30"/>
      <c r="B22" s="1046"/>
      <c r="C22" s="183"/>
      <c r="D22" s="198"/>
      <c r="E22" s="198"/>
      <c r="F22" s="198"/>
      <c r="G22" s="198"/>
      <c r="H22" s="198"/>
      <c r="I22" s="198"/>
      <c r="J22" s="198"/>
    </row>
    <row r="23" spans="1:11" ht="13.5" customHeight="1" x14ac:dyDescent="0.2">
      <c r="A23" s="30"/>
      <c r="B23" s="1046"/>
      <c r="C23" s="183"/>
      <c r="D23" s="198"/>
      <c r="E23" s="198"/>
      <c r="F23" s="198"/>
      <c r="G23" s="198"/>
      <c r="H23" s="198"/>
      <c r="I23" s="198"/>
      <c r="J23" s="198"/>
    </row>
    <row r="24" spans="1:11" ht="13.5" customHeight="1" x14ac:dyDescent="0.2">
      <c r="A24" s="30"/>
      <c r="B24" s="1046"/>
      <c r="C24" s="183"/>
      <c r="D24" s="198"/>
      <c r="E24" s="198"/>
      <c r="F24" s="198"/>
      <c r="G24" s="198"/>
      <c r="H24" s="198"/>
      <c r="I24" s="198"/>
      <c r="J24" s="198"/>
    </row>
    <row r="25" spans="1:11" ht="13.5" customHeight="1" x14ac:dyDescent="0.2">
      <c r="A25" s="30"/>
      <c r="B25" s="1046"/>
      <c r="C25" s="183"/>
      <c r="D25" s="198"/>
      <c r="E25" s="198"/>
      <c r="F25" s="198"/>
      <c r="G25" s="198"/>
      <c r="H25" s="198"/>
      <c r="I25" s="198"/>
      <c r="J25" s="198"/>
    </row>
    <row r="26" spans="1:11" s="139" customFormat="1" ht="13.5" customHeight="1" x14ac:dyDescent="0.2">
      <c r="A26" s="337" t="str">
        <f>ORÇ!A483</f>
        <v>18.1</v>
      </c>
      <c r="B26" s="1710" t="str">
        <f>ORÇ!D483</f>
        <v>Piscina</v>
      </c>
      <c r="C26" s="1710"/>
      <c r="D26" s="1710"/>
      <c r="E26" s="1710"/>
      <c r="F26" s="1710"/>
      <c r="G26" s="1710"/>
      <c r="H26" s="1710"/>
      <c r="I26" s="1710"/>
      <c r="J26" s="1710"/>
      <c r="K26" s="882"/>
    </row>
    <row r="27" spans="1:11" s="139" customFormat="1" ht="13.5" customHeight="1" x14ac:dyDescent="0.2">
      <c r="A27" s="337" t="str">
        <f>ORÇ!A484</f>
        <v>18.1.1</v>
      </c>
      <c r="B27" s="1710" t="str">
        <f>ORÇ!D484</f>
        <v>Estrutural</v>
      </c>
      <c r="C27" s="1710"/>
      <c r="D27" s="1710"/>
      <c r="E27" s="1710"/>
      <c r="F27" s="1710"/>
      <c r="G27" s="1710"/>
      <c r="H27" s="1710"/>
      <c r="I27" s="1710"/>
      <c r="J27" s="1710"/>
      <c r="K27" s="1076"/>
    </row>
    <row r="28" spans="1:11" s="139" customFormat="1" ht="13.5" customHeight="1" x14ac:dyDescent="0.2">
      <c r="A28" s="337" t="str">
        <f>ORÇ!A485</f>
        <v>18.1.1.1</v>
      </c>
      <c r="B28" s="1710" t="str">
        <f>ORÇ!D485</f>
        <v>ESCAVAÇÃO MANUAL ATE 1.50M DE PROFUNDIDADE</v>
      </c>
      <c r="C28" s="1710"/>
      <c r="D28" s="1710"/>
      <c r="E28" s="1710"/>
      <c r="F28" s="1710"/>
      <c r="G28" s="1710"/>
      <c r="H28" s="1710"/>
      <c r="I28" s="1710"/>
      <c r="J28" s="1710"/>
      <c r="K28" s="899"/>
    </row>
    <row r="30" spans="1:11" s="33" customFormat="1" ht="30.75" customHeight="1" x14ac:dyDescent="0.2">
      <c r="B30" s="1028" t="s">
        <v>1636</v>
      </c>
      <c r="C30" s="1044"/>
      <c r="D30" s="1028" t="s">
        <v>1854</v>
      </c>
      <c r="E30" s="1041"/>
      <c r="F30" s="1028" t="s">
        <v>1852</v>
      </c>
      <c r="G30" s="1041"/>
      <c r="H30" s="1024" t="s">
        <v>312</v>
      </c>
    </row>
    <row r="31" spans="1:11" ht="18" customHeight="1" x14ac:dyDescent="0.2">
      <c r="B31" s="456">
        <v>7.5</v>
      </c>
      <c r="C31" s="456" t="s">
        <v>45</v>
      </c>
      <c r="D31" s="456">
        <v>4.2</v>
      </c>
      <c r="E31" s="456" t="s">
        <v>45</v>
      </c>
      <c r="F31" s="456">
        <v>1.1000000000000001</v>
      </c>
      <c r="G31" s="456" t="s">
        <v>46</v>
      </c>
      <c r="H31" s="456">
        <f>ROUND(B31*D31*F31,2)</f>
        <v>34.65</v>
      </c>
    </row>
    <row r="32" spans="1:11" x14ac:dyDescent="0.2">
      <c r="B32" s="21"/>
      <c r="D32" s="21"/>
      <c r="F32" s="21"/>
      <c r="H32" s="21"/>
    </row>
    <row r="33" spans="1:11" s="139" customFormat="1" ht="14.25" customHeight="1" x14ac:dyDescent="0.2">
      <c r="B33" s="1043" t="s">
        <v>47</v>
      </c>
      <c r="C33" s="855">
        <f>H31</f>
        <v>34.65</v>
      </c>
      <c r="D33" s="787" t="s">
        <v>497</v>
      </c>
    </row>
    <row r="35" spans="1:11" s="139" customFormat="1" ht="22.5" customHeight="1" x14ac:dyDescent="0.2">
      <c r="A35" s="337" t="str">
        <f>ORÇ!A486</f>
        <v>18.1.1.2</v>
      </c>
      <c r="B35" s="1710" t="str">
        <f>ORÇ!D486</f>
        <v>COMPACTAÇÃO MECÂNICA DE SOLO PARA EXECUÇÃO DE RADIER, PISO DE CONCRETO OU LAJE SOBRE SOLO, COM COMPACTADOR DE SOLOS TIPO PLACA VIBRATÓRIA. AF_09/2021</v>
      </c>
      <c r="C35" s="1710"/>
      <c r="D35" s="1710"/>
      <c r="E35" s="1710"/>
      <c r="F35" s="1710"/>
      <c r="G35" s="1710"/>
      <c r="H35" s="1710"/>
      <c r="I35" s="1710"/>
      <c r="J35" s="1710"/>
      <c r="K35" s="1027"/>
    </row>
    <row r="37" spans="1:11" s="33" customFormat="1" ht="18" customHeight="1" x14ac:dyDescent="0.2">
      <c r="B37" s="1024" t="s">
        <v>216</v>
      </c>
      <c r="C37" s="1041"/>
      <c r="D37" s="1024" t="s">
        <v>405</v>
      </c>
      <c r="E37" s="1041"/>
      <c r="F37" s="1024" t="s">
        <v>213</v>
      </c>
    </row>
    <row r="38" spans="1:11" ht="18" customHeight="1" x14ac:dyDescent="0.2">
      <c r="B38" s="456">
        <v>7.5</v>
      </c>
      <c r="C38" s="456" t="s">
        <v>45</v>
      </c>
      <c r="D38" s="456">
        <v>4.2</v>
      </c>
      <c r="E38" s="456" t="s">
        <v>46</v>
      </c>
      <c r="F38" s="456">
        <f>ROUND(B38*D38,2)</f>
        <v>31.5</v>
      </c>
    </row>
    <row r="39" spans="1:11" x14ac:dyDescent="0.2">
      <c r="B39" s="21"/>
      <c r="D39" s="21"/>
      <c r="F39" s="21"/>
      <c r="H39" s="21"/>
    </row>
    <row r="40" spans="1:11" s="139" customFormat="1" ht="14.25" customHeight="1" x14ac:dyDescent="0.2">
      <c r="B40" s="1043" t="s">
        <v>47</v>
      </c>
      <c r="C40" s="855">
        <f>F38</f>
        <v>31.5</v>
      </c>
      <c r="D40" s="787" t="s">
        <v>1853</v>
      </c>
    </row>
    <row r="42" spans="1:11" s="139" customFormat="1" ht="22.5" customHeight="1" x14ac:dyDescent="0.2">
      <c r="A42" s="337" t="str">
        <f>ORÇ!A487</f>
        <v>18.1.1.3</v>
      </c>
      <c r="B42" s="1710" t="str">
        <f>ORÇ!D487</f>
        <v>LASTRO DE CONCRETO MAGRO, APLICADO EM BLOCOS DE COROAMENTO OU SAPATAS, ESPESSURA DE 3 CM. AF_08/2017</v>
      </c>
      <c r="C42" s="1710"/>
      <c r="D42" s="1710"/>
      <c r="E42" s="1710"/>
      <c r="F42" s="1710"/>
      <c r="G42" s="1710"/>
      <c r="H42" s="1710"/>
      <c r="I42" s="1710"/>
      <c r="J42" s="1710"/>
      <c r="K42" s="899"/>
    </row>
    <row r="44" spans="1:11" s="33" customFormat="1" ht="18" customHeight="1" x14ac:dyDescent="0.2">
      <c r="B44" s="1024" t="s">
        <v>216</v>
      </c>
      <c r="C44" s="1041"/>
      <c r="D44" s="1024" t="s">
        <v>405</v>
      </c>
      <c r="E44" s="1041"/>
      <c r="F44" s="1024" t="s">
        <v>213</v>
      </c>
    </row>
    <row r="45" spans="1:11" ht="18" customHeight="1" x14ac:dyDescent="0.2">
      <c r="B45" s="456">
        <v>7.5</v>
      </c>
      <c r="C45" s="456" t="s">
        <v>45</v>
      </c>
      <c r="D45" s="456">
        <v>4.2</v>
      </c>
      <c r="E45" s="456" t="s">
        <v>46</v>
      </c>
      <c r="F45" s="456">
        <f>ROUND(B45*D45,2)</f>
        <v>31.5</v>
      </c>
    </row>
    <row r="46" spans="1:11" x14ac:dyDescent="0.2">
      <c r="B46" s="21"/>
      <c r="D46" s="21"/>
      <c r="F46" s="21"/>
      <c r="H46" s="21"/>
    </row>
    <row r="47" spans="1:11" s="139" customFormat="1" ht="14.25" customHeight="1" x14ac:dyDescent="0.2">
      <c r="B47" s="1043" t="s">
        <v>47</v>
      </c>
      <c r="C47" s="855">
        <f>F45</f>
        <v>31.5</v>
      </c>
      <c r="D47" s="787" t="s">
        <v>1853</v>
      </c>
    </row>
    <row r="49" spans="1:11" s="139" customFormat="1" ht="18.75" customHeight="1" x14ac:dyDescent="0.2">
      <c r="A49" s="337" t="str">
        <f>ORÇ!A488</f>
        <v>18.1.1.4</v>
      </c>
      <c r="B49" s="1710" t="str">
        <f>ORÇ!D488</f>
        <v>FORMAS PARA CONCRETO EM CHAPA DE MADEIRA COMPENSADA RESINADA E=15MM (REAP 2X)</v>
      </c>
      <c r="C49" s="1710"/>
      <c r="D49" s="1710"/>
      <c r="E49" s="1710"/>
      <c r="F49" s="1710"/>
      <c r="G49" s="1710"/>
      <c r="H49" s="1710"/>
      <c r="I49" s="1710"/>
      <c r="J49" s="1710"/>
      <c r="K49" s="899"/>
    </row>
    <row r="51" spans="1:11" x14ac:dyDescent="0.2">
      <c r="B51" s="21" t="s">
        <v>1995</v>
      </c>
    </row>
    <row r="52" spans="1:11" s="33" customFormat="1" ht="18" customHeight="1" x14ac:dyDescent="0.2">
      <c r="B52" s="1028" t="s">
        <v>1855</v>
      </c>
      <c r="C52" s="1044"/>
      <c r="D52" s="1028" t="s">
        <v>405</v>
      </c>
      <c r="E52" s="1041"/>
      <c r="F52" s="1028" t="s">
        <v>469</v>
      </c>
      <c r="G52" s="1041"/>
      <c r="H52" s="1024" t="s">
        <v>213</v>
      </c>
    </row>
    <row r="53" spans="1:11" ht="18" customHeight="1" x14ac:dyDescent="0.2">
      <c r="B53" s="456">
        <v>4.0999999999999996</v>
      </c>
      <c r="C53" s="456" t="s">
        <v>45</v>
      </c>
      <c r="D53" s="456">
        <v>0.15</v>
      </c>
      <c r="E53" s="456" t="s">
        <v>45</v>
      </c>
      <c r="F53" s="456">
        <v>2</v>
      </c>
      <c r="G53" s="456" t="s">
        <v>46</v>
      </c>
      <c r="H53" s="456">
        <f>ROUND(B53*D53*F53,2)</f>
        <v>1.23</v>
      </c>
    </row>
    <row r="54" spans="1:11" ht="18" customHeight="1" x14ac:dyDescent="0.2">
      <c r="B54" s="456">
        <v>7.4</v>
      </c>
      <c r="C54" s="456" t="s">
        <v>45</v>
      </c>
      <c r="D54" s="456">
        <v>0.15</v>
      </c>
      <c r="E54" s="456" t="s">
        <v>45</v>
      </c>
      <c r="F54" s="456">
        <v>2</v>
      </c>
      <c r="G54" s="456" t="s">
        <v>46</v>
      </c>
      <c r="H54" s="456">
        <f>ROUND(B54*D54*F54,2)</f>
        <v>2.2200000000000002</v>
      </c>
    </row>
    <row r="55" spans="1:11" x14ac:dyDescent="0.2">
      <c r="B55" s="21"/>
      <c r="D55" s="21"/>
      <c r="F55" s="21"/>
      <c r="H55" s="21"/>
    </row>
    <row r="56" spans="1:11" s="139" customFormat="1" ht="14.25" customHeight="1" x14ac:dyDescent="0.2">
      <c r="B56" s="1043" t="s">
        <v>47</v>
      </c>
      <c r="C56" s="855">
        <f>ROUND(SUM(H53:H55),2)</f>
        <v>3.45</v>
      </c>
      <c r="D56" s="787" t="s">
        <v>1853</v>
      </c>
    </row>
    <row r="58" spans="1:11" s="139" customFormat="1" ht="33" customHeight="1" x14ac:dyDescent="0.2">
      <c r="A58" s="337" t="str">
        <f>ORÇ!A489</f>
        <v>18.1.1.5</v>
      </c>
      <c r="B58" s="1710" t="str">
        <f>ORÇ!D489</f>
        <v>FABRICAÇÃO, MONTAGEM E DESMONTAGEM DE FÔRMA PARA CORTINA DE CONTENÇÃO, EM CHAPA DE MADEIRA COMPENSADA PLASTIFICADA, E = 18 MM, 10 UTILIZAÇÕES. AF_07/2019</v>
      </c>
      <c r="C58" s="1710"/>
      <c r="D58" s="1710"/>
      <c r="E58" s="1710"/>
      <c r="F58" s="1710"/>
      <c r="G58" s="1710"/>
      <c r="H58" s="1710"/>
      <c r="I58" s="1710"/>
      <c r="J58" s="1710"/>
      <c r="K58" s="1027"/>
    </row>
    <row r="60" spans="1:11" s="33" customFormat="1" ht="18" customHeight="1" x14ac:dyDescent="0.2">
      <c r="C60" s="1028" t="s">
        <v>753</v>
      </c>
      <c r="D60" s="1044"/>
      <c r="E60" s="1028" t="s">
        <v>311</v>
      </c>
      <c r="F60" s="1041"/>
      <c r="G60" s="1028" t="s">
        <v>469</v>
      </c>
      <c r="H60" s="1041"/>
      <c r="I60" s="1024" t="s">
        <v>213</v>
      </c>
    </row>
    <row r="61" spans="1:11" ht="18" customHeight="1" x14ac:dyDescent="0.2">
      <c r="B61" s="1725" t="s">
        <v>1856</v>
      </c>
      <c r="C61" s="456">
        <v>3.2</v>
      </c>
      <c r="D61" s="456" t="s">
        <v>45</v>
      </c>
      <c r="E61" s="456">
        <v>1.4</v>
      </c>
      <c r="F61" s="456" t="s">
        <v>45</v>
      </c>
      <c r="G61" s="456">
        <v>2</v>
      </c>
      <c r="H61" s="456" t="s">
        <v>46</v>
      </c>
      <c r="I61" s="456">
        <f t="shared" ref="I61:I70" si="0">ROUND(C61*E61*G61,2)</f>
        <v>8.9600000000000009</v>
      </c>
      <c r="J61" s="1062"/>
    </row>
    <row r="62" spans="1:11" ht="18" customHeight="1" x14ac:dyDescent="0.2">
      <c r="B62" s="1727"/>
      <c r="C62" s="456">
        <v>6.5</v>
      </c>
      <c r="D62" s="456" t="s">
        <v>45</v>
      </c>
      <c r="E62" s="456">
        <v>1.4</v>
      </c>
      <c r="F62" s="456" t="s">
        <v>45</v>
      </c>
      <c r="G62" s="456">
        <v>2</v>
      </c>
      <c r="H62" s="456" t="s">
        <v>46</v>
      </c>
      <c r="I62" s="456">
        <f t="shared" si="0"/>
        <v>18.2</v>
      </c>
    </row>
    <row r="63" spans="1:11" ht="18" customHeight="1" x14ac:dyDescent="0.2">
      <c r="B63" s="1725" t="s">
        <v>1857</v>
      </c>
      <c r="C63" s="456">
        <v>3.5</v>
      </c>
      <c r="D63" s="456" t="s">
        <v>45</v>
      </c>
      <c r="E63" s="456">
        <v>1.4</v>
      </c>
      <c r="F63" s="456" t="s">
        <v>45</v>
      </c>
      <c r="G63" s="456">
        <v>2</v>
      </c>
      <c r="H63" s="456" t="s">
        <v>46</v>
      </c>
      <c r="I63" s="456">
        <f t="shared" si="0"/>
        <v>9.8000000000000007</v>
      </c>
    </row>
    <row r="64" spans="1:11" ht="18" customHeight="1" x14ac:dyDescent="0.2">
      <c r="B64" s="1727"/>
      <c r="C64" s="456">
        <v>6.8</v>
      </c>
      <c r="D64" s="456" t="s">
        <v>45</v>
      </c>
      <c r="E64" s="456">
        <v>1.4</v>
      </c>
      <c r="F64" s="456" t="s">
        <v>45</v>
      </c>
      <c r="G64" s="456">
        <v>2</v>
      </c>
      <c r="H64" s="456" t="s">
        <v>46</v>
      </c>
      <c r="I64" s="456">
        <f t="shared" si="0"/>
        <v>19.04</v>
      </c>
    </row>
    <row r="65" spans="1:11" ht="20.25" customHeight="1" x14ac:dyDescent="0.2">
      <c r="B65" s="1885" t="s">
        <v>1869</v>
      </c>
      <c r="C65" s="493">
        <v>0.25</v>
      </c>
      <c r="D65" s="456" t="s">
        <v>45</v>
      </c>
      <c r="E65" s="456">
        <v>0.3</v>
      </c>
      <c r="F65" s="456" t="s">
        <v>45</v>
      </c>
      <c r="G65" s="456">
        <v>4</v>
      </c>
      <c r="H65" s="456" t="s">
        <v>46</v>
      </c>
      <c r="I65" s="456">
        <f t="shared" si="0"/>
        <v>0.3</v>
      </c>
      <c r="J65" s="1062"/>
    </row>
    <row r="66" spans="1:11" ht="20.25" customHeight="1" x14ac:dyDescent="0.2">
      <c r="B66" s="1886"/>
      <c r="C66" s="493">
        <v>0.45</v>
      </c>
      <c r="D66" s="456" t="s">
        <v>45</v>
      </c>
      <c r="E66" s="456">
        <v>0.18</v>
      </c>
      <c r="F66" s="456" t="s">
        <v>45</v>
      </c>
      <c r="G66" s="456">
        <v>4</v>
      </c>
      <c r="H66" s="456" t="s">
        <v>46</v>
      </c>
      <c r="I66" s="456">
        <f t="shared" si="0"/>
        <v>0.32</v>
      </c>
    </row>
    <row r="67" spans="1:11" ht="20.25" customHeight="1" x14ac:dyDescent="0.2">
      <c r="B67" s="1885" t="s">
        <v>1996</v>
      </c>
      <c r="C67" s="456">
        <v>3.5</v>
      </c>
      <c r="D67" s="456" t="s">
        <v>45</v>
      </c>
      <c r="E67" s="456">
        <v>0.3</v>
      </c>
      <c r="F67" s="456" t="s">
        <v>45</v>
      </c>
      <c r="G67" s="456">
        <v>2</v>
      </c>
      <c r="H67" s="456" t="s">
        <v>46</v>
      </c>
      <c r="I67" s="456">
        <f t="shared" si="0"/>
        <v>2.1</v>
      </c>
    </row>
    <row r="68" spans="1:11" ht="20.25" customHeight="1" x14ac:dyDescent="0.2">
      <c r="B68" s="1898"/>
      <c r="C68" s="456">
        <v>3.5</v>
      </c>
      <c r="D68" s="456" t="s">
        <v>45</v>
      </c>
      <c r="E68" s="456">
        <v>0.18</v>
      </c>
      <c r="F68" s="456" t="s">
        <v>45</v>
      </c>
      <c r="G68" s="456">
        <v>2</v>
      </c>
      <c r="H68" s="456" t="s">
        <v>46</v>
      </c>
      <c r="I68" s="456">
        <f t="shared" si="0"/>
        <v>1.26</v>
      </c>
    </row>
    <row r="69" spans="1:11" ht="20.25" customHeight="1" x14ac:dyDescent="0.2">
      <c r="B69" s="1898"/>
      <c r="C69" s="456">
        <v>7</v>
      </c>
      <c r="D69" s="456" t="s">
        <v>45</v>
      </c>
      <c r="E69" s="456">
        <v>0.3</v>
      </c>
      <c r="F69" s="456" t="s">
        <v>45</v>
      </c>
      <c r="G69" s="456">
        <v>2</v>
      </c>
      <c r="H69" s="456" t="s">
        <v>46</v>
      </c>
      <c r="I69" s="456">
        <f t="shared" si="0"/>
        <v>4.2</v>
      </c>
    </row>
    <row r="70" spans="1:11" ht="20.25" customHeight="1" x14ac:dyDescent="0.2">
      <c r="B70" s="1886"/>
      <c r="C70" s="456">
        <v>7.4</v>
      </c>
      <c r="D70" s="456" t="s">
        <v>45</v>
      </c>
      <c r="E70" s="456">
        <v>0.18</v>
      </c>
      <c r="F70" s="456" t="s">
        <v>45</v>
      </c>
      <c r="G70" s="456">
        <v>2</v>
      </c>
      <c r="H70" s="456" t="s">
        <v>46</v>
      </c>
      <c r="I70" s="456">
        <f t="shared" si="0"/>
        <v>2.66</v>
      </c>
    </row>
    <row r="71" spans="1:11" ht="20.25" customHeight="1" x14ac:dyDescent="0.2">
      <c r="B71" s="1885" t="s">
        <v>1997</v>
      </c>
      <c r="C71" s="456">
        <v>3.5</v>
      </c>
      <c r="D71" s="456" t="s">
        <v>45</v>
      </c>
      <c r="E71" s="456">
        <v>0.2</v>
      </c>
      <c r="F71" s="456" t="s">
        <v>45</v>
      </c>
      <c r="G71" s="456">
        <v>2</v>
      </c>
      <c r="H71" s="456" t="s">
        <v>46</v>
      </c>
      <c r="I71" s="456">
        <f t="shared" ref="I71:I72" si="1">ROUND(C71*E71*G71,2)</f>
        <v>1.4</v>
      </c>
    </row>
    <row r="72" spans="1:11" ht="20.25" customHeight="1" x14ac:dyDescent="0.2">
      <c r="B72" s="1886"/>
      <c r="C72" s="456">
        <v>7.4</v>
      </c>
      <c r="D72" s="456" t="s">
        <v>45</v>
      </c>
      <c r="E72" s="456">
        <v>0.2</v>
      </c>
      <c r="F72" s="456" t="s">
        <v>45</v>
      </c>
      <c r="G72" s="456">
        <v>1</v>
      </c>
      <c r="H72" s="456" t="s">
        <v>46</v>
      </c>
      <c r="I72" s="456">
        <f t="shared" si="1"/>
        <v>1.48</v>
      </c>
    </row>
    <row r="73" spans="1:11" x14ac:dyDescent="0.2">
      <c r="B73" s="21"/>
      <c r="D73" s="21"/>
      <c r="F73" s="21"/>
      <c r="H73" s="21"/>
    </row>
    <row r="74" spans="1:11" s="139" customFormat="1" ht="14.25" customHeight="1" x14ac:dyDescent="0.2">
      <c r="B74" s="1043" t="s">
        <v>47</v>
      </c>
      <c r="C74" s="855">
        <f>ROUND(SUM(I61:I73),2)</f>
        <v>69.72</v>
      </c>
      <c r="D74" s="787" t="s">
        <v>1853</v>
      </c>
    </row>
    <row r="76" spans="1:11" s="139" customFormat="1" ht="32.25" customHeight="1" x14ac:dyDescent="0.2">
      <c r="A76" s="337" t="str">
        <f>ORÇ!A490</f>
        <v>18.1.1.6</v>
      </c>
      <c r="B76" s="1710" t="str">
        <f>ORÇ!D490</f>
        <v>ARMAÇÃO DE ESTRUTURAS DE CONCRETO ARMADO, EXCETO VIGAS, PILARES, LAJES E FUNDAÇÕES, UTILIZANDO AÇO CA-50 DE 6,3 MM - MONTAGEM. AF_12/2015</v>
      </c>
      <c r="C76" s="1710"/>
      <c r="D76" s="1710"/>
      <c r="E76" s="1710"/>
      <c r="F76" s="1710"/>
      <c r="G76" s="1710"/>
      <c r="H76" s="1710"/>
      <c r="I76" s="1710"/>
      <c r="J76" s="1710"/>
      <c r="K76" s="1027"/>
    </row>
    <row r="78" spans="1:11" s="33" customFormat="1" ht="15.75" customHeight="1" x14ac:dyDescent="0.2">
      <c r="B78" s="1024" t="s">
        <v>616</v>
      </c>
      <c r="C78" s="1024" t="s">
        <v>1215</v>
      </c>
      <c r="D78" s="1041"/>
      <c r="E78" s="1024" t="s">
        <v>1858</v>
      </c>
      <c r="F78" s="1041"/>
      <c r="G78" s="1024" t="s">
        <v>967</v>
      </c>
    </row>
    <row r="79" spans="1:11" s="884" customFormat="1" ht="15.75" customHeight="1" x14ac:dyDescent="0.2">
      <c r="B79" s="1902" t="s">
        <v>872</v>
      </c>
      <c r="C79" s="1903"/>
      <c r="D79" s="1903"/>
      <c r="E79" s="1903"/>
      <c r="F79" s="1903"/>
      <c r="G79" s="1904"/>
    </row>
    <row r="80" spans="1:11" ht="15.75" customHeight="1" x14ac:dyDescent="0.2">
      <c r="B80" s="78" t="s">
        <v>921</v>
      </c>
      <c r="C80" s="1042">
        <v>248.04</v>
      </c>
      <c r="D80" s="1025" t="s">
        <v>45</v>
      </c>
      <c r="E80" s="1041">
        <v>0.245</v>
      </c>
      <c r="F80" s="1025" t="s">
        <v>46</v>
      </c>
      <c r="G80" s="1041">
        <f>ROUND(C80*E80,2)</f>
        <v>60.77</v>
      </c>
    </row>
    <row r="81" spans="1:11" ht="15.75" customHeight="1" x14ac:dyDescent="0.2">
      <c r="B81" s="78" t="s">
        <v>922</v>
      </c>
      <c r="C81" s="1042">
        <v>129.24</v>
      </c>
      <c r="D81" s="1025" t="s">
        <v>45</v>
      </c>
      <c r="E81" s="1041">
        <v>0.245</v>
      </c>
      <c r="F81" s="1025" t="s">
        <v>46</v>
      </c>
      <c r="G81" s="1041">
        <f>ROUND(C81*E81,2)</f>
        <v>31.66</v>
      </c>
    </row>
    <row r="82" spans="1:11" ht="15.75" customHeight="1" x14ac:dyDescent="0.2">
      <c r="B82" s="78" t="s">
        <v>926</v>
      </c>
      <c r="C82" s="1042">
        <v>190.84</v>
      </c>
      <c r="D82" s="1025" t="s">
        <v>45</v>
      </c>
      <c r="E82" s="1041">
        <v>0.245</v>
      </c>
      <c r="F82" s="1025" t="s">
        <v>46</v>
      </c>
      <c r="G82" s="1041">
        <f t="shared" ref="G82" si="2">ROUND(C82*E82,2)</f>
        <v>46.76</v>
      </c>
    </row>
    <row r="83" spans="1:11" s="884" customFormat="1" ht="15.75" customHeight="1" x14ac:dyDescent="0.2">
      <c r="B83" s="1902" t="s">
        <v>1871</v>
      </c>
      <c r="C83" s="1903"/>
      <c r="D83" s="1903"/>
      <c r="E83" s="1903"/>
      <c r="F83" s="1903"/>
      <c r="G83" s="1904"/>
    </row>
    <row r="84" spans="1:11" ht="15.75" customHeight="1" x14ac:dyDescent="0.2">
      <c r="B84" s="78" t="s">
        <v>945</v>
      </c>
      <c r="C84" s="1041">
        <v>16.72</v>
      </c>
      <c r="D84" s="1045" t="s">
        <v>45</v>
      </c>
      <c r="E84" s="1041">
        <v>0.245</v>
      </c>
      <c r="F84" s="1048" t="s">
        <v>46</v>
      </c>
      <c r="G84" s="857">
        <f>ROUND(C84*E84,2)</f>
        <v>4.0999999999999996</v>
      </c>
    </row>
    <row r="85" spans="1:11" ht="15.75" customHeight="1" x14ac:dyDescent="0.2">
      <c r="B85" s="78" t="s">
        <v>921</v>
      </c>
      <c r="C85" s="1041">
        <v>22.86</v>
      </c>
      <c r="D85" s="1045" t="s">
        <v>45</v>
      </c>
      <c r="E85" s="1041">
        <v>0.245</v>
      </c>
      <c r="F85" s="1048" t="s">
        <v>46</v>
      </c>
      <c r="G85" s="857">
        <f>ROUND(C85*E85,2)</f>
        <v>5.6</v>
      </c>
    </row>
    <row r="86" spans="1:11" ht="15.75" customHeight="1" x14ac:dyDescent="0.2">
      <c r="B86" s="78" t="s">
        <v>922</v>
      </c>
      <c r="C86" s="1041">
        <v>22.23</v>
      </c>
      <c r="D86" s="1073" t="s">
        <v>45</v>
      </c>
      <c r="E86" s="1041">
        <v>0.245</v>
      </c>
      <c r="F86" s="1074" t="s">
        <v>46</v>
      </c>
      <c r="G86" s="857">
        <f>ROUND(C86*E86,2)</f>
        <v>5.45</v>
      </c>
    </row>
    <row r="87" spans="1:11" ht="15.75" customHeight="1" x14ac:dyDescent="0.2">
      <c r="B87" s="78" t="s">
        <v>926</v>
      </c>
      <c r="C87" s="1041">
        <v>15.82</v>
      </c>
      <c r="D87" s="1073" t="s">
        <v>45</v>
      </c>
      <c r="E87" s="1041">
        <v>0.245</v>
      </c>
      <c r="F87" s="1074" t="s">
        <v>46</v>
      </c>
      <c r="G87" s="857">
        <f>ROUND(C87*E87,2)</f>
        <v>3.88</v>
      </c>
    </row>
    <row r="89" spans="1:11" ht="15.75" customHeight="1" x14ac:dyDescent="0.2">
      <c r="B89" s="1043" t="s">
        <v>47</v>
      </c>
      <c r="C89" s="855">
        <f>ROUND(SUM(G78:G88),2)</f>
        <v>158.22</v>
      </c>
      <c r="D89" s="787" t="s">
        <v>1649</v>
      </c>
    </row>
    <row r="91" spans="1:11" s="139" customFormat="1" ht="32.25" customHeight="1" x14ac:dyDescent="0.2">
      <c r="A91" s="337" t="str">
        <f>ORÇ!A491</f>
        <v>18.1.1.7</v>
      </c>
      <c r="B91" s="1710" t="str">
        <f>ORÇ!D491</f>
        <v>ARMAÇÃO DE ESTRUTURAS DE CONCRETO ARMADO, EXCETO VIGAS, PILARES, LAJES E FUNDAÇÕES, UTILIZANDO AÇO CA-50 DE 8,0 MM - MONTAGEM. AF_12/2015</v>
      </c>
      <c r="C91" s="1710"/>
      <c r="D91" s="1710"/>
      <c r="E91" s="1710"/>
      <c r="F91" s="1710"/>
      <c r="G91" s="1710"/>
      <c r="H91" s="1710"/>
      <c r="I91" s="1710"/>
      <c r="J91" s="1710"/>
      <c r="K91" s="1027"/>
    </row>
    <row r="93" spans="1:11" s="33" customFormat="1" ht="15.75" customHeight="1" x14ac:dyDescent="0.2">
      <c r="B93" s="1024" t="s">
        <v>616</v>
      </c>
      <c r="C93" s="1024" t="s">
        <v>1215</v>
      </c>
      <c r="D93" s="1041"/>
      <c r="E93" s="1024" t="s">
        <v>1858</v>
      </c>
      <c r="F93" s="1041"/>
      <c r="G93" s="1024" t="s">
        <v>967</v>
      </c>
    </row>
    <row r="94" spans="1:11" s="884" customFormat="1" ht="15.75" customHeight="1" x14ac:dyDescent="0.2">
      <c r="B94" s="1902" t="s">
        <v>872</v>
      </c>
      <c r="C94" s="1903"/>
      <c r="D94" s="1903"/>
      <c r="E94" s="1903"/>
      <c r="F94" s="1903"/>
      <c r="G94" s="1904"/>
    </row>
    <row r="95" spans="1:11" ht="15.75" customHeight="1" x14ac:dyDescent="0.2">
      <c r="B95" s="78" t="s">
        <v>919</v>
      </c>
      <c r="C95" s="1042">
        <v>46.44</v>
      </c>
      <c r="D95" s="1025" t="s">
        <v>45</v>
      </c>
      <c r="E95" s="1041">
        <v>0.39500000000000002</v>
      </c>
      <c r="F95" s="1025" t="s">
        <v>46</v>
      </c>
      <c r="G95" s="1041">
        <f>ROUND(C95*E95,2)</f>
        <v>18.34</v>
      </c>
    </row>
    <row r="96" spans="1:11" ht="15.75" customHeight="1" x14ac:dyDescent="0.2">
      <c r="B96" s="78" t="s">
        <v>920</v>
      </c>
      <c r="C96" s="1042">
        <v>51.48</v>
      </c>
      <c r="D96" s="1025" t="s">
        <v>45</v>
      </c>
      <c r="E96" s="1041">
        <v>0.39500000000000002</v>
      </c>
      <c r="F96" s="1025" t="s">
        <v>46</v>
      </c>
      <c r="G96" s="1041">
        <f>ROUND(C96*E96,2)</f>
        <v>20.329999999999998</v>
      </c>
    </row>
    <row r="97" spans="1:11" s="884" customFormat="1" ht="15.75" customHeight="1" x14ac:dyDescent="0.2">
      <c r="B97" s="1902" t="s">
        <v>1871</v>
      </c>
      <c r="C97" s="1903"/>
      <c r="D97" s="1903"/>
      <c r="E97" s="1903"/>
      <c r="F97" s="1903"/>
      <c r="G97" s="1904"/>
    </row>
    <row r="98" spans="1:11" ht="15.75" customHeight="1" x14ac:dyDescent="0.2">
      <c r="B98" s="78" t="s">
        <v>919</v>
      </c>
      <c r="C98" s="1042">
        <v>28.12</v>
      </c>
      <c r="D98" s="1048" t="s">
        <v>45</v>
      </c>
      <c r="E98" s="1041">
        <v>0.39500000000000002</v>
      </c>
      <c r="F98" s="1048" t="s">
        <v>46</v>
      </c>
      <c r="G98" s="1041">
        <f>ROUND(C98*E98,2)</f>
        <v>11.11</v>
      </c>
    </row>
    <row r="99" spans="1:11" ht="15.75" customHeight="1" x14ac:dyDescent="0.2">
      <c r="B99" s="78" t="s">
        <v>920</v>
      </c>
      <c r="C99" s="1042">
        <v>20.9</v>
      </c>
      <c r="D99" s="1048" t="s">
        <v>45</v>
      </c>
      <c r="E99" s="1041">
        <v>0.39500000000000002</v>
      </c>
      <c r="F99" s="1048" t="s">
        <v>46</v>
      </c>
      <c r="G99" s="1041">
        <f>ROUND(C99*E99,2)</f>
        <v>8.26</v>
      </c>
    </row>
    <row r="100" spans="1:11" ht="15.75" customHeight="1" x14ac:dyDescent="0.2">
      <c r="B100" s="78" t="s">
        <v>923</v>
      </c>
      <c r="C100" s="1042">
        <v>4.47</v>
      </c>
      <c r="D100" s="1048" t="s">
        <v>45</v>
      </c>
      <c r="E100" s="1041">
        <v>0.39500000000000002</v>
      </c>
      <c r="F100" s="1048" t="s">
        <v>46</v>
      </c>
      <c r="G100" s="1041">
        <f>ROUND(C100*E100,2)</f>
        <v>1.77</v>
      </c>
    </row>
    <row r="102" spans="1:11" ht="15.75" customHeight="1" x14ac:dyDescent="0.2">
      <c r="B102" s="1043" t="s">
        <v>47</v>
      </c>
      <c r="C102" s="855">
        <f>ROUND(SUM(G93:G101),2)</f>
        <v>59.81</v>
      </c>
      <c r="D102" s="787" t="s">
        <v>1649</v>
      </c>
    </row>
    <row r="104" spans="1:11" s="139" customFormat="1" ht="32.25" customHeight="1" x14ac:dyDescent="0.2">
      <c r="A104" s="337" t="str">
        <f>ORÇ!A492</f>
        <v>18.1.1.8</v>
      </c>
      <c r="B104" s="1710" t="str">
        <f>ORÇ!D492</f>
        <v>ARMAÇÃO DE ESTRUTURAS DE CONCRETO ARMADO, EXCETO VIGAS, PILARES, LAJES E FUNDAÇÕES, UTILIZANDO AÇO CA-50 DE 10,0 MM - MONTAGEM. AF_12/2015</v>
      </c>
      <c r="C104" s="1710"/>
      <c r="D104" s="1710"/>
      <c r="E104" s="1710"/>
      <c r="F104" s="1710"/>
      <c r="G104" s="1710"/>
      <c r="H104" s="1710"/>
      <c r="I104" s="1710"/>
      <c r="J104" s="1710"/>
      <c r="K104" s="1027"/>
    </row>
    <row r="106" spans="1:11" s="33" customFormat="1" ht="15.75" customHeight="1" x14ac:dyDescent="0.2">
      <c r="B106" s="1024" t="s">
        <v>616</v>
      </c>
      <c r="C106" s="1024" t="s">
        <v>1215</v>
      </c>
      <c r="D106" s="1041"/>
      <c r="E106" s="1024" t="s">
        <v>1858</v>
      </c>
      <c r="F106" s="1041"/>
      <c r="G106" s="1024" t="s">
        <v>967</v>
      </c>
    </row>
    <row r="107" spans="1:11" s="884" customFormat="1" ht="15.75" customHeight="1" x14ac:dyDescent="0.2">
      <c r="B107" s="1902" t="s">
        <v>872</v>
      </c>
      <c r="C107" s="1903"/>
      <c r="D107" s="1903"/>
      <c r="E107" s="1903"/>
      <c r="F107" s="1903"/>
      <c r="G107" s="1904"/>
    </row>
    <row r="108" spans="1:11" ht="15.75" customHeight="1" x14ac:dyDescent="0.2">
      <c r="B108" s="78" t="s">
        <v>923</v>
      </c>
      <c r="C108" s="1042">
        <v>383.04</v>
      </c>
      <c r="D108" s="1025" t="s">
        <v>45</v>
      </c>
      <c r="E108" s="1041">
        <v>0.61699999999999999</v>
      </c>
      <c r="F108" s="1025" t="s">
        <v>46</v>
      </c>
      <c r="G108" s="1041">
        <f>ROUND(C108*E108,2)</f>
        <v>236.34</v>
      </c>
    </row>
    <row r="109" spans="1:11" ht="15.75" customHeight="1" x14ac:dyDescent="0.2">
      <c r="B109" s="78" t="s">
        <v>924</v>
      </c>
      <c r="C109" s="1042">
        <v>193.92</v>
      </c>
      <c r="D109" s="1025" t="s">
        <v>45</v>
      </c>
      <c r="E109" s="1041">
        <v>0.61699999999999999</v>
      </c>
      <c r="F109" s="1025" t="s">
        <v>46</v>
      </c>
      <c r="G109" s="1041">
        <f>ROUND(C109*E109,2)</f>
        <v>119.65</v>
      </c>
    </row>
    <row r="111" spans="1:11" ht="15.75" customHeight="1" x14ac:dyDescent="0.2">
      <c r="B111" s="1043" t="s">
        <v>47</v>
      </c>
      <c r="C111" s="855">
        <f>ROUND(SUM(G106:G110),2)</f>
        <v>355.99</v>
      </c>
      <c r="D111" s="787" t="s">
        <v>1649</v>
      </c>
    </row>
    <row r="113" spans="1:11" s="139" customFormat="1" ht="32.25" customHeight="1" x14ac:dyDescent="0.2">
      <c r="A113" s="337" t="str">
        <f>ORÇ!A493</f>
        <v>18.1.1.9</v>
      </c>
      <c r="B113" s="1710" t="str">
        <f>ORÇ!D493</f>
        <v>ARMAÇÃO DE ESTRUTURAS DE CONCRETO ARMADO, EXCETO VIGAS, PILARES, LAJES E FUNDAÇÕES, UTILIZANDO AÇO CA-60 DE 5,0 MM - MONTAGEM. AF_12/2015</v>
      </c>
      <c r="C113" s="1710"/>
      <c r="D113" s="1710"/>
      <c r="E113" s="1710"/>
      <c r="F113" s="1710"/>
      <c r="G113" s="1710"/>
      <c r="H113" s="1710"/>
      <c r="I113" s="1710"/>
      <c r="J113" s="1710"/>
      <c r="K113" s="1027"/>
    </row>
    <row r="115" spans="1:11" s="33" customFormat="1" ht="15.75" customHeight="1" x14ac:dyDescent="0.2">
      <c r="B115" s="1024" t="s">
        <v>616</v>
      </c>
      <c r="C115" s="1024" t="s">
        <v>1215</v>
      </c>
      <c r="D115" s="1041"/>
      <c r="E115" s="1024" t="s">
        <v>1858</v>
      </c>
      <c r="F115" s="1041"/>
      <c r="G115" s="1024" t="s">
        <v>967</v>
      </c>
    </row>
    <row r="116" spans="1:11" s="884" customFormat="1" ht="15.75" customHeight="1" x14ac:dyDescent="0.2">
      <c r="B116" s="1902" t="s">
        <v>872</v>
      </c>
      <c r="C116" s="1903"/>
      <c r="D116" s="1903"/>
      <c r="E116" s="1903"/>
      <c r="F116" s="1903"/>
      <c r="G116" s="1904"/>
    </row>
    <row r="117" spans="1:11" ht="15.75" customHeight="1" x14ac:dyDescent="0.2">
      <c r="B117" s="78" t="s">
        <v>945</v>
      </c>
      <c r="C117" s="1042">
        <v>31.68</v>
      </c>
      <c r="D117" s="1025" t="s">
        <v>45</v>
      </c>
      <c r="E117" s="1041">
        <v>0.154</v>
      </c>
      <c r="F117" s="1025" t="s">
        <v>46</v>
      </c>
      <c r="G117" s="1041">
        <f>ROUND(C117*E117,2)</f>
        <v>4.88</v>
      </c>
    </row>
    <row r="119" spans="1:11" ht="15.75" customHeight="1" x14ac:dyDescent="0.2">
      <c r="B119" s="1043" t="s">
        <v>47</v>
      </c>
      <c r="C119" s="855">
        <f>ROUND(SUM(G115:G118),2)</f>
        <v>4.88</v>
      </c>
      <c r="D119" s="787" t="s">
        <v>1649</v>
      </c>
    </row>
    <row r="121" spans="1:11" s="139" customFormat="1" ht="13.5" customHeight="1" x14ac:dyDescent="0.2">
      <c r="A121" s="337" t="str">
        <f>ORÇ!A494</f>
        <v>18.1.1.10</v>
      </c>
      <c r="B121" s="1710" t="str">
        <f>ORÇ!D494</f>
        <v>CONCRETO C/ SEIXO FCK=30 MPA (INCL. LANÇAMENTO E ADENSAMENTO)</v>
      </c>
      <c r="C121" s="1710"/>
      <c r="D121" s="1710"/>
      <c r="E121" s="1710"/>
      <c r="F121" s="1710"/>
      <c r="G121" s="1710"/>
      <c r="H121" s="1710"/>
      <c r="I121" s="1710"/>
      <c r="J121" s="1710"/>
      <c r="K121" s="1027"/>
    </row>
    <row r="123" spans="1:11" s="33" customFormat="1" ht="18" customHeight="1" x14ac:dyDescent="0.2">
      <c r="C123" s="1028" t="s">
        <v>753</v>
      </c>
      <c r="D123" s="1044"/>
      <c r="E123" s="1028" t="s">
        <v>405</v>
      </c>
      <c r="F123" s="1041"/>
      <c r="G123" s="1028" t="s">
        <v>311</v>
      </c>
      <c r="H123" s="1041"/>
      <c r="I123" s="1024" t="s">
        <v>1872</v>
      </c>
    </row>
    <row r="124" spans="1:11" ht="18" customHeight="1" x14ac:dyDescent="0.2">
      <c r="B124" s="1725" t="s">
        <v>1859</v>
      </c>
      <c r="C124" s="456">
        <v>3.2</v>
      </c>
      <c r="D124" s="456" t="s">
        <v>45</v>
      </c>
      <c r="E124" s="456">
        <v>0.15</v>
      </c>
      <c r="F124" s="456" t="s">
        <v>45</v>
      </c>
      <c r="G124" s="456">
        <v>1.4</v>
      </c>
      <c r="H124" s="456" t="s">
        <v>46</v>
      </c>
      <c r="I124" s="456">
        <f>ROUND(C124*E124*G124,2)</f>
        <v>0.67</v>
      </c>
    </row>
    <row r="125" spans="1:11" ht="18" customHeight="1" x14ac:dyDescent="0.2">
      <c r="B125" s="1726"/>
      <c r="C125" s="456">
        <v>6.8</v>
      </c>
      <c r="D125" s="456" t="s">
        <v>45</v>
      </c>
      <c r="E125" s="456">
        <v>0.15</v>
      </c>
      <c r="F125" s="456" t="s">
        <v>45</v>
      </c>
      <c r="G125" s="456">
        <v>1.4</v>
      </c>
      <c r="H125" s="456" t="s">
        <v>46</v>
      </c>
      <c r="I125" s="456">
        <f t="shared" ref="I125:I127" si="3">ROUND(C125*E125*G125,2)</f>
        <v>1.43</v>
      </c>
    </row>
    <row r="126" spans="1:11" ht="18" customHeight="1" x14ac:dyDescent="0.2">
      <c r="B126" s="1726"/>
      <c r="C126" s="456">
        <v>3.2</v>
      </c>
      <c r="D126" s="456" t="s">
        <v>45</v>
      </c>
      <c r="E126" s="456">
        <v>0.15</v>
      </c>
      <c r="F126" s="456" t="s">
        <v>45</v>
      </c>
      <c r="G126" s="456">
        <v>1.4</v>
      </c>
      <c r="H126" s="456" t="s">
        <v>46</v>
      </c>
      <c r="I126" s="456">
        <f t="shared" si="3"/>
        <v>0.67</v>
      </c>
    </row>
    <row r="127" spans="1:11" ht="18" customHeight="1" x14ac:dyDescent="0.2">
      <c r="B127" s="1727"/>
      <c r="C127" s="456">
        <v>6.8</v>
      </c>
      <c r="D127" s="456" t="s">
        <v>45</v>
      </c>
      <c r="E127" s="456">
        <v>0.15</v>
      </c>
      <c r="F127" s="456" t="s">
        <v>45</v>
      </c>
      <c r="G127" s="456">
        <v>1.4</v>
      </c>
      <c r="H127" s="456" t="s">
        <v>46</v>
      </c>
      <c r="I127" s="456">
        <f t="shared" si="3"/>
        <v>1.43</v>
      </c>
    </row>
    <row r="128" spans="1:11" ht="18" customHeight="1" x14ac:dyDescent="0.2">
      <c r="B128" s="1026" t="s">
        <v>1873</v>
      </c>
      <c r="C128" s="456">
        <v>7.4</v>
      </c>
      <c r="D128" s="456" t="s">
        <v>45</v>
      </c>
      <c r="E128" s="456">
        <v>4.0999999999999996</v>
      </c>
      <c r="F128" s="456" t="s">
        <v>45</v>
      </c>
      <c r="G128" s="456">
        <v>0.15</v>
      </c>
      <c r="H128" s="456" t="s">
        <v>46</v>
      </c>
      <c r="I128" s="456">
        <f t="shared" ref="I128:I134" si="4">ROUND(C128*E128*G128,2)</f>
        <v>4.55</v>
      </c>
    </row>
    <row r="129" spans="1:11" ht="18" customHeight="1" x14ac:dyDescent="0.2">
      <c r="B129" s="1885" t="s">
        <v>1871</v>
      </c>
      <c r="C129" s="493">
        <v>3.5</v>
      </c>
      <c r="D129" s="456" t="s">
        <v>45</v>
      </c>
      <c r="E129" s="493">
        <v>0.1</v>
      </c>
      <c r="F129" s="456" t="s">
        <v>45</v>
      </c>
      <c r="G129" s="456">
        <v>0.3</v>
      </c>
      <c r="H129" s="456" t="s">
        <v>46</v>
      </c>
      <c r="I129" s="456">
        <f t="shared" si="4"/>
        <v>0.11</v>
      </c>
      <c r="J129" s="1062"/>
    </row>
    <row r="130" spans="1:11" ht="18" customHeight="1" x14ac:dyDescent="0.2">
      <c r="B130" s="1898"/>
      <c r="C130" s="493">
        <v>3.5</v>
      </c>
      <c r="D130" s="456" t="s">
        <v>45</v>
      </c>
      <c r="E130" s="493">
        <v>0.45</v>
      </c>
      <c r="F130" s="456" t="s">
        <v>45</v>
      </c>
      <c r="G130" s="456">
        <v>0.18</v>
      </c>
      <c r="H130" s="456" t="s">
        <v>46</v>
      </c>
      <c r="I130" s="456">
        <f t="shared" si="4"/>
        <v>0.28000000000000003</v>
      </c>
    </row>
    <row r="131" spans="1:11" ht="18" customHeight="1" x14ac:dyDescent="0.2">
      <c r="B131" s="1898"/>
      <c r="C131" s="493">
        <v>3.5</v>
      </c>
      <c r="D131" s="456" t="s">
        <v>45</v>
      </c>
      <c r="E131" s="493">
        <v>0.1</v>
      </c>
      <c r="F131" s="456" t="s">
        <v>45</v>
      </c>
      <c r="G131" s="456">
        <v>0.3</v>
      </c>
      <c r="H131" s="456" t="s">
        <v>46</v>
      </c>
      <c r="I131" s="456">
        <f t="shared" si="4"/>
        <v>0.11</v>
      </c>
    </row>
    <row r="132" spans="1:11" ht="18" customHeight="1" x14ac:dyDescent="0.2">
      <c r="B132" s="1898"/>
      <c r="C132" s="493">
        <v>3.5</v>
      </c>
      <c r="D132" s="456" t="s">
        <v>45</v>
      </c>
      <c r="E132" s="493">
        <v>0.45</v>
      </c>
      <c r="F132" s="456" t="s">
        <v>45</v>
      </c>
      <c r="G132" s="456">
        <v>0.18</v>
      </c>
      <c r="H132" s="456" t="s">
        <v>46</v>
      </c>
      <c r="I132" s="456">
        <f t="shared" si="4"/>
        <v>0.28000000000000003</v>
      </c>
    </row>
    <row r="133" spans="1:11" ht="18" customHeight="1" x14ac:dyDescent="0.2">
      <c r="B133" s="1898"/>
      <c r="C133" s="493">
        <v>7</v>
      </c>
      <c r="D133" s="456" t="s">
        <v>45</v>
      </c>
      <c r="E133" s="493">
        <v>0.1</v>
      </c>
      <c r="F133" s="456" t="s">
        <v>45</v>
      </c>
      <c r="G133" s="456">
        <v>0.3</v>
      </c>
      <c r="H133" s="456" t="s">
        <v>46</v>
      </c>
      <c r="I133" s="456">
        <f t="shared" si="4"/>
        <v>0.21</v>
      </c>
    </row>
    <row r="134" spans="1:11" ht="18" customHeight="1" x14ac:dyDescent="0.2">
      <c r="B134" s="1886"/>
      <c r="C134" s="493">
        <v>7.4</v>
      </c>
      <c r="D134" s="456" t="s">
        <v>45</v>
      </c>
      <c r="E134" s="493">
        <v>0.45</v>
      </c>
      <c r="F134" s="456" t="s">
        <v>45</v>
      </c>
      <c r="G134" s="456">
        <v>0.18</v>
      </c>
      <c r="H134" s="456" t="s">
        <v>46</v>
      </c>
      <c r="I134" s="456">
        <f t="shared" si="4"/>
        <v>0.6</v>
      </c>
    </row>
    <row r="135" spans="1:11" x14ac:dyDescent="0.2">
      <c r="B135" s="21"/>
      <c r="D135" s="21"/>
      <c r="F135" s="21"/>
      <c r="H135" s="21"/>
    </row>
    <row r="136" spans="1:11" s="139" customFormat="1" ht="14.25" customHeight="1" x14ac:dyDescent="0.2">
      <c r="B136" s="1043" t="s">
        <v>47</v>
      </c>
      <c r="C136" s="855">
        <f>ROUND(SUM(I124:I135),2)</f>
        <v>10.34</v>
      </c>
      <c r="D136" s="787" t="s">
        <v>497</v>
      </c>
      <c r="H136" s="1063"/>
    </row>
    <row r="138" spans="1:11" s="139" customFormat="1" ht="13.5" customHeight="1" x14ac:dyDescent="0.2">
      <c r="A138" s="337" t="str">
        <f>ORÇ!A495</f>
        <v>18.1.1.11</v>
      </c>
      <c r="B138" s="1710" t="str">
        <f>ORÇ!D495</f>
        <v>IMPERMEABILIZAÇÃO COM MASSA ASFÁLTICA PARA CONCRETO (2 DEMÃOS)</v>
      </c>
      <c r="C138" s="1710"/>
      <c r="D138" s="1710"/>
      <c r="E138" s="1710"/>
      <c r="F138" s="1710"/>
      <c r="G138" s="1710"/>
      <c r="H138" s="1710"/>
      <c r="I138" s="1710"/>
      <c r="J138" s="1710"/>
      <c r="K138" s="1040"/>
    </row>
    <row r="139" spans="1:11" s="139" customFormat="1" ht="13.5" customHeight="1" x14ac:dyDescent="0.2">
      <c r="A139" s="337"/>
      <c r="B139" s="1047"/>
      <c r="C139" s="1047"/>
      <c r="D139" s="1047"/>
      <c r="E139" s="1047"/>
      <c r="F139" s="1047"/>
      <c r="G139" s="1047"/>
      <c r="H139" s="1047"/>
      <c r="I139" s="1047"/>
      <c r="J139" s="1047"/>
      <c r="K139" s="1050"/>
    </row>
    <row r="140" spans="1:11" s="33" customFormat="1" ht="18" customHeight="1" x14ac:dyDescent="0.2">
      <c r="C140" s="1052" t="s">
        <v>753</v>
      </c>
      <c r="D140" s="1044"/>
      <c r="E140" s="1052" t="s">
        <v>311</v>
      </c>
      <c r="F140" s="1041"/>
      <c r="G140" s="1052" t="s">
        <v>469</v>
      </c>
      <c r="H140" s="1041"/>
      <c r="I140" s="1045" t="s">
        <v>213</v>
      </c>
    </row>
    <row r="141" spans="1:11" ht="18" customHeight="1" x14ac:dyDescent="0.2">
      <c r="B141" s="1725" t="s">
        <v>1857</v>
      </c>
      <c r="C141" s="456">
        <v>3.5</v>
      </c>
      <c r="D141" s="456" t="s">
        <v>45</v>
      </c>
      <c r="E141" s="456">
        <v>0.89</v>
      </c>
      <c r="F141" s="456" t="s">
        <v>45</v>
      </c>
      <c r="G141" s="456">
        <v>2</v>
      </c>
      <c r="H141" s="456" t="s">
        <v>46</v>
      </c>
      <c r="I141" s="456">
        <f t="shared" ref="I141:I146" si="5">ROUND(C141*E141*G141,2)</f>
        <v>6.23</v>
      </c>
      <c r="J141" s="21"/>
    </row>
    <row r="142" spans="1:11" ht="18" customHeight="1" x14ac:dyDescent="0.2">
      <c r="B142" s="1727"/>
      <c r="C142" s="456">
        <v>6.8</v>
      </c>
      <c r="D142" s="456" t="s">
        <v>45</v>
      </c>
      <c r="E142" s="456">
        <v>0.89</v>
      </c>
      <c r="F142" s="456" t="s">
        <v>45</v>
      </c>
      <c r="G142" s="456">
        <v>2</v>
      </c>
      <c r="H142" s="456" t="s">
        <v>46</v>
      </c>
      <c r="I142" s="456">
        <f t="shared" si="5"/>
        <v>12.1</v>
      </c>
      <c r="J142" s="21"/>
    </row>
    <row r="143" spans="1:11" ht="20.25" customHeight="1" x14ac:dyDescent="0.2">
      <c r="B143" s="1885" t="s">
        <v>1874</v>
      </c>
      <c r="C143" s="493">
        <v>4.0999999999999996</v>
      </c>
      <c r="D143" s="456" t="s">
        <v>45</v>
      </c>
      <c r="E143" s="456">
        <v>0.15</v>
      </c>
      <c r="F143" s="456" t="s">
        <v>45</v>
      </c>
      <c r="G143" s="456">
        <v>2</v>
      </c>
      <c r="H143" s="456" t="s">
        <v>46</v>
      </c>
      <c r="I143" s="456">
        <f t="shared" si="5"/>
        <v>1.23</v>
      </c>
      <c r="J143" s="1064"/>
    </row>
    <row r="144" spans="1:11" ht="20.25" customHeight="1" x14ac:dyDescent="0.2">
      <c r="B144" s="1886"/>
      <c r="C144" s="493">
        <v>7.4</v>
      </c>
      <c r="D144" s="456" t="s">
        <v>45</v>
      </c>
      <c r="E144" s="456">
        <v>0.15</v>
      </c>
      <c r="F144" s="456" t="s">
        <v>45</v>
      </c>
      <c r="G144" s="456">
        <v>2</v>
      </c>
      <c r="H144" s="456" t="s">
        <v>46</v>
      </c>
      <c r="I144" s="456">
        <f t="shared" si="5"/>
        <v>2.2200000000000002</v>
      </c>
      <c r="J144" s="21"/>
    </row>
    <row r="145" spans="1:11" ht="30.75" customHeight="1" x14ac:dyDescent="0.2">
      <c r="B145" s="1885" t="s">
        <v>1875</v>
      </c>
      <c r="C145" s="456">
        <v>3.5</v>
      </c>
      <c r="D145" s="456" t="s">
        <v>45</v>
      </c>
      <c r="E145" s="456">
        <v>0.3</v>
      </c>
      <c r="F145" s="456" t="s">
        <v>45</v>
      </c>
      <c r="G145" s="456">
        <v>2</v>
      </c>
      <c r="H145" s="456" t="s">
        <v>46</v>
      </c>
      <c r="I145" s="456">
        <f t="shared" si="5"/>
        <v>2.1</v>
      </c>
      <c r="J145" s="21"/>
    </row>
    <row r="146" spans="1:11" ht="30.75" customHeight="1" x14ac:dyDescent="0.2">
      <c r="B146" s="1886"/>
      <c r="C146" s="456">
        <v>7.4</v>
      </c>
      <c r="D146" s="456" t="s">
        <v>45</v>
      </c>
      <c r="E146" s="456">
        <v>0.3</v>
      </c>
      <c r="F146" s="456" t="s">
        <v>45</v>
      </c>
      <c r="G146" s="456">
        <v>2</v>
      </c>
      <c r="H146" s="456" t="s">
        <v>46</v>
      </c>
      <c r="I146" s="456">
        <f t="shared" si="5"/>
        <v>4.4400000000000004</v>
      </c>
      <c r="J146" s="21"/>
    </row>
    <row r="147" spans="1:11" x14ac:dyDescent="0.2">
      <c r="B147" s="21"/>
      <c r="D147" s="21"/>
      <c r="F147" s="21"/>
      <c r="H147" s="21"/>
    </row>
    <row r="148" spans="1:11" s="139" customFormat="1" ht="14.25" customHeight="1" x14ac:dyDescent="0.2">
      <c r="B148" s="1043" t="s">
        <v>47</v>
      </c>
      <c r="C148" s="855">
        <f>ROUND(SUM(I141:I147),2)</f>
        <v>28.32</v>
      </c>
      <c r="D148" s="787" t="s">
        <v>1853</v>
      </c>
    </row>
    <row r="150" spans="1:11" s="139" customFormat="1" ht="13.5" customHeight="1" x14ac:dyDescent="0.2">
      <c r="A150" s="337" t="str">
        <f>ORÇ!A496</f>
        <v>18.1.1.12</v>
      </c>
      <c r="B150" s="1710" t="str">
        <f>ORÇ!D496</f>
        <v>REATERRO MANUAL APILOADO COM SOQUETE. AF_10/2017</v>
      </c>
      <c r="C150" s="1710"/>
      <c r="D150" s="1710"/>
      <c r="E150" s="1710"/>
      <c r="F150" s="1710"/>
      <c r="G150" s="1710"/>
      <c r="H150" s="1710"/>
      <c r="I150" s="1710"/>
      <c r="J150" s="1710"/>
      <c r="K150" s="1027"/>
    </row>
    <row r="152" spans="1:11" x14ac:dyDescent="0.2">
      <c r="B152" s="21" t="s">
        <v>1877</v>
      </c>
    </row>
    <row r="153" spans="1:11" s="33" customFormat="1" ht="18" customHeight="1" x14ac:dyDescent="0.2">
      <c r="C153" s="1052" t="s">
        <v>753</v>
      </c>
      <c r="D153" s="1044"/>
      <c r="E153" s="1052" t="s">
        <v>405</v>
      </c>
      <c r="F153" s="1041"/>
      <c r="G153" s="1052" t="s">
        <v>311</v>
      </c>
      <c r="H153" s="1041"/>
      <c r="I153" s="1045" t="s">
        <v>1872</v>
      </c>
    </row>
    <row r="154" spans="1:11" ht="18" customHeight="1" x14ac:dyDescent="0.2">
      <c r="B154" s="1725" t="s">
        <v>1859</v>
      </c>
      <c r="C154" s="456">
        <v>3.2</v>
      </c>
      <c r="D154" s="456" t="s">
        <v>45</v>
      </c>
      <c r="E154" s="456">
        <v>0.15</v>
      </c>
      <c r="F154" s="456" t="s">
        <v>45</v>
      </c>
      <c r="G154" s="456">
        <v>0.89</v>
      </c>
      <c r="H154" s="456" t="s">
        <v>46</v>
      </c>
      <c r="I154" s="456">
        <f>ROUND(C154*E154*G154,2)</f>
        <v>0.43</v>
      </c>
    </row>
    <row r="155" spans="1:11" ht="18" customHeight="1" x14ac:dyDescent="0.2">
      <c r="B155" s="1726"/>
      <c r="C155" s="456">
        <v>6.8</v>
      </c>
      <c r="D155" s="456" t="s">
        <v>45</v>
      </c>
      <c r="E155" s="456">
        <v>0.15</v>
      </c>
      <c r="F155" s="456" t="s">
        <v>45</v>
      </c>
      <c r="G155" s="456">
        <v>0.89</v>
      </c>
      <c r="H155" s="456" t="s">
        <v>46</v>
      </c>
      <c r="I155" s="456">
        <f t="shared" ref="I155:I157" si="6">ROUND(C155*E155*G155,2)</f>
        <v>0.91</v>
      </c>
    </row>
    <row r="156" spans="1:11" ht="18" customHeight="1" x14ac:dyDescent="0.2">
      <c r="B156" s="1726"/>
      <c r="C156" s="456">
        <v>3.2</v>
      </c>
      <c r="D156" s="456" t="s">
        <v>45</v>
      </c>
      <c r="E156" s="456">
        <v>0.15</v>
      </c>
      <c r="F156" s="456" t="s">
        <v>45</v>
      </c>
      <c r="G156" s="456">
        <v>0.89</v>
      </c>
      <c r="H156" s="456" t="s">
        <v>46</v>
      </c>
      <c r="I156" s="456">
        <f t="shared" si="6"/>
        <v>0.43</v>
      </c>
    </row>
    <row r="157" spans="1:11" ht="18" customHeight="1" x14ac:dyDescent="0.2">
      <c r="B157" s="1727"/>
      <c r="C157" s="456">
        <v>6.8</v>
      </c>
      <c r="D157" s="456" t="s">
        <v>45</v>
      </c>
      <c r="E157" s="456">
        <v>0.15</v>
      </c>
      <c r="F157" s="456" t="s">
        <v>45</v>
      </c>
      <c r="G157" s="456">
        <v>0.89</v>
      </c>
      <c r="H157" s="456" t="s">
        <v>46</v>
      </c>
      <c r="I157" s="456">
        <f t="shared" si="6"/>
        <v>0.91</v>
      </c>
    </row>
    <row r="158" spans="1:11" ht="18" customHeight="1" x14ac:dyDescent="0.2">
      <c r="B158" s="1049" t="s">
        <v>1873</v>
      </c>
      <c r="C158" s="456">
        <v>7.4</v>
      </c>
      <c r="D158" s="456" t="s">
        <v>45</v>
      </c>
      <c r="E158" s="456">
        <v>4.0999999999999996</v>
      </c>
      <c r="F158" s="456" t="s">
        <v>45</v>
      </c>
      <c r="G158" s="456">
        <v>0.15</v>
      </c>
      <c r="H158" s="456" t="s">
        <v>46</v>
      </c>
      <c r="I158" s="456">
        <f>ROUND(C158*E158*G158,2)</f>
        <v>4.55</v>
      </c>
    </row>
    <row r="159" spans="1:11" x14ac:dyDescent="0.2">
      <c r="B159" s="21"/>
      <c r="D159" s="21"/>
      <c r="F159" s="21"/>
      <c r="H159" s="21"/>
    </row>
    <row r="160" spans="1:11" s="139" customFormat="1" ht="14.25" customHeight="1" x14ac:dyDescent="0.2">
      <c r="B160" s="1065" t="s">
        <v>47</v>
      </c>
      <c r="C160" s="1066">
        <f>ROUND(SUM(I154:I159),2)</f>
        <v>7.23</v>
      </c>
      <c r="D160" s="1053" t="s">
        <v>497</v>
      </c>
      <c r="H160" s="1063"/>
    </row>
    <row r="162" spans="1:11" s="33" customFormat="1" ht="20.25" customHeight="1" x14ac:dyDescent="0.2">
      <c r="B162" s="1045" t="s">
        <v>1087</v>
      </c>
      <c r="C162" s="1041"/>
      <c r="D162" s="1045" t="s">
        <v>1654</v>
      </c>
      <c r="E162" s="1041"/>
      <c r="F162" s="1045" t="s">
        <v>1876</v>
      </c>
      <c r="G162" s="1041"/>
      <c r="H162" s="1067" t="s">
        <v>312</v>
      </c>
    </row>
    <row r="163" spans="1:11" s="33" customFormat="1" ht="20.25" customHeight="1" x14ac:dyDescent="0.2">
      <c r="B163" s="857">
        <f>C33</f>
        <v>34.65</v>
      </c>
      <c r="C163" s="1045" t="s">
        <v>215</v>
      </c>
      <c r="D163" s="1041">
        <f>C47*0.03</f>
        <v>0.94499999999999995</v>
      </c>
      <c r="E163" s="1045" t="s">
        <v>215</v>
      </c>
      <c r="F163" s="857">
        <f>C160</f>
        <v>7.23</v>
      </c>
      <c r="G163" s="1045" t="s">
        <v>46</v>
      </c>
      <c r="H163" s="1068">
        <f>ROUND(B163-D163-F163,2)</f>
        <v>26.48</v>
      </c>
    </row>
    <row r="166" spans="1:11" s="139" customFormat="1" ht="18" customHeight="1" x14ac:dyDescent="0.2">
      <c r="A166" s="337" t="str">
        <f>ORÇ!A497</f>
        <v>18.1.2</v>
      </c>
      <c r="B166" s="1710" t="str">
        <f>ORÇ!D497</f>
        <v>Revestimento de Piso e Bordas</v>
      </c>
      <c r="C166" s="1710"/>
      <c r="D166" s="1710"/>
      <c r="E166" s="1710"/>
      <c r="F166" s="1710"/>
      <c r="G166" s="1710"/>
      <c r="H166" s="1710"/>
      <c r="I166" s="1710"/>
      <c r="J166" s="1710"/>
      <c r="K166" s="1076"/>
    </row>
    <row r="167" spans="1:11" s="139" customFormat="1" ht="18" customHeight="1" x14ac:dyDescent="0.2">
      <c r="A167" s="337" t="str">
        <f>ORÇ!A498</f>
        <v>18.1.2.1</v>
      </c>
      <c r="B167" s="1710" t="str">
        <f>ORÇ!D498</f>
        <v>CAMADA REGULARIZADORA NO TRAÇO 1:4</v>
      </c>
      <c r="C167" s="1710"/>
      <c r="D167" s="1710"/>
      <c r="E167" s="1710"/>
      <c r="F167" s="1710"/>
      <c r="G167" s="1710"/>
      <c r="H167" s="1710"/>
      <c r="I167" s="1710"/>
      <c r="J167" s="1710"/>
      <c r="K167" s="1076"/>
    </row>
    <row r="169" spans="1:11" s="33" customFormat="1" ht="15.75" customHeight="1" x14ac:dyDescent="0.2">
      <c r="B169" s="1073" t="s">
        <v>589</v>
      </c>
      <c r="C169" s="1073" t="s">
        <v>216</v>
      </c>
      <c r="D169" s="1041"/>
      <c r="E169" s="1073" t="s">
        <v>405</v>
      </c>
      <c r="F169" s="1041"/>
      <c r="G169" s="1073" t="s">
        <v>213</v>
      </c>
    </row>
    <row r="170" spans="1:11" ht="15.75" customHeight="1" x14ac:dyDescent="0.2">
      <c r="B170" s="454" t="s">
        <v>679</v>
      </c>
      <c r="C170" s="456">
        <v>6.5</v>
      </c>
      <c r="D170" s="1073" t="s">
        <v>45</v>
      </c>
      <c r="E170" s="456">
        <v>3.2</v>
      </c>
      <c r="F170" s="1073" t="s">
        <v>46</v>
      </c>
      <c r="G170" s="456">
        <f>ROUND(C170*E170,2)</f>
        <v>20.8</v>
      </c>
    </row>
    <row r="171" spans="1:11" ht="15.75" customHeight="1" x14ac:dyDescent="0.2">
      <c r="B171" s="1755" t="s">
        <v>1978</v>
      </c>
      <c r="C171" s="456">
        <v>7.4</v>
      </c>
      <c r="D171" s="1073" t="s">
        <v>45</v>
      </c>
      <c r="E171" s="456">
        <v>0.45</v>
      </c>
      <c r="F171" s="1073" t="s">
        <v>46</v>
      </c>
      <c r="G171" s="456">
        <f t="shared" ref="G171:G174" si="7">ROUND(C171*E171,2)</f>
        <v>3.33</v>
      </c>
    </row>
    <row r="172" spans="1:11" ht="15.75" customHeight="1" x14ac:dyDescent="0.2">
      <c r="B172" s="1899"/>
      <c r="C172" s="456">
        <v>7.4</v>
      </c>
      <c r="D172" s="1073" t="s">
        <v>45</v>
      </c>
      <c r="E172" s="456">
        <v>0.15</v>
      </c>
      <c r="F172" s="1073" t="s">
        <v>46</v>
      </c>
      <c r="G172" s="456">
        <f t="shared" si="7"/>
        <v>1.1100000000000001</v>
      </c>
    </row>
    <row r="173" spans="1:11" ht="15.75" customHeight="1" x14ac:dyDescent="0.2">
      <c r="B173" s="1899"/>
      <c r="C173" s="456">
        <v>3.2</v>
      </c>
      <c r="D173" s="1073" t="s">
        <v>45</v>
      </c>
      <c r="E173" s="456">
        <v>0.45</v>
      </c>
      <c r="F173" s="1073" t="s">
        <v>46</v>
      </c>
      <c r="G173" s="456">
        <f t="shared" ref="G173" si="8">ROUND(C173*E173,2)</f>
        <v>1.44</v>
      </c>
    </row>
    <row r="174" spans="1:11" ht="15.75" customHeight="1" x14ac:dyDescent="0.2">
      <c r="B174" s="1756"/>
      <c r="C174" s="456">
        <v>3.2</v>
      </c>
      <c r="D174" s="1073" t="s">
        <v>45</v>
      </c>
      <c r="E174" s="456">
        <v>0.45</v>
      </c>
      <c r="F174" s="1073" t="s">
        <v>46</v>
      </c>
      <c r="G174" s="456">
        <f t="shared" si="7"/>
        <v>1.44</v>
      </c>
    </row>
    <row r="175" spans="1:11" x14ac:dyDescent="0.2">
      <c r="B175" s="21"/>
      <c r="C175" s="21"/>
      <c r="E175" s="21"/>
      <c r="G175" s="21"/>
    </row>
    <row r="176" spans="1:11" s="139" customFormat="1" ht="16.5" customHeight="1" x14ac:dyDescent="0.2">
      <c r="B176" s="1043" t="s">
        <v>47</v>
      </c>
      <c r="C176" s="1097">
        <f>ROUND(SUM(G170:G175),2)</f>
        <v>28.12</v>
      </c>
      <c r="D176" s="1096" t="s">
        <v>4</v>
      </c>
      <c r="E176" s="140"/>
      <c r="G176" s="140"/>
    </row>
    <row r="177" spans="1:11" x14ac:dyDescent="0.2">
      <c r="B177" s="21"/>
      <c r="C177" s="21"/>
      <c r="E177" s="21"/>
      <c r="G177" s="21"/>
    </row>
    <row r="178" spans="1:11" s="139" customFormat="1" ht="18" customHeight="1" x14ac:dyDescent="0.2">
      <c r="A178" s="337" t="str">
        <f>ORÇ!A499</f>
        <v>18.1.2.2</v>
      </c>
      <c r="B178" s="1710" t="str">
        <f>ORÇ!D499</f>
        <v>IMPERMEABILIZAÇÃO DE SUPERFÍCIE COM ARGAMASSA POLIMÉRICA / MEMBRANA ACRÍLICA, 3 DEMÃOS. AF_06/2018</v>
      </c>
      <c r="C178" s="1710"/>
      <c r="D178" s="1710"/>
      <c r="E178" s="1710"/>
      <c r="F178" s="1710"/>
      <c r="G178" s="1710"/>
      <c r="H178" s="1710"/>
      <c r="I178" s="1710"/>
      <c r="J178" s="1710"/>
      <c r="K178" s="1076"/>
    </row>
    <row r="180" spans="1:11" s="33" customFormat="1" ht="15.75" customHeight="1" x14ac:dyDescent="0.2">
      <c r="B180" s="1073" t="s">
        <v>589</v>
      </c>
      <c r="C180" s="1073" t="s">
        <v>216</v>
      </c>
      <c r="D180" s="1041"/>
      <c r="E180" s="1073" t="s">
        <v>405</v>
      </c>
      <c r="F180" s="1041"/>
      <c r="G180" s="1073" t="s">
        <v>213</v>
      </c>
    </row>
    <row r="181" spans="1:11" ht="15.75" customHeight="1" x14ac:dyDescent="0.2">
      <c r="B181" s="454" t="s">
        <v>679</v>
      </c>
      <c r="C181" s="456">
        <v>6.5</v>
      </c>
      <c r="D181" s="1073" t="s">
        <v>45</v>
      </c>
      <c r="E181" s="456">
        <v>3.2</v>
      </c>
      <c r="F181" s="1073" t="s">
        <v>46</v>
      </c>
      <c r="G181" s="456">
        <f>ROUND(C181*E181,2)</f>
        <v>20.8</v>
      </c>
    </row>
    <row r="182" spans="1:11" x14ac:dyDescent="0.2">
      <c r="B182" s="21"/>
      <c r="C182" s="21"/>
      <c r="E182" s="21"/>
      <c r="G182" s="21"/>
    </row>
    <row r="183" spans="1:11" s="139" customFormat="1" ht="16.5" customHeight="1" x14ac:dyDescent="0.2">
      <c r="B183" s="1043" t="s">
        <v>47</v>
      </c>
      <c r="C183" s="1097">
        <f>ROUND(SUM(G181:G182),2)</f>
        <v>20.8</v>
      </c>
      <c r="D183" s="1096" t="s">
        <v>4</v>
      </c>
      <c r="E183" s="140"/>
      <c r="G183" s="140"/>
    </row>
    <row r="185" spans="1:11" s="139" customFormat="1" ht="41.25" customHeight="1" x14ac:dyDescent="0.2">
      <c r="A185" s="337" t="str">
        <f>ORÇ!A500</f>
        <v>18.1.2.3</v>
      </c>
      <c r="B185" s="1710" t="str">
        <f>ORÇ!D500</f>
        <v>(COMPOSIÇÃO REPRESENTATIVA) DO SERVIÇO DE CONTRAPISO EM ARGAMASSA TRAÇO 1:4 (CIM E AREIA), BETONEIRA 400 L, E = 4 CM ÁREAS SECAS E  MOLHADAS SOBRE LAJE , E = 3 CM ÁREAS MOLHADAS SOBRE IMPERMEABILIZAÇÃO, PARA EDIFICAÇÃO MULTIFAMILIAR. AF_11/2014</v>
      </c>
      <c r="C185" s="1710"/>
      <c r="D185" s="1710"/>
      <c r="E185" s="1710"/>
      <c r="F185" s="1710"/>
      <c r="G185" s="1710"/>
      <c r="H185" s="1710"/>
      <c r="I185" s="1710"/>
      <c r="J185" s="1710"/>
      <c r="K185" s="1076"/>
    </row>
    <row r="187" spans="1:11" s="33" customFormat="1" ht="15.75" customHeight="1" x14ac:dyDescent="0.2">
      <c r="B187" s="1073" t="s">
        <v>589</v>
      </c>
      <c r="C187" s="1073" t="s">
        <v>216</v>
      </c>
      <c r="D187" s="1041"/>
      <c r="E187" s="1073" t="s">
        <v>405</v>
      </c>
      <c r="F187" s="1041"/>
      <c r="G187" s="1073" t="s">
        <v>213</v>
      </c>
    </row>
    <row r="188" spans="1:11" ht="15.75" customHeight="1" x14ac:dyDescent="0.2">
      <c r="B188" s="454" t="s">
        <v>679</v>
      </c>
      <c r="C188" s="456">
        <v>6.5</v>
      </c>
      <c r="D188" s="1073" t="s">
        <v>45</v>
      </c>
      <c r="E188" s="456">
        <v>3.2</v>
      </c>
      <c r="F188" s="1073" t="s">
        <v>46</v>
      </c>
      <c r="G188" s="456">
        <f>ROUND(C188*E188,2)</f>
        <v>20.8</v>
      </c>
    </row>
    <row r="189" spans="1:11" x14ac:dyDescent="0.2">
      <c r="B189" s="21"/>
      <c r="C189" s="21"/>
      <c r="E189" s="21"/>
      <c r="G189" s="21"/>
    </row>
    <row r="190" spans="1:11" s="139" customFormat="1" ht="16.5" customHeight="1" x14ac:dyDescent="0.2">
      <c r="B190" s="1043" t="s">
        <v>47</v>
      </c>
      <c r="C190" s="1097">
        <f>ROUND(SUM(G188:G189),2)</f>
        <v>20.8</v>
      </c>
      <c r="D190" s="1096" t="s">
        <v>4</v>
      </c>
      <c r="E190" s="140"/>
      <c r="G190" s="140"/>
    </row>
    <row r="192" spans="1:11" s="139" customFormat="1" ht="23.25" customHeight="1" x14ac:dyDescent="0.2">
      <c r="A192" s="337" t="str">
        <f>ORÇ!A501</f>
        <v>18.1.2.4</v>
      </c>
      <c r="B192" s="1710" t="str">
        <f>ORÇ!D501</f>
        <v>CERÂMICA 10X10CM (PADRÃO MÉDIO)</v>
      </c>
      <c r="C192" s="1710"/>
      <c r="D192" s="1710"/>
      <c r="E192" s="1710"/>
      <c r="F192" s="1710"/>
      <c r="G192" s="1710"/>
      <c r="H192" s="1710"/>
      <c r="I192" s="1710"/>
      <c r="J192" s="1710"/>
      <c r="K192" s="1076"/>
    </row>
    <row r="193" spans="1:11" s="33" customFormat="1" ht="15.75" customHeight="1" x14ac:dyDescent="0.2">
      <c r="B193" s="1073" t="s">
        <v>589</v>
      </c>
      <c r="C193" s="1073" t="s">
        <v>216</v>
      </c>
      <c r="D193" s="1041"/>
      <c r="E193" s="1073" t="s">
        <v>405</v>
      </c>
      <c r="F193" s="1041"/>
      <c r="G193" s="1073" t="s">
        <v>213</v>
      </c>
    </row>
    <row r="194" spans="1:11" ht="15.75" customHeight="1" x14ac:dyDescent="0.2">
      <c r="B194" s="454" t="s">
        <v>679</v>
      </c>
      <c r="C194" s="456">
        <v>6.5</v>
      </c>
      <c r="D194" s="1073" t="s">
        <v>45</v>
      </c>
      <c r="E194" s="456">
        <v>3.2</v>
      </c>
      <c r="F194" s="1073" t="s">
        <v>46</v>
      </c>
      <c r="G194" s="456">
        <f>ROUND(C194*E194,2)</f>
        <v>20.8</v>
      </c>
    </row>
    <row r="195" spans="1:11" x14ac:dyDescent="0.2">
      <c r="B195" s="21"/>
      <c r="C195" s="21"/>
      <c r="E195" s="21"/>
      <c r="G195" s="21"/>
    </row>
    <row r="196" spans="1:11" s="139" customFormat="1" ht="16.5" customHeight="1" x14ac:dyDescent="0.2">
      <c r="B196" s="1043" t="s">
        <v>47</v>
      </c>
      <c r="C196" s="1097">
        <f>ROUND(SUM(G194:G195),2)</f>
        <v>20.8</v>
      </c>
      <c r="D196" s="1096" t="s">
        <v>4</v>
      </c>
      <c r="E196" s="140"/>
      <c r="G196" s="140"/>
    </row>
    <row r="198" spans="1:11" s="139" customFormat="1" ht="35.25" customHeight="1" x14ac:dyDescent="0.2">
      <c r="A198" s="337" t="str">
        <f>ORÇ!A502</f>
        <v>18.1.2.5</v>
      </c>
      <c r="B198" s="1710" t="str">
        <f>ORÇ!D502</f>
        <v>REVESTIMENTO CERÂMICO PARA PISO COM PLACAS TIPO ESMALTADA EXTRA DE DIMENSÕES 45X45 CM APLICADA EM AMBIENTES DE ÁREA MAIOR QUE 10 M2. AF_06/2014</v>
      </c>
      <c r="C198" s="1710"/>
      <c r="D198" s="1710"/>
      <c r="E198" s="1710"/>
      <c r="F198" s="1710"/>
      <c r="G198" s="1710"/>
      <c r="H198" s="1710"/>
      <c r="I198" s="1710"/>
      <c r="J198" s="1710"/>
      <c r="K198" s="1076"/>
    </row>
    <row r="200" spans="1:11" s="33" customFormat="1" ht="15.75" customHeight="1" x14ac:dyDescent="0.2">
      <c r="B200" s="1073" t="s">
        <v>589</v>
      </c>
      <c r="C200" s="1073" t="s">
        <v>216</v>
      </c>
      <c r="D200" s="1041"/>
      <c r="E200" s="1073" t="s">
        <v>405</v>
      </c>
      <c r="F200" s="1041"/>
      <c r="G200" s="1073" t="s">
        <v>213</v>
      </c>
    </row>
    <row r="201" spans="1:11" ht="15.75" customHeight="1" x14ac:dyDescent="0.2">
      <c r="B201" s="1755" t="s">
        <v>1978</v>
      </c>
      <c r="C201" s="456">
        <v>7.4</v>
      </c>
      <c r="D201" s="1073" t="s">
        <v>45</v>
      </c>
      <c r="E201" s="456">
        <v>0.45</v>
      </c>
      <c r="F201" s="1073" t="s">
        <v>46</v>
      </c>
      <c r="G201" s="456">
        <f t="shared" ref="G201:G204" si="9">ROUND(C201*E201,2)</f>
        <v>3.33</v>
      </c>
    </row>
    <row r="202" spans="1:11" ht="15.75" customHeight="1" x14ac:dyDescent="0.2">
      <c r="B202" s="1899"/>
      <c r="C202" s="456">
        <v>7.4</v>
      </c>
      <c r="D202" s="1073" t="s">
        <v>45</v>
      </c>
      <c r="E202" s="456">
        <v>0.15</v>
      </c>
      <c r="F202" s="1073" t="s">
        <v>46</v>
      </c>
      <c r="G202" s="456">
        <f t="shared" si="9"/>
        <v>1.1100000000000001</v>
      </c>
    </row>
    <row r="203" spans="1:11" ht="15.75" customHeight="1" x14ac:dyDescent="0.2">
      <c r="B203" s="1899"/>
      <c r="C203" s="456">
        <v>3.2</v>
      </c>
      <c r="D203" s="1073" t="s">
        <v>45</v>
      </c>
      <c r="E203" s="456">
        <v>0.45</v>
      </c>
      <c r="F203" s="1073" t="s">
        <v>46</v>
      </c>
      <c r="G203" s="456">
        <f t="shared" si="9"/>
        <v>1.44</v>
      </c>
    </row>
    <row r="204" spans="1:11" ht="15.75" customHeight="1" x14ac:dyDescent="0.2">
      <c r="B204" s="1756"/>
      <c r="C204" s="456">
        <v>3.2</v>
      </c>
      <c r="D204" s="1073" t="s">
        <v>45</v>
      </c>
      <c r="E204" s="456">
        <v>0.45</v>
      </c>
      <c r="F204" s="1073" t="s">
        <v>46</v>
      </c>
      <c r="G204" s="456">
        <f t="shared" si="9"/>
        <v>1.44</v>
      </c>
    </row>
    <row r="205" spans="1:11" x14ac:dyDescent="0.2">
      <c r="B205" s="21"/>
      <c r="C205" s="21"/>
      <c r="E205" s="21"/>
      <c r="G205" s="21"/>
    </row>
    <row r="206" spans="1:11" s="139" customFormat="1" ht="16.5" customHeight="1" x14ac:dyDescent="0.2">
      <c r="B206" s="1043" t="s">
        <v>47</v>
      </c>
      <c r="C206" s="1097">
        <f>ROUND(SUM(G201:G205),2)</f>
        <v>7.32</v>
      </c>
      <c r="D206" s="1096" t="s">
        <v>4</v>
      </c>
      <c r="E206" s="140"/>
      <c r="G206" s="140"/>
    </row>
    <row r="208" spans="1:11" s="139" customFormat="1" ht="15.75" customHeight="1" x14ac:dyDescent="0.2">
      <c r="A208" s="337" t="str">
        <f>ORÇ!A503</f>
        <v>18.1.3</v>
      </c>
      <c r="B208" s="1710" t="str">
        <f>ORÇ!D503</f>
        <v>Revestimento de Parede</v>
      </c>
      <c r="C208" s="1710"/>
      <c r="D208" s="1710"/>
      <c r="E208" s="1710"/>
      <c r="F208" s="1710"/>
      <c r="G208" s="1710"/>
      <c r="H208" s="1710"/>
      <c r="I208" s="1710"/>
      <c r="J208" s="1710"/>
      <c r="K208" s="1076"/>
    </row>
    <row r="209" spans="1:11" s="139" customFormat="1" ht="35.25" customHeight="1" x14ac:dyDescent="0.2">
      <c r="A209" s="337" t="str">
        <f>ORÇ!A504</f>
        <v>18.1.3.1</v>
      </c>
      <c r="B209" s="1710" t="str">
        <f>ORÇ!D504</f>
        <v>CHAPISCO APLICADO EM ALVENARIA (SEM PRESENÇA DE VÃOS) E ESTRUTURAS DE CONCRETO DE FACHADA, COM COLHER DE PEDREIRO.  ARGAMASSA TRAÇO 1:3 COM PREPARO MANUAL. AF_06/2014</v>
      </c>
      <c r="C209" s="1710"/>
      <c r="D209" s="1710"/>
      <c r="E209" s="1710"/>
      <c r="F209" s="1710"/>
      <c r="G209" s="1710"/>
      <c r="H209" s="1710"/>
      <c r="I209" s="1710"/>
      <c r="J209" s="1710"/>
      <c r="K209" s="1076"/>
    </row>
    <row r="211" spans="1:11" s="33" customFormat="1" ht="15.75" customHeight="1" x14ac:dyDescent="0.2">
      <c r="B211" s="1073" t="s">
        <v>872</v>
      </c>
      <c r="C211" s="1073" t="s">
        <v>216</v>
      </c>
      <c r="D211" s="1041"/>
      <c r="E211" s="1073" t="s">
        <v>311</v>
      </c>
      <c r="F211" s="1041"/>
      <c r="G211" s="1073" t="s">
        <v>213</v>
      </c>
    </row>
    <row r="212" spans="1:11" ht="15.75" customHeight="1" x14ac:dyDescent="0.2">
      <c r="B212" s="1725" t="s">
        <v>1856</v>
      </c>
      <c r="C212" s="456">
        <v>6.5</v>
      </c>
      <c r="D212" s="1073" t="s">
        <v>45</v>
      </c>
      <c r="E212" s="456">
        <v>1.2</v>
      </c>
      <c r="F212" s="1073" t="s">
        <v>46</v>
      </c>
      <c r="G212" s="456">
        <f>ROUND(C212*E212,2)</f>
        <v>7.8</v>
      </c>
    </row>
    <row r="213" spans="1:11" ht="15.75" customHeight="1" x14ac:dyDescent="0.2">
      <c r="B213" s="1726"/>
      <c r="C213" s="456">
        <v>3.2</v>
      </c>
      <c r="D213" s="1073" t="s">
        <v>45</v>
      </c>
      <c r="E213" s="456">
        <v>1.2</v>
      </c>
      <c r="F213" s="1073" t="s">
        <v>46</v>
      </c>
      <c r="G213" s="456">
        <f t="shared" ref="G213:G216" si="10">ROUND(C213*E213,2)</f>
        <v>3.84</v>
      </c>
    </row>
    <row r="214" spans="1:11" ht="15.75" customHeight="1" x14ac:dyDescent="0.2">
      <c r="B214" s="1726"/>
      <c r="C214" s="456">
        <v>6.5</v>
      </c>
      <c r="D214" s="1073" t="s">
        <v>45</v>
      </c>
      <c r="E214" s="456">
        <v>1.2</v>
      </c>
      <c r="F214" s="1073" t="s">
        <v>46</v>
      </c>
      <c r="G214" s="456">
        <f t="shared" si="10"/>
        <v>7.8</v>
      </c>
    </row>
    <row r="215" spans="1:11" ht="15.75" customHeight="1" x14ac:dyDescent="0.2">
      <c r="B215" s="1727"/>
      <c r="C215" s="456">
        <v>3.2</v>
      </c>
      <c r="D215" s="1073" t="s">
        <v>45</v>
      </c>
      <c r="E215" s="456">
        <v>1.2</v>
      </c>
      <c r="F215" s="1073" t="s">
        <v>46</v>
      </c>
      <c r="G215" s="456">
        <f t="shared" si="10"/>
        <v>3.84</v>
      </c>
    </row>
    <row r="216" spans="1:11" ht="15.75" customHeight="1" x14ac:dyDescent="0.2">
      <c r="B216" s="1725" t="s">
        <v>1857</v>
      </c>
      <c r="C216" s="456">
        <v>7</v>
      </c>
      <c r="D216" s="1073" t="s">
        <v>45</v>
      </c>
      <c r="E216" s="456">
        <v>0.3</v>
      </c>
      <c r="F216" s="1073" t="s">
        <v>46</v>
      </c>
      <c r="G216" s="456">
        <f t="shared" si="10"/>
        <v>2.1</v>
      </c>
    </row>
    <row r="217" spans="1:11" ht="15.75" customHeight="1" x14ac:dyDescent="0.2">
      <c r="B217" s="1726"/>
      <c r="C217" s="456">
        <v>3.6</v>
      </c>
      <c r="D217" s="1073" t="s">
        <v>45</v>
      </c>
      <c r="E217" s="456">
        <v>0.3</v>
      </c>
      <c r="F217" s="1073" t="s">
        <v>46</v>
      </c>
      <c r="G217" s="456">
        <f t="shared" ref="G217:G224" si="11">ROUND(C217*E217,2)</f>
        <v>1.08</v>
      </c>
    </row>
    <row r="218" spans="1:11" ht="15.75" customHeight="1" x14ac:dyDescent="0.2">
      <c r="B218" s="1726"/>
      <c r="C218" s="456">
        <v>7</v>
      </c>
      <c r="D218" s="1073" t="s">
        <v>45</v>
      </c>
      <c r="E218" s="456">
        <v>0.3</v>
      </c>
      <c r="F218" s="1073" t="s">
        <v>46</v>
      </c>
      <c r="G218" s="456">
        <f t="shared" si="11"/>
        <v>2.1</v>
      </c>
    </row>
    <row r="219" spans="1:11" ht="15.75" customHeight="1" x14ac:dyDescent="0.2">
      <c r="B219" s="1727"/>
      <c r="C219" s="456">
        <v>3.6</v>
      </c>
      <c r="D219" s="1073" t="s">
        <v>45</v>
      </c>
      <c r="E219" s="456">
        <v>0.3</v>
      </c>
      <c r="F219" s="1073" t="s">
        <v>46</v>
      </c>
      <c r="G219" s="456">
        <f t="shared" si="11"/>
        <v>1.08</v>
      </c>
    </row>
    <row r="220" spans="1:11" ht="15.75" customHeight="1" x14ac:dyDescent="0.2">
      <c r="B220" s="1725" t="s">
        <v>2008</v>
      </c>
      <c r="C220" s="456">
        <v>7.4</v>
      </c>
      <c r="D220" s="1073" t="s">
        <v>45</v>
      </c>
      <c r="E220" s="456">
        <v>0.18</v>
      </c>
      <c r="F220" s="1073" t="s">
        <v>46</v>
      </c>
      <c r="G220" s="456">
        <f t="shared" si="11"/>
        <v>1.33</v>
      </c>
    </row>
    <row r="221" spans="1:11" ht="15.75" customHeight="1" x14ac:dyDescent="0.2">
      <c r="B221" s="1726"/>
      <c r="C221" s="456">
        <v>3.8</v>
      </c>
      <c r="D221" s="1073" t="s">
        <v>45</v>
      </c>
      <c r="E221" s="456">
        <v>0.18</v>
      </c>
      <c r="F221" s="1073" t="s">
        <v>46</v>
      </c>
      <c r="G221" s="456">
        <f t="shared" ref="G221:G223" si="12">ROUND(C221*E221,2)</f>
        <v>0.68</v>
      </c>
    </row>
    <row r="222" spans="1:11" ht="15.75" customHeight="1" x14ac:dyDescent="0.2">
      <c r="B222" s="1726"/>
      <c r="C222" s="456">
        <v>7.4</v>
      </c>
      <c r="D222" s="1073" t="s">
        <v>45</v>
      </c>
      <c r="E222" s="456">
        <v>0.18</v>
      </c>
      <c r="F222" s="1073" t="s">
        <v>46</v>
      </c>
      <c r="G222" s="456">
        <f t="shared" si="12"/>
        <v>1.33</v>
      </c>
    </row>
    <row r="223" spans="1:11" ht="15.75" customHeight="1" x14ac:dyDescent="0.2">
      <c r="B223" s="1727"/>
      <c r="C223" s="456">
        <v>3.8</v>
      </c>
      <c r="D223" s="1073" t="s">
        <v>45</v>
      </c>
      <c r="E223" s="456">
        <v>0.18</v>
      </c>
      <c r="F223" s="1073" t="s">
        <v>46</v>
      </c>
      <c r="G223" s="456">
        <f t="shared" si="12"/>
        <v>0.68</v>
      </c>
    </row>
    <row r="224" spans="1:11" ht="15.75" customHeight="1" x14ac:dyDescent="0.2">
      <c r="B224" s="1755" t="s">
        <v>1998</v>
      </c>
      <c r="C224" s="456">
        <v>3.5</v>
      </c>
      <c r="D224" s="1073" t="s">
        <v>45</v>
      </c>
      <c r="E224" s="456">
        <v>0.2</v>
      </c>
      <c r="F224" s="1073" t="s">
        <v>46</v>
      </c>
      <c r="G224" s="456">
        <f t="shared" si="11"/>
        <v>0.7</v>
      </c>
    </row>
    <row r="225" spans="2:7" ht="15.75" customHeight="1" x14ac:dyDescent="0.2">
      <c r="B225" s="1899"/>
      <c r="C225" s="456">
        <v>3.5</v>
      </c>
      <c r="D225" s="1073" t="s">
        <v>45</v>
      </c>
      <c r="E225" s="456">
        <v>0.2</v>
      </c>
      <c r="F225" s="1073" t="s">
        <v>46</v>
      </c>
      <c r="G225" s="456">
        <f t="shared" ref="G225:G226" si="13">ROUND(C225*E225,2)</f>
        <v>0.7</v>
      </c>
    </row>
    <row r="226" spans="2:7" ht="15.75" customHeight="1" x14ac:dyDescent="0.2">
      <c r="B226" s="1756"/>
      <c r="C226" s="456">
        <v>7.4</v>
      </c>
      <c r="D226" s="1073" t="s">
        <v>45</v>
      </c>
      <c r="E226" s="456">
        <v>0.2</v>
      </c>
      <c r="F226" s="1073" t="s">
        <v>46</v>
      </c>
      <c r="G226" s="456">
        <f t="shared" si="13"/>
        <v>1.48</v>
      </c>
    </row>
    <row r="227" spans="2:7" x14ac:dyDescent="0.2">
      <c r="B227" s="21"/>
      <c r="C227" s="21"/>
      <c r="E227" s="21"/>
      <c r="G227" s="21"/>
    </row>
    <row r="228" spans="2:7" s="139" customFormat="1" ht="16.5" customHeight="1" x14ac:dyDescent="0.2">
      <c r="B228" s="1065" t="s">
        <v>47</v>
      </c>
      <c r="C228" s="1098">
        <f>ROUND(SUM(G212:G227),2)</f>
        <v>36.54</v>
      </c>
      <c r="D228" s="1099" t="s">
        <v>4</v>
      </c>
      <c r="E228" s="140"/>
      <c r="G228" s="140"/>
    </row>
    <row r="230" spans="2:7" x14ac:dyDescent="0.2">
      <c r="B230" s="1900" t="s">
        <v>1979</v>
      </c>
      <c r="C230" s="1901"/>
      <c r="D230" s="1901"/>
      <c r="E230" s="1901"/>
      <c r="F230" s="1901"/>
      <c r="G230" s="1901"/>
    </row>
    <row r="231" spans="2:7" s="33" customFormat="1" ht="15.75" customHeight="1" x14ac:dyDescent="0.2">
      <c r="B231" s="1073" t="s">
        <v>872</v>
      </c>
      <c r="C231" s="1073" t="s">
        <v>216</v>
      </c>
      <c r="D231" s="1041"/>
      <c r="E231" s="1073" t="s">
        <v>311</v>
      </c>
      <c r="F231" s="1041"/>
      <c r="G231" s="1073" t="s">
        <v>213</v>
      </c>
    </row>
    <row r="232" spans="2:7" ht="15.75" customHeight="1" x14ac:dyDescent="0.2">
      <c r="B232" s="1725" t="s">
        <v>1980</v>
      </c>
      <c r="C232" s="456">
        <v>1</v>
      </c>
      <c r="D232" s="1073" t="s">
        <v>45</v>
      </c>
      <c r="E232" s="456">
        <v>0.48</v>
      </c>
      <c r="F232" s="1073" t="s">
        <v>46</v>
      </c>
      <c r="G232" s="456">
        <f>ROUND(C232*E232,2)</f>
        <v>0.48</v>
      </c>
    </row>
    <row r="233" spans="2:7" ht="15.75" customHeight="1" x14ac:dyDescent="0.2">
      <c r="B233" s="1727"/>
      <c r="C233" s="456">
        <v>1</v>
      </c>
      <c r="D233" s="1073" t="s">
        <v>45</v>
      </c>
      <c r="E233" s="456">
        <v>0.48</v>
      </c>
      <c r="F233" s="1073" t="s">
        <v>46</v>
      </c>
      <c r="G233" s="456">
        <f t="shared" ref="G233:G238" si="14">ROUND(C233*E233,2)</f>
        <v>0.48</v>
      </c>
    </row>
    <row r="234" spans="2:7" ht="15.75" customHeight="1" x14ac:dyDescent="0.2">
      <c r="B234" s="454" t="s">
        <v>1981</v>
      </c>
      <c r="C234" s="456">
        <v>2.5</v>
      </c>
      <c r="D234" s="1073" t="s">
        <v>45</v>
      </c>
      <c r="E234" s="456">
        <v>0.48</v>
      </c>
      <c r="F234" s="1073" t="s">
        <v>46</v>
      </c>
      <c r="G234" s="456">
        <f t="shared" si="14"/>
        <v>1.2</v>
      </c>
    </row>
    <row r="235" spans="2:7" ht="22.5" customHeight="1" x14ac:dyDescent="0.2">
      <c r="B235" s="1725" t="s">
        <v>1982</v>
      </c>
      <c r="C235" s="456">
        <v>0.3</v>
      </c>
      <c r="D235" s="1073" t="s">
        <v>45</v>
      </c>
      <c r="E235" s="456">
        <v>0.17</v>
      </c>
      <c r="F235" s="1073" t="s">
        <v>46</v>
      </c>
      <c r="G235" s="456">
        <f t="shared" si="14"/>
        <v>0.05</v>
      </c>
    </row>
    <row r="236" spans="2:7" ht="22.5" customHeight="1" x14ac:dyDescent="0.2">
      <c r="B236" s="1727"/>
      <c r="C236" s="456">
        <v>0.3</v>
      </c>
      <c r="D236" s="1073" t="s">
        <v>45</v>
      </c>
      <c r="E236" s="456">
        <v>0.17</v>
      </c>
      <c r="F236" s="1073" t="s">
        <v>46</v>
      </c>
      <c r="G236" s="456">
        <f t="shared" si="14"/>
        <v>0.05</v>
      </c>
    </row>
    <row r="237" spans="2:7" ht="20.25" customHeight="1" x14ac:dyDescent="0.2">
      <c r="B237" s="1725" t="s">
        <v>1983</v>
      </c>
      <c r="C237" s="456">
        <v>0.3</v>
      </c>
      <c r="D237" s="1073" t="s">
        <v>45</v>
      </c>
      <c r="E237" s="456">
        <v>0.34</v>
      </c>
      <c r="F237" s="1073" t="s">
        <v>46</v>
      </c>
      <c r="G237" s="456">
        <f t="shared" si="14"/>
        <v>0.1</v>
      </c>
    </row>
    <row r="238" spans="2:7" ht="20.25" customHeight="1" x14ac:dyDescent="0.2">
      <c r="B238" s="1727"/>
      <c r="C238" s="456">
        <v>0.3</v>
      </c>
      <c r="D238" s="1073" t="s">
        <v>45</v>
      </c>
      <c r="E238" s="456">
        <v>0.34</v>
      </c>
      <c r="F238" s="1073" t="s">
        <v>46</v>
      </c>
      <c r="G238" s="456">
        <f t="shared" si="14"/>
        <v>0.1</v>
      </c>
    </row>
    <row r="239" spans="2:7" x14ac:dyDescent="0.2">
      <c r="B239" s="21"/>
      <c r="C239" s="21"/>
      <c r="E239" s="21"/>
      <c r="G239" s="21"/>
    </row>
    <row r="240" spans="2:7" s="139" customFormat="1" ht="16.5" customHeight="1" x14ac:dyDescent="0.2">
      <c r="B240" s="1065" t="s">
        <v>47</v>
      </c>
      <c r="C240" s="1098">
        <f>ROUND(SUM(G232:G239),2)</f>
        <v>2.46</v>
      </c>
      <c r="D240" s="1099" t="s">
        <v>4</v>
      </c>
      <c r="E240" s="140"/>
      <c r="G240" s="140"/>
    </row>
    <row r="242" spans="1:11" s="790" customFormat="1" ht="30.75" customHeight="1" x14ac:dyDescent="0.2">
      <c r="B242" s="1077" t="s">
        <v>1984</v>
      </c>
      <c r="C242" s="1044"/>
      <c r="D242" s="1077" t="s">
        <v>1985</v>
      </c>
      <c r="E242" s="1044"/>
      <c r="F242" s="1100" t="s">
        <v>213</v>
      </c>
    </row>
    <row r="243" spans="1:11" s="139" customFormat="1" ht="18" customHeight="1" x14ac:dyDescent="0.2">
      <c r="B243" s="857">
        <f>C228</f>
        <v>36.54</v>
      </c>
      <c r="C243" s="1073" t="s">
        <v>215</v>
      </c>
      <c r="D243" s="857">
        <f>C240</f>
        <v>2.46</v>
      </c>
      <c r="E243" s="1073" t="s">
        <v>46</v>
      </c>
      <c r="F243" s="1101">
        <f>ROUND(B243-D243,2)</f>
        <v>34.08</v>
      </c>
    </row>
    <row r="245" spans="1:11" s="139" customFormat="1" ht="35.25" customHeight="1" x14ac:dyDescent="0.2">
      <c r="A245" s="337" t="str">
        <f>ORÇ!A505</f>
        <v>18.1.3.2</v>
      </c>
      <c r="B245" s="1710" t="str">
        <f>ORÇ!D505</f>
        <v>EMBOÇO OU MASSA ÚNICA EM ARGAMASSA TRAÇO 1:2:8, PREPARO MANUAL, APLICADA MANUALMENTE EM PANOS CEGOS DE FACHADA (SEM PRESENÇA DE VÃOS), ESPESSURA DE 25 MM. AF_06/2014</v>
      </c>
      <c r="C245" s="1710"/>
      <c r="D245" s="1710"/>
      <c r="E245" s="1710"/>
      <c r="F245" s="1710"/>
      <c r="G245" s="1710"/>
      <c r="H245" s="1710"/>
      <c r="I245" s="1710"/>
      <c r="J245" s="1710"/>
      <c r="K245" s="1076"/>
    </row>
    <row r="247" spans="1:11" x14ac:dyDescent="0.2">
      <c r="B247" s="21" t="s">
        <v>1986</v>
      </c>
    </row>
    <row r="248" spans="1:11" s="139" customFormat="1" ht="16.5" customHeight="1" x14ac:dyDescent="0.2">
      <c r="B248" s="1043" t="s">
        <v>47</v>
      </c>
      <c r="C248" s="1097">
        <f>F243</f>
        <v>34.08</v>
      </c>
      <c r="D248" s="1096" t="s">
        <v>4</v>
      </c>
      <c r="E248" s="140"/>
      <c r="G248" s="140"/>
    </row>
    <row r="250" spans="1:11" s="139" customFormat="1" ht="23.25" customHeight="1" x14ac:dyDescent="0.2">
      <c r="A250" s="337" t="str">
        <f>ORÇ!A506</f>
        <v>18.1.3.3</v>
      </c>
      <c r="B250" s="1710" t="str">
        <f>ORÇ!D506</f>
        <v>IMPERMEABILIZAÇÃO DE SUPERFÍCIE COM ARGAMASSA POLIMÉRICA / MEMBRANA ACRÍLICA, 3 DEMÃOS. AF_06/2018</v>
      </c>
      <c r="C250" s="1710"/>
      <c r="D250" s="1710"/>
      <c r="E250" s="1710"/>
      <c r="F250" s="1710"/>
      <c r="G250" s="1710"/>
      <c r="H250" s="1710"/>
      <c r="I250" s="1710"/>
      <c r="J250" s="1710"/>
      <c r="K250" s="1076"/>
    </row>
    <row r="252" spans="1:11" s="33" customFormat="1" ht="15.75" customHeight="1" x14ac:dyDescent="0.2">
      <c r="B252" s="1073" t="s">
        <v>872</v>
      </c>
      <c r="C252" s="1073" t="s">
        <v>216</v>
      </c>
      <c r="D252" s="1041"/>
      <c r="E252" s="1073" t="s">
        <v>311</v>
      </c>
      <c r="F252" s="1041"/>
      <c r="G252" s="1073" t="s">
        <v>213</v>
      </c>
    </row>
    <row r="253" spans="1:11" ht="15.75" customHeight="1" x14ac:dyDescent="0.2">
      <c r="B253" s="1725" t="s">
        <v>1856</v>
      </c>
      <c r="C253" s="456">
        <v>6.5</v>
      </c>
      <c r="D253" s="1073" t="s">
        <v>45</v>
      </c>
      <c r="E253" s="456">
        <v>1.2</v>
      </c>
      <c r="F253" s="1073" t="s">
        <v>46</v>
      </c>
      <c r="G253" s="456">
        <f>ROUND(C253*E253,2)</f>
        <v>7.8</v>
      </c>
    </row>
    <row r="254" spans="1:11" ht="15.75" customHeight="1" x14ac:dyDescent="0.2">
      <c r="B254" s="1726"/>
      <c r="C254" s="456">
        <v>3.2</v>
      </c>
      <c r="D254" s="1073" t="s">
        <v>45</v>
      </c>
      <c r="E254" s="456">
        <v>1.2</v>
      </c>
      <c r="F254" s="1073" t="s">
        <v>46</v>
      </c>
      <c r="G254" s="456">
        <f t="shared" ref="G254:G256" si="15">ROUND(C254*E254,2)</f>
        <v>3.84</v>
      </c>
    </row>
    <row r="255" spans="1:11" ht="15.75" customHeight="1" x14ac:dyDescent="0.2">
      <c r="B255" s="1726"/>
      <c r="C255" s="456">
        <v>6.5</v>
      </c>
      <c r="D255" s="1073" t="s">
        <v>45</v>
      </c>
      <c r="E255" s="456">
        <v>1.2</v>
      </c>
      <c r="F255" s="1073" t="s">
        <v>46</v>
      </c>
      <c r="G255" s="456">
        <f t="shared" si="15"/>
        <v>7.8</v>
      </c>
    </row>
    <row r="256" spans="1:11" ht="15.75" customHeight="1" x14ac:dyDescent="0.2">
      <c r="B256" s="1727"/>
      <c r="C256" s="456">
        <v>3.2</v>
      </c>
      <c r="D256" s="1073" t="s">
        <v>45</v>
      </c>
      <c r="E256" s="456">
        <v>1.2</v>
      </c>
      <c r="F256" s="1073" t="s">
        <v>46</v>
      </c>
      <c r="G256" s="456">
        <f t="shared" si="15"/>
        <v>3.84</v>
      </c>
    </row>
    <row r="257" spans="1:11" x14ac:dyDescent="0.2">
      <c r="B257" s="21"/>
      <c r="C257" s="21"/>
      <c r="E257" s="21"/>
      <c r="G257" s="21"/>
    </row>
    <row r="258" spans="1:11" s="139" customFormat="1" ht="16.5" customHeight="1" x14ac:dyDescent="0.2">
      <c r="B258" s="1043" t="s">
        <v>47</v>
      </c>
      <c r="C258" s="1097">
        <f>ROUND(SUM(G253:G257),2)</f>
        <v>23.28</v>
      </c>
      <c r="D258" s="1096" t="s">
        <v>4</v>
      </c>
      <c r="E258" s="140"/>
      <c r="G258" s="140"/>
    </row>
    <row r="260" spans="1:11" s="139" customFormat="1" ht="23.25" customHeight="1" x14ac:dyDescent="0.2">
      <c r="A260" s="337" t="str">
        <f>ORÇ!A507</f>
        <v>18.1.3.4</v>
      </c>
      <c r="B260" s="1710" t="str">
        <f>ORÇ!D507</f>
        <v>REBOCO COM ARGAMASSA 1:6:ADIT. PLAST.</v>
      </c>
      <c r="C260" s="1710"/>
      <c r="D260" s="1710"/>
      <c r="E260" s="1710"/>
      <c r="F260" s="1710"/>
      <c r="G260" s="1710"/>
      <c r="H260" s="1710"/>
      <c r="I260" s="1710"/>
      <c r="J260" s="1710"/>
      <c r="K260" s="1076"/>
    </row>
    <row r="262" spans="1:11" x14ac:dyDescent="0.2">
      <c r="B262" s="21" t="s">
        <v>1987</v>
      </c>
    </row>
    <row r="263" spans="1:11" s="139" customFormat="1" ht="16.5" customHeight="1" x14ac:dyDescent="0.2">
      <c r="B263" s="1043" t="s">
        <v>47</v>
      </c>
      <c r="C263" s="1097">
        <f>C258</f>
        <v>23.28</v>
      </c>
      <c r="D263" s="1096" t="s">
        <v>4</v>
      </c>
      <c r="E263" s="140"/>
      <c r="G263" s="140"/>
    </row>
    <row r="265" spans="1:11" s="139" customFormat="1" ht="23.25" customHeight="1" x14ac:dyDescent="0.2">
      <c r="A265" s="337" t="str">
        <f>ORÇ!A508</f>
        <v>18.1.3.5</v>
      </c>
      <c r="B265" s="1710" t="str">
        <f>ORÇ!D508</f>
        <v>CERÂMICA 10X10CM (PADRÃO MÉDIO)</v>
      </c>
      <c r="C265" s="1710"/>
      <c r="D265" s="1710"/>
      <c r="E265" s="1710"/>
      <c r="F265" s="1710"/>
      <c r="G265" s="1710"/>
      <c r="H265" s="1710"/>
      <c r="I265" s="1710"/>
      <c r="J265" s="1710"/>
      <c r="K265" s="1076"/>
    </row>
    <row r="267" spans="1:11" x14ac:dyDescent="0.2">
      <c r="B267" s="21" t="s">
        <v>1987</v>
      </c>
    </row>
    <row r="268" spans="1:11" s="139" customFormat="1" ht="16.5" customHeight="1" x14ac:dyDescent="0.2">
      <c r="B268" s="1043" t="s">
        <v>47</v>
      </c>
      <c r="C268" s="1097">
        <f>C263</f>
        <v>23.28</v>
      </c>
      <c r="D268" s="1096" t="s">
        <v>4</v>
      </c>
      <c r="E268" s="140"/>
      <c r="G268" s="140"/>
    </row>
    <row r="270" spans="1:11" s="139" customFormat="1" ht="41.25" customHeight="1" x14ac:dyDescent="0.2">
      <c r="A270" s="337" t="str">
        <f>ORÇ!A509</f>
        <v>18.1.3.6</v>
      </c>
      <c r="B270" s="1710" t="str">
        <f>ORÇ!D509</f>
        <v>REVESTIMENTO CERÂMICO PARA PAREDES INTERNAS COM PLACAS TIPO ESMALTADA PADRÃO POPULAR DE DIMENSÕES 20X20 CM, ARGAMASSA TIPO AC I, APLICADAS EM AMBIENTES DE ÁREA MAIOR QUE 5 M2 NA ALTURA INTEIRA DAS PAREDES. AF_06/2014</v>
      </c>
      <c r="C270" s="1710"/>
      <c r="D270" s="1710"/>
      <c r="E270" s="1710"/>
      <c r="F270" s="1710"/>
      <c r="G270" s="1710"/>
      <c r="H270" s="1710"/>
      <c r="I270" s="1710"/>
      <c r="J270" s="1710"/>
      <c r="K270" s="1076"/>
    </row>
    <row r="272" spans="1:11" s="33" customFormat="1" ht="15.75" customHeight="1" x14ac:dyDescent="0.2">
      <c r="B272" s="1073" t="s">
        <v>872</v>
      </c>
      <c r="C272" s="1073" t="s">
        <v>216</v>
      </c>
      <c r="D272" s="1041"/>
      <c r="E272" s="1073" t="s">
        <v>311</v>
      </c>
      <c r="F272" s="1041"/>
      <c r="G272" s="1073" t="s">
        <v>213</v>
      </c>
    </row>
    <row r="273" spans="2:7" ht="15.75" customHeight="1" x14ac:dyDescent="0.2">
      <c r="B273" s="1755" t="s">
        <v>1857</v>
      </c>
      <c r="C273" s="493">
        <f>C216</f>
        <v>7</v>
      </c>
      <c r="D273" s="493" t="str">
        <f t="shared" ref="D273:E273" si="16">D216</f>
        <v>x</v>
      </c>
      <c r="E273" s="493">
        <f t="shared" si="16"/>
        <v>0.3</v>
      </c>
      <c r="F273" s="1073" t="s">
        <v>46</v>
      </c>
      <c r="G273" s="456">
        <f t="shared" ref="G273:G276" si="17">ROUND(C273*E273,2)</f>
        <v>2.1</v>
      </c>
    </row>
    <row r="274" spans="2:7" ht="15.75" customHeight="1" x14ac:dyDescent="0.2">
      <c r="B274" s="1899"/>
      <c r="C274" s="493">
        <f t="shared" ref="C274:E274" si="18">C217</f>
        <v>3.6</v>
      </c>
      <c r="D274" s="493" t="str">
        <f t="shared" si="18"/>
        <v>x</v>
      </c>
      <c r="E274" s="493">
        <f t="shared" si="18"/>
        <v>0.3</v>
      </c>
      <c r="F274" s="1073" t="s">
        <v>46</v>
      </c>
      <c r="G274" s="456">
        <f t="shared" si="17"/>
        <v>1.08</v>
      </c>
    </row>
    <row r="275" spans="2:7" ht="15.75" customHeight="1" x14ac:dyDescent="0.2">
      <c r="B275" s="1899"/>
      <c r="C275" s="493">
        <f t="shared" ref="C275:E275" si="19">C218</f>
        <v>7</v>
      </c>
      <c r="D275" s="493" t="str">
        <f t="shared" si="19"/>
        <v>x</v>
      </c>
      <c r="E275" s="493">
        <f t="shared" si="19"/>
        <v>0.3</v>
      </c>
      <c r="F275" s="1073" t="s">
        <v>46</v>
      </c>
      <c r="G275" s="456">
        <f t="shared" si="17"/>
        <v>2.1</v>
      </c>
    </row>
    <row r="276" spans="2:7" ht="15.75" customHeight="1" x14ac:dyDescent="0.2">
      <c r="B276" s="1756"/>
      <c r="C276" s="493">
        <f t="shared" ref="C276:E276" si="20">C219</f>
        <v>3.6</v>
      </c>
      <c r="D276" s="493" t="str">
        <f t="shared" si="20"/>
        <v>x</v>
      </c>
      <c r="E276" s="493">
        <f t="shared" si="20"/>
        <v>0.3</v>
      </c>
      <c r="F276" s="1073" t="s">
        <v>46</v>
      </c>
      <c r="G276" s="456">
        <f t="shared" si="17"/>
        <v>1.08</v>
      </c>
    </row>
    <row r="277" spans="2:7" ht="15.75" customHeight="1" x14ac:dyDescent="0.2">
      <c r="B277" s="1725" t="str">
        <f>B220</f>
        <v>Parede Externa (Borda)</v>
      </c>
      <c r="C277" s="493">
        <f t="shared" ref="C277:E277" si="21">C220</f>
        <v>7.4</v>
      </c>
      <c r="D277" s="493" t="str">
        <f t="shared" si="21"/>
        <v>x</v>
      </c>
      <c r="E277" s="493">
        <f t="shared" si="21"/>
        <v>0.18</v>
      </c>
      <c r="F277" s="1073" t="s">
        <v>46</v>
      </c>
      <c r="G277" s="456">
        <f t="shared" ref="G277:G280" si="22">ROUND(C277*E277,2)</f>
        <v>1.33</v>
      </c>
    </row>
    <row r="278" spans="2:7" ht="15.75" customHeight="1" x14ac:dyDescent="0.2">
      <c r="B278" s="1726"/>
      <c r="C278" s="493">
        <f t="shared" ref="C278:E278" si="23">C221</f>
        <v>3.8</v>
      </c>
      <c r="D278" s="493" t="str">
        <f t="shared" si="23"/>
        <v>x</v>
      </c>
      <c r="E278" s="493">
        <f t="shared" si="23"/>
        <v>0.18</v>
      </c>
      <c r="F278" s="1073" t="s">
        <v>46</v>
      </c>
      <c r="G278" s="456">
        <f t="shared" si="22"/>
        <v>0.68</v>
      </c>
    </row>
    <row r="279" spans="2:7" ht="15.75" customHeight="1" x14ac:dyDescent="0.2">
      <c r="B279" s="1726"/>
      <c r="C279" s="493">
        <f t="shared" ref="C279:E279" si="24">C222</f>
        <v>7.4</v>
      </c>
      <c r="D279" s="493" t="str">
        <f t="shared" si="24"/>
        <v>x</v>
      </c>
      <c r="E279" s="493">
        <f t="shared" si="24"/>
        <v>0.18</v>
      </c>
      <c r="F279" s="1073" t="s">
        <v>46</v>
      </c>
      <c r="G279" s="456">
        <f t="shared" si="22"/>
        <v>1.33</v>
      </c>
    </row>
    <row r="280" spans="2:7" ht="15.75" customHeight="1" x14ac:dyDescent="0.2">
      <c r="B280" s="1727"/>
      <c r="C280" s="493">
        <f t="shared" ref="C280:E280" si="25">C223</f>
        <v>3.8</v>
      </c>
      <c r="D280" s="493" t="str">
        <f t="shared" si="25"/>
        <v>x</v>
      </c>
      <c r="E280" s="493">
        <f t="shared" si="25"/>
        <v>0.18</v>
      </c>
      <c r="F280" s="1073" t="s">
        <v>46</v>
      </c>
      <c r="G280" s="456">
        <f t="shared" si="22"/>
        <v>0.68</v>
      </c>
    </row>
    <row r="281" spans="2:7" ht="15.75" customHeight="1" x14ac:dyDescent="0.2">
      <c r="B281" s="1755" t="s">
        <v>1999</v>
      </c>
      <c r="C281" s="456">
        <v>3.5</v>
      </c>
      <c r="D281" s="1073" t="s">
        <v>45</v>
      </c>
      <c r="E281" s="456">
        <v>0.2</v>
      </c>
      <c r="F281" s="1073" t="s">
        <v>46</v>
      </c>
      <c r="G281" s="456">
        <f t="shared" ref="G281:G283" si="26">ROUND(C281*E281,2)</f>
        <v>0.7</v>
      </c>
    </row>
    <row r="282" spans="2:7" ht="15.75" customHeight="1" x14ac:dyDescent="0.2">
      <c r="B282" s="1899"/>
      <c r="C282" s="456">
        <v>3.5</v>
      </c>
      <c r="D282" s="1073" t="s">
        <v>45</v>
      </c>
      <c r="E282" s="456">
        <v>0.2</v>
      </c>
      <c r="F282" s="1073" t="s">
        <v>46</v>
      </c>
      <c r="G282" s="456">
        <f t="shared" si="26"/>
        <v>0.7</v>
      </c>
    </row>
    <row r="283" spans="2:7" ht="15.75" customHeight="1" x14ac:dyDescent="0.2">
      <c r="B283" s="1756"/>
      <c r="C283" s="456">
        <v>7.4</v>
      </c>
      <c r="D283" s="1073" t="s">
        <v>45</v>
      </c>
      <c r="E283" s="456">
        <v>0.2</v>
      </c>
      <c r="F283" s="1073" t="s">
        <v>46</v>
      </c>
      <c r="G283" s="456">
        <f t="shared" si="26"/>
        <v>1.48</v>
      </c>
    </row>
    <row r="284" spans="2:7" x14ac:dyDescent="0.2">
      <c r="B284" s="21"/>
      <c r="C284" s="21"/>
      <c r="E284" s="21"/>
      <c r="G284" s="21"/>
    </row>
    <row r="285" spans="2:7" s="139" customFormat="1" ht="16.5" customHeight="1" x14ac:dyDescent="0.2">
      <c r="B285" s="1065" t="s">
        <v>47</v>
      </c>
      <c r="C285" s="1098">
        <f>ROUND(SUM(G273:G284),2)</f>
        <v>13.26</v>
      </c>
      <c r="D285" s="1099" t="s">
        <v>4</v>
      </c>
      <c r="E285" s="140"/>
      <c r="G285" s="140"/>
    </row>
    <row r="287" spans="2:7" x14ac:dyDescent="0.2">
      <c r="B287" s="1900" t="s">
        <v>1979</v>
      </c>
      <c r="C287" s="1901"/>
      <c r="D287" s="1901"/>
      <c r="E287" s="1901"/>
      <c r="F287" s="1901"/>
      <c r="G287" s="1901"/>
    </row>
    <row r="288" spans="2:7" s="33" customFormat="1" ht="15.75" customHeight="1" x14ac:dyDescent="0.2">
      <c r="B288" s="1073" t="s">
        <v>872</v>
      </c>
      <c r="C288" s="1073" t="s">
        <v>216</v>
      </c>
      <c r="D288" s="1041"/>
      <c r="E288" s="1073" t="s">
        <v>311</v>
      </c>
      <c r="F288" s="1041"/>
      <c r="G288" s="1073" t="s">
        <v>213</v>
      </c>
    </row>
    <row r="289" spans="1:11" ht="15.75" customHeight="1" x14ac:dyDescent="0.2">
      <c r="B289" s="1725" t="s">
        <v>1980</v>
      </c>
      <c r="C289" s="456">
        <v>1</v>
      </c>
      <c r="D289" s="1073" t="s">
        <v>45</v>
      </c>
      <c r="E289" s="456">
        <v>0.48</v>
      </c>
      <c r="F289" s="1073" t="s">
        <v>46</v>
      </c>
      <c r="G289" s="456">
        <f>ROUND(C289*E289,2)</f>
        <v>0.48</v>
      </c>
    </row>
    <row r="290" spans="1:11" ht="15.75" customHeight="1" x14ac:dyDescent="0.2">
      <c r="B290" s="1727"/>
      <c r="C290" s="456">
        <v>1</v>
      </c>
      <c r="D290" s="1073" t="s">
        <v>45</v>
      </c>
      <c r="E290" s="456">
        <v>0.48</v>
      </c>
      <c r="F290" s="1073" t="s">
        <v>46</v>
      </c>
      <c r="G290" s="456">
        <f t="shared" ref="G290:G295" si="27">ROUND(C290*E290,2)</f>
        <v>0.48</v>
      </c>
    </row>
    <row r="291" spans="1:11" ht="15.75" customHeight="1" x14ac:dyDescent="0.2">
      <c r="B291" s="454" t="s">
        <v>1981</v>
      </c>
      <c r="C291" s="456">
        <v>2.5</v>
      </c>
      <c r="D291" s="1073" t="s">
        <v>45</v>
      </c>
      <c r="E291" s="456">
        <v>0.48</v>
      </c>
      <c r="F291" s="1073" t="s">
        <v>46</v>
      </c>
      <c r="G291" s="456">
        <f t="shared" si="27"/>
        <v>1.2</v>
      </c>
    </row>
    <row r="292" spans="1:11" ht="22.5" customHeight="1" x14ac:dyDescent="0.2">
      <c r="B292" s="1725" t="s">
        <v>1982</v>
      </c>
      <c r="C292" s="456">
        <v>0.3</v>
      </c>
      <c r="D292" s="1073" t="s">
        <v>45</v>
      </c>
      <c r="E292" s="456">
        <v>0.17</v>
      </c>
      <c r="F292" s="1073" t="s">
        <v>46</v>
      </c>
      <c r="G292" s="456">
        <f t="shared" si="27"/>
        <v>0.05</v>
      </c>
    </row>
    <row r="293" spans="1:11" ht="22.5" customHeight="1" x14ac:dyDescent="0.2">
      <c r="B293" s="1727"/>
      <c r="C293" s="456">
        <v>0.3</v>
      </c>
      <c r="D293" s="1073" t="s">
        <v>45</v>
      </c>
      <c r="E293" s="456">
        <v>0.17</v>
      </c>
      <c r="F293" s="1073" t="s">
        <v>46</v>
      </c>
      <c r="G293" s="456">
        <f t="shared" si="27"/>
        <v>0.05</v>
      </c>
    </row>
    <row r="294" spans="1:11" ht="20.25" customHeight="1" x14ac:dyDescent="0.2">
      <c r="B294" s="1725" t="s">
        <v>1983</v>
      </c>
      <c r="C294" s="456">
        <v>0.3</v>
      </c>
      <c r="D294" s="1073" t="s">
        <v>45</v>
      </c>
      <c r="E294" s="456">
        <v>0.34</v>
      </c>
      <c r="F294" s="1073" t="s">
        <v>46</v>
      </c>
      <c r="G294" s="456">
        <f t="shared" si="27"/>
        <v>0.1</v>
      </c>
    </row>
    <row r="295" spans="1:11" ht="20.25" customHeight="1" x14ac:dyDescent="0.2">
      <c r="B295" s="1727"/>
      <c r="C295" s="456">
        <v>0.3</v>
      </c>
      <c r="D295" s="1073" t="s">
        <v>45</v>
      </c>
      <c r="E295" s="456">
        <v>0.34</v>
      </c>
      <c r="F295" s="1073" t="s">
        <v>46</v>
      </c>
      <c r="G295" s="456">
        <f t="shared" si="27"/>
        <v>0.1</v>
      </c>
    </row>
    <row r="296" spans="1:11" x14ac:dyDescent="0.2">
      <c r="B296" s="21"/>
      <c r="C296" s="21"/>
      <c r="E296" s="21"/>
      <c r="G296" s="21"/>
    </row>
    <row r="297" spans="1:11" s="139" customFormat="1" ht="16.5" customHeight="1" x14ac:dyDescent="0.2">
      <c r="B297" s="1065" t="s">
        <v>47</v>
      </c>
      <c r="C297" s="1098">
        <f>ROUND(SUM(G289:G296),2)</f>
        <v>2.46</v>
      </c>
      <c r="D297" s="1099" t="s">
        <v>4</v>
      </c>
      <c r="E297" s="140"/>
      <c r="G297" s="140"/>
    </row>
    <row r="299" spans="1:11" s="790" customFormat="1" ht="30.75" customHeight="1" x14ac:dyDescent="0.2">
      <c r="B299" s="1077" t="s">
        <v>1988</v>
      </c>
      <c r="C299" s="1044"/>
      <c r="D299" s="1077" t="s">
        <v>1985</v>
      </c>
      <c r="E299" s="1044"/>
      <c r="F299" s="1100" t="s">
        <v>213</v>
      </c>
    </row>
    <row r="300" spans="1:11" s="139" customFormat="1" ht="18" customHeight="1" x14ac:dyDescent="0.2">
      <c r="B300" s="857">
        <f>C285</f>
        <v>13.26</v>
      </c>
      <c r="C300" s="1073" t="s">
        <v>215</v>
      </c>
      <c r="D300" s="857">
        <f>C297</f>
        <v>2.46</v>
      </c>
      <c r="E300" s="1073" t="s">
        <v>46</v>
      </c>
      <c r="F300" s="1101">
        <f>ROUND(B300-D300,2)</f>
        <v>10.8</v>
      </c>
    </row>
    <row r="303" spans="1:11" s="139" customFormat="1" ht="17.25" customHeight="1" x14ac:dyDescent="0.2">
      <c r="A303" s="337" t="str">
        <f>ORÇ!A510</f>
        <v>18.1.4</v>
      </c>
      <c r="B303" s="1710" t="str">
        <f>ORÇ!D510</f>
        <v xml:space="preserve">Acessórios </v>
      </c>
      <c r="C303" s="1710"/>
      <c r="D303" s="1710"/>
      <c r="E303" s="1710"/>
      <c r="F303" s="1710"/>
      <c r="G303" s="1710"/>
      <c r="H303" s="1710"/>
      <c r="I303" s="1710"/>
      <c r="J303" s="1710"/>
      <c r="K303" s="1076"/>
    </row>
    <row r="304" spans="1:11" s="139" customFormat="1" ht="17.25" customHeight="1" x14ac:dyDescent="0.2">
      <c r="A304" s="337" t="str">
        <f>ORÇ!A511</f>
        <v>18.1.4.1</v>
      </c>
      <c r="B304" s="1710" t="str">
        <f>ORÇ!D511</f>
        <v>BARRA EM AÇO INOX (PCD)</v>
      </c>
      <c r="C304" s="1710"/>
      <c r="D304" s="1710"/>
      <c r="E304" s="1710"/>
      <c r="F304" s="1710"/>
      <c r="G304" s="1710"/>
      <c r="H304" s="1710"/>
      <c r="I304" s="1710"/>
      <c r="J304" s="1710"/>
      <c r="K304" s="1076"/>
    </row>
    <row r="305" spans="1:11" s="21" customFormat="1" x14ac:dyDescent="0.2"/>
    <row r="306" spans="1:11" s="602" customFormat="1" ht="15.75" customHeight="1" x14ac:dyDescent="0.2">
      <c r="B306" s="1073" t="s">
        <v>872</v>
      </c>
      <c r="C306" s="1073" t="s">
        <v>216</v>
      </c>
      <c r="D306" s="1073"/>
      <c r="E306" s="1073" t="s">
        <v>469</v>
      </c>
      <c r="F306" s="1073"/>
      <c r="G306" s="1073" t="s">
        <v>614</v>
      </c>
    </row>
    <row r="307" spans="1:11" s="21" customFormat="1" ht="15.75" customHeight="1" x14ac:dyDescent="0.2">
      <c r="B307" s="1075" t="s">
        <v>1978</v>
      </c>
      <c r="C307" s="456">
        <v>0.4</v>
      </c>
      <c r="D307" s="1073" t="s">
        <v>45</v>
      </c>
      <c r="E307" s="456">
        <v>8</v>
      </c>
      <c r="F307" s="1073" t="s">
        <v>46</v>
      </c>
      <c r="G307" s="456">
        <f>ROUND(C307*E307,2)</f>
        <v>3.2</v>
      </c>
    </row>
    <row r="308" spans="1:11" s="21" customFormat="1" x14ac:dyDescent="0.2"/>
    <row r="309" spans="1:11" s="140" customFormat="1" ht="16.5" customHeight="1" x14ac:dyDescent="0.2">
      <c r="B309" s="1043" t="s">
        <v>47</v>
      </c>
      <c r="C309" s="1097">
        <f>ROUND(SUM(G307:G308),2)</f>
        <v>3.2</v>
      </c>
      <c r="D309" s="787" t="s">
        <v>12</v>
      </c>
    </row>
    <row r="310" spans="1:11" s="21" customFormat="1" x14ac:dyDescent="0.2"/>
    <row r="311" spans="1:11" s="140" customFormat="1" ht="30" customHeight="1" x14ac:dyDescent="0.2">
      <c r="A311" s="337" t="str">
        <f>ORÇ!A512</f>
        <v>18.1.4.2</v>
      </c>
      <c r="B311" s="1710" t="str">
        <f>ORÇ!D512</f>
        <v>ESCADA PARA PISCINA 5 DEGRAUS EM AÇO INOX, INCLUSO FURO DE INSTALAÇÃO E FIXAÇÃO DOS CHUMBADORES. FORNECIMENTO E INSTALAÇÃO.</v>
      </c>
      <c r="C311" s="1710"/>
      <c r="D311" s="1710"/>
      <c r="E311" s="1710"/>
      <c r="F311" s="1710"/>
      <c r="G311" s="1710"/>
      <c r="H311" s="1710"/>
      <c r="I311" s="1710"/>
      <c r="J311" s="1710"/>
      <c r="K311" s="1076"/>
    </row>
    <row r="312" spans="1:11" s="21" customFormat="1" x14ac:dyDescent="0.2"/>
    <row r="313" spans="1:11" s="140" customFormat="1" ht="16.5" customHeight="1" x14ac:dyDescent="0.2">
      <c r="B313" s="1043" t="s">
        <v>47</v>
      </c>
      <c r="C313" s="1097">
        <v>2</v>
      </c>
      <c r="D313" s="787" t="s">
        <v>668</v>
      </c>
    </row>
    <row r="314" spans="1:11" s="21" customFormat="1" x14ac:dyDescent="0.2"/>
    <row r="315" spans="1:11" s="21" customFormat="1" x14ac:dyDescent="0.2"/>
    <row r="316" spans="1:11" s="140" customFormat="1" ht="17.25" customHeight="1" x14ac:dyDescent="0.2">
      <c r="A316" s="337" t="str">
        <f>ORÇ!A513</f>
        <v>18.2</v>
      </c>
      <c r="B316" s="1710" t="str">
        <f>ORÇ!D513</f>
        <v>Escada de Acesso a Piscina</v>
      </c>
      <c r="C316" s="1710"/>
      <c r="D316" s="1710"/>
      <c r="E316" s="1710"/>
      <c r="F316" s="1710"/>
      <c r="G316" s="1710"/>
      <c r="H316" s="1710"/>
      <c r="I316" s="1710"/>
      <c r="J316" s="1710"/>
      <c r="K316" s="1076"/>
    </row>
    <row r="317" spans="1:11" s="140" customFormat="1" ht="17.25" customHeight="1" x14ac:dyDescent="0.2">
      <c r="A317" s="337" t="str">
        <f>ORÇ!A514</f>
        <v>18.2.1</v>
      </c>
      <c r="B317" s="1710" t="str">
        <f>ORÇ!D514</f>
        <v>Fundação</v>
      </c>
      <c r="C317" s="1710"/>
      <c r="D317" s="1710"/>
      <c r="E317" s="1710"/>
      <c r="F317" s="1710"/>
      <c r="G317" s="1710"/>
      <c r="H317" s="1710"/>
      <c r="I317" s="1710"/>
      <c r="J317" s="1710"/>
      <c r="K317" s="1076"/>
    </row>
    <row r="318" spans="1:11" s="140" customFormat="1" ht="17.25" customHeight="1" x14ac:dyDescent="0.2">
      <c r="A318" s="337" t="str">
        <f>ORÇ!A515</f>
        <v>18.2.1.1</v>
      </c>
      <c r="B318" s="1710" t="str">
        <f>ORÇ!D515</f>
        <v>ESCAVAÇÃO MANUAL ATE 1.50M DE PROFUNDIDADE</v>
      </c>
      <c r="C318" s="1710"/>
      <c r="D318" s="1710"/>
      <c r="E318" s="1710"/>
      <c r="F318" s="1710"/>
      <c r="G318" s="1710"/>
      <c r="H318" s="1710"/>
      <c r="I318" s="1710"/>
      <c r="J318" s="1710"/>
      <c r="K318" s="1076"/>
    </row>
    <row r="319" spans="1:11" s="21" customFormat="1" x14ac:dyDescent="0.2"/>
    <row r="320" spans="1:11" s="695" customFormat="1" ht="28.5" customHeight="1" x14ac:dyDescent="0.2">
      <c r="B320" s="1077" t="s">
        <v>1636</v>
      </c>
      <c r="C320" s="1077"/>
      <c r="D320" s="1077" t="s">
        <v>987</v>
      </c>
      <c r="E320" s="1077"/>
      <c r="F320" s="1077" t="s">
        <v>1852</v>
      </c>
      <c r="G320" s="1077"/>
      <c r="H320" s="1077" t="s">
        <v>469</v>
      </c>
      <c r="I320" s="1077"/>
      <c r="J320" s="1077" t="s">
        <v>312</v>
      </c>
    </row>
    <row r="321" spans="1:11" s="21" customFormat="1" ht="17.25" customHeight="1" x14ac:dyDescent="0.2">
      <c r="B321" s="456">
        <v>1.1000000000000001</v>
      </c>
      <c r="C321" s="456" t="s">
        <v>45</v>
      </c>
      <c r="D321" s="456">
        <v>0.7</v>
      </c>
      <c r="E321" s="456" t="s">
        <v>45</v>
      </c>
      <c r="F321" s="456">
        <v>0.23</v>
      </c>
      <c r="G321" s="456" t="s">
        <v>45</v>
      </c>
      <c r="H321" s="456">
        <v>2</v>
      </c>
      <c r="I321" s="456" t="s">
        <v>46</v>
      </c>
      <c r="J321" s="456">
        <f>ROUND(B321*D321*F321*H321,2)</f>
        <v>0.35</v>
      </c>
    </row>
    <row r="322" spans="1:11" s="21" customFormat="1" ht="17.25" customHeight="1" x14ac:dyDescent="0.2">
      <c r="B322" s="456">
        <v>0.3</v>
      </c>
      <c r="C322" s="456" t="s">
        <v>45</v>
      </c>
      <c r="D322" s="456">
        <v>0.25</v>
      </c>
      <c r="E322" s="456" t="s">
        <v>45</v>
      </c>
      <c r="F322" s="456">
        <v>0.23</v>
      </c>
      <c r="G322" s="456" t="s">
        <v>45</v>
      </c>
      <c r="H322" s="456">
        <v>4</v>
      </c>
      <c r="I322" s="456" t="s">
        <v>46</v>
      </c>
      <c r="J322" s="456">
        <f>ROUND(B322*D322*F322*H322,2)</f>
        <v>7.0000000000000007E-2</v>
      </c>
    </row>
    <row r="323" spans="1:11" s="21" customFormat="1" x14ac:dyDescent="0.2"/>
    <row r="324" spans="1:11" s="21" customFormat="1" ht="16.5" customHeight="1" x14ac:dyDescent="0.2">
      <c r="B324" s="1043" t="s">
        <v>47</v>
      </c>
      <c r="C324" s="1097">
        <f>ROUND(SUM(J321:J323),2)</f>
        <v>0.42</v>
      </c>
      <c r="D324" s="787" t="s">
        <v>497</v>
      </c>
    </row>
    <row r="325" spans="1:11" s="21" customFormat="1" x14ac:dyDescent="0.2"/>
    <row r="326" spans="1:11" s="140" customFormat="1" ht="17.25" customHeight="1" x14ac:dyDescent="0.2">
      <c r="A326" s="337" t="str">
        <f>ORÇ!A516</f>
        <v>18.2.1.2</v>
      </c>
      <c r="B326" s="1710" t="str">
        <f>ORÇ!D516</f>
        <v>LASTRO DE CONCRETO MAGRO, APLICADO EM BLOCOS DE COROAMENTO OU SAPATAS, ESPESSURA DE 3 CM. AF_08/2017</v>
      </c>
      <c r="C326" s="1710"/>
      <c r="D326" s="1710"/>
      <c r="E326" s="1710"/>
      <c r="F326" s="1710"/>
      <c r="G326" s="1710"/>
      <c r="H326" s="1710"/>
      <c r="I326" s="1710"/>
      <c r="J326" s="1710"/>
      <c r="K326" s="1076"/>
    </row>
    <row r="327" spans="1:11" s="21" customFormat="1" x14ac:dyDescent="0.2"/>
    <row r="328" spans="1:11" s="695" customFormat="1" ht="28.5" customHeight="1" x14ac:dyDescent="0.2">
      <c r="B328" s="1077" t="s">
        <v>1636</v>
      </c>
      <c r="C328" s="1077"/>
      <c r="D328" s="1077" t="s">
        <v>987</v>
      </c>
      <c r="E328" s="1077"/>
      <c r="F328" s="1077" t="s">
        <v>469</v>
      </c>
      <c r="G328" s="1077"/>
      <c r="H328" s="1077" t="s">
        <v>213</v>
      </c>
    </row>
    <row r="329" spans="1:11" s="21" customFormat="1" ht="17.25" customHeight="1" x14ac:dyDescent="0.2">
      <c r="B329" s="456">
        <v>1.1000000000000001</v>
      </c>
      <c r="C329" s="456" t="s">
        <v>45</v>
      </c>
      <c r="D329" s="456">
        <v>0.7</v>
      </c>
      <c r="E329" s="456" t="s">
        <v>45</v>
      </c>
      <c r="F329" s="456">
        <v>2</v>
      </c>
      <c r="G329" s="456" t="s">
        <v>46</v>
      </c>
      <c r="H329" s="456">
        <f>ROUND(B329*D329*F329,2)</f>
        <v>1.54</v>
      </c>
    </row>
    <row r="330" spans="1:11" s="21" customFormat="1" x14ac:dyDescent="0.2">
      <c r="B330" s="456">
        <v>0.3</v>
      </c>
      <c r="C330" s="456" t="s">
        <v>45</v>
      </c>
      <c r="D330" s="456">
        <v>0.25</v>
      </c>
      <c r="E330" s="456" t="s">
        <v>45</v>
      </c>
      <c r="F330" s="456">
        <v>4</v>
      </c>
      <c r="G330" s="456" t="s">
        <v>46</v>
      </c>
      <c r="H330" s="456">
        <f>ROUND(B330*D330*F330,2)</f>
        <v>0.3</v>
      </c>
    </row>
    <row r="331" spans="1:11" s="21" customFormat="1" x14ac:dyDescent="0.2"/>
    <row r="332" spans="1:11" s="21" customFormat="1" ht="16.5" customHeight="1" x14ac:dyDescent="0.2">
      <c r="B332" s="1043" t="s">
        <v>47</v>
      </c>
      <c r="C332" s="1097">
        <f>ROUND(SUM(H329:H331),2)</f>
        <v>1.84</v>
      </c>
      <c r="D332" s="787" t="s">
        <v>4</v>
      </c>
    </row>
    <row r="333" spans="1:11" s="21" customFormat="1" x14ac:dyDescent="0.2"/>
    <row r="334" spans="1:11" s="140" customFormat="1" ht="33" customHeight="1" x14ac:dyDescent="0.2">
      <c r="A334" s="337" t="str">
        <f>ORÇ!A517</f>
        <v>18.2.1.3</v>
      </c>
      <c r="B334" s="1710" t="str">
        <f>ORÇ!D517</f>
        <v>FABRICAÇÃO, MONTAGEM E DESMONTAGEM DE FÔRMA PARA VIGA BALDRAME, EM MADEIRA SERRADA, E=25 MM, 4 UTILIZAÇÕES. AF_06/2017</v>
      </c>
      <c r="C334" s="1710"/>
      <c r="D334" s="1710"/>
      <c r="E334" s="1710"/>
      <c r="F334" s="1710"/>
      <c r="G334" s="1710"/>
      <c r="H334" s="1710"/>
      <c r="I334" s="1710"/>
      <c r="J334" s="1710"/>
      <c r="K334" s="1076"/>
    </row>
    <row r="335" spans="1:11" s="21" customFormat="1" x14ac:dyDescent="0.2"/>
    <row r="336" spans="1:11" s="695" customFormat="1" ht="21" customHeight="1" x14ac:dyDescent="0.2">
      <c r="B336" s="1077" t="s">
        <v>216</v>
      </c>
      <c r="C336" s="1077"/>
      <c r="D336" s="1077" t="s">
        <v>405</v>
      </c>
      <c r="E336" s="1077"/>
      <c r="F336" s="1077" t="s">
        <v>469</v>
      </c>
      <c r="G336" s="1077"/>
      <c r="H336" s="1077" t="s">
        <v>213</v>
      </c>
    </row>
    <row r="337" spans="1:11" s="21" customFormat="1" ht="17.25" customHeight="1" x14ac:dyDescent="0.2">
      <c r="B337" s="456">
        <v>0.6</v>
      </c>
      <c r="C337" s="456" t="s">
        <v>45</v>
      </c>
      <c r="D337" s="456">
        <v>0.2</v>
      </c>
      <c r="E337" s="456" t="s">
        <v>45</v>
      </c>
      <c r="F337" s="456">
        <v>4</v>
      </c>
      <c r="G337" s="456" t="s">
        <v>46</v>
      </c>
      <c r="H337" s="456">
        <f>ROUND(B337*D337*F337,2)</f>
        <v>0.48</v>
      </c>
    </row>
    <row r="338" spans="1:11" s="21" customFormat="1" ht="17.25" customHeight="1" x14ac:dyDescent="0.2">
      <c r="B338" s="456">
        <v>1</v>
      </c>
      <c r="C338" s="456" t="s">
        <v>45</v>
      </c>
      <c r="D338" s="456">
        <v>0.2</v>
      </c>
      <c r="E338" s="456" t="s">
        <v>45</v>
      </c>
      <c r="F338" s="456">
        <v>2</v>
      </c>
      <c r="G338" s="456" t="s">
        <v>46</v>
      </c>
      <c r="H338" s="456">
        <f t="shared" ref="H338" si="28">ROUND(B338*D338*F338,2)</f>
        <v>0.4</v>
      </c>
    </row>
    <row r="339" spans="1:11" s="21" customFormat="1" ht="17.25" customHeight="1" x14ac:dyDescent="0.2">
      <c r="B339" s="456">
        <v>0.3</v>
      </c>
      <c r="C339" s="456" t="s">
        <v>45</v>
      </c>
      <c r="D339" s="456">
        <v>0.2</v>
      </c>
      <c r="E339" s="456" t="s">
        <v>45</v>
      </c>
      <c r="F339" s="456">
        <v>8</v>
      </c>
      <c r="G339" s="456" t="s">
        <v>46</v>
      </c>
      <c r="H339" s="456">
        <f>ROUND(B339*D339*F339,2)</f>
        <v>0.48</v>
      </c>
    </row>
    <row r="340" spans="1:11" s="21" customFormat="1" ht="17.25" customHeight="1" x14ac:dyDescent="0.2">
      <c r="B340" s="456">
        <v>0.7</v>
      </c>
      <c r="C340" s="456" t="s">
        <v>45</v>
      </c>
      <c r="D340" s="456">
        <v>0.2</v>
      </c>
      <c r="E340" s="456" t="s">
        <v>45</v>
      </c>
      <c r="F340" s="456">
        <v>2</v>
      </c>
      <c r="G340" s="456" t="s">
        <v>46</v>
      </c>
      <c r="H340" s="456">
        <f t="shared" ref="H340" si="29">ROUND(B340*D340*F340,2)</f>
        <v>0.28000000000000003</v>
      </c>
    </row>
    <row r="341" spans="1:11" s="21" customFormat="1" x14ac:dyDescent="0.2"/>
    <row r="342" spans="1:11" s="21" customFormat="1" ht="16.5" customHeight="1" x14ac:dyDescent="0.2">
      <c r="B342" s="1043" t="s">
        <v>47</v>
      </c>
      <c r="C342" s="1097">
        <f>ROUND(SUM(H337:H341),2)</f>
        <v>1.64</v>
      </c>
      <c r="D342" s="787" t="s">
        <v>4</v>
      </c>
    </row>
    <row r="343" spans="1:11" s="21" customFormat="1" x14ac:dyDescent="0.2"/>
    <row r="344" spans="1:11" s="140" customFormat="1" ht="22.5" customHeight="1" x14ac:dyDescent="0.2">
      <c r="A344" s="337" t="str">
        <f>ORÇ!A518</f>
        <v>18.2.1.4</v>
      </c>
      <c r="B344" s="1710" t="str">
        <f>ORÇ!D518</f>
        <v>CONCRETO CICLÓPICO FCK = 15MPA, 30% PEDRA DE MÃO EM VOLUME REAL, INCLUSIVE LANÇAMENTO. AF_05/2021</v>
      </c>
      <c r="C344" s="1710"/>
      <c r="D344" s="1710"/>
      <c r="E344" s="1710"/>
      <c r="F344" s="1710"/>
      <c r="G344" s="1710"/>
      <c r="H344" s="1710"/>
      <c r="I344" s="1710"/>
      <c r="J344" s="1710"/>
      <c r="K344" s="1076"/>
    </row>
    <row r="345" spans="1:11" s="21" customFormat="1" x14ac:dyDescent="0.2"/>
    <row r="346" spans="1:11" s="695" customFormat="1" ht="21" customHeight="1" x14ac:dyDescent="0.2">
      <c r="B346" s="1077" t="s">
        <v>216</v>
      </c>
      <c r="C346" s="1077"/>
      <c r="D346" s="1077" t="s">
        <v>405</v>
      </c>
      <c r="E346" s="1077"/>
      <c r="F346" s="1077" t="s">
        <v>630</v>
      </c>
      <c r="G346" s="1077"/>
      <c r="H346" s="1077" t="s">
        <v>469</v>
      </c>
      <c r="I346" s="1077"/>
      <c r="J346" s="1077" t="s">
        <v>312</v>
      </c>
    </row>
    <row r="347" spans="1:11" s="21" customFormat="1" ht="17.25" customHeight="1" x14ac:dyDescent="0.2">
      <c r="B347" s="456">
        <v>1</v>
      </c>
      <c r="C347" s="456" t="s">
        <v>45</v>
      </c>
      <c r="D347" s="456">
        <v>0.6</v>
      </c>
      <c r="E347" s="456" t="s">
        <v>45</v>
      </c>
      <c r="F347" s="456">
        <v>0.2</v>
      </c>
      <c r="G347" s="456" t="s">
        <v>45</v>
      </c>
      <c r="H347" s="456">
        <v>2</v>
      </c>
      <c r="I347" s="456" t="s">
        <v>46</v>
      </c>
      <c r="J347" s="456">
        <f>ROUND(B347*D347*F347*H347,2)</f>
        <v>0.24</v>
      </c>
    </row>
    <row r="348" spans="1:11" s="21" customFormat="1" ht="17.25" customHeight="1" x14ac:dyDescent="0.2">
      <c r="B348" s="456">
        <v>0.3</v>
      </c>
      <c r="C348" s="456" t="s">
        <v>45</v>
      </c>
      <c r="D348" s="456">
        <v>0.15</v>
      </c>
      <c r="E348" s="456" t="s">
        <v>45</v>
      </c>
      <c r="F348" s="456">
        <v>0.2</v>
      </c>
      <c r="G348" s="456" t="s">
        <v>45</v>
      </c>
      <c r="H348" s="456">
        <v>4</v>
      </c>
      <c r="I348" s="456" t="s">
        <v>46</v>
      </c>
      <c r="J348" s="456">
        <f>ROUND(B348*D348*F348*H348,2)</f>
        <v>0.04</v>
      </c>
    </row>
    <row r="349" spans="1:11" s="21" customFormat="1" x14ac:dyDescent="0.2"/>
    <row r="350" spans="1:11" s="21" customFormat="1" ht="16.5" customHeight="1" x14ac:dyDescent="0.2">
      <c r="B350" s="1043" t="s">
        <v>47</v>
      </c>
      <c r="C350" s="1097">
        <f>ROUND(SUM(J347:J349),2)</f>
        <v>0.28000000000000003</v>
      </c>
      <c r="D350" s="787" t="s">
        <v>497</v>
      </c>
    </row>
    <row r="351" spans="1:11" s="21" customFormat="1" x14ac:dyDescent="0.2"/>
    <row r="352" spans="1:11" s="140" customFormat="1" ht="20.25" customHeight="1" x14ac:dyDescent="0.2">
      <c r="A352" s="337" t="str">
        <f>ORÇ!A519</f>
        <v>18.2.1.5</v>
      </c>
      <c r="B352" s="1710" t="str">
        <f>ORÇ!D519</f>
        <v>IMPERMEABILIZAÇÃO COM MASSA ASFÁLTICA PARA CONCRETO (2 DEMÃOS)</v>
      </c>
      <c r="C352" s="1710"/>
      <c r="D352" s="1710"/>
      <c r="E352" s="1710"/>
      <c r="F352" s="1710"/>
      <c r="G352" s="1710"/>
      <c r="H352" s="1710"/>
      <c r="I352" s="1710"/>
      <c r="J352" s="1710"/>
      <c r="K352" s="1076"/>
    </row>
    <row r="353" spans="1:11" s="21" customFormat="1" x14ac:dyDescent="0.2"/>
    <row r="354" spans="1:11" s="21" customFormat="1" x14ac:dyDescent="0.2">
      <c r="B354" s="21" t="s">
        <v>1993</v>
      </c>
    </row>
    <row r="355" spans="1:11" s="21" customFormat="1" x14ac:dyDescent="0.2">
      <c r="B355" s="1043" t="s">
        <v>47</v>
      </c>
      <c r="C355" s="1097">
        <f>C342</f>
        <v>1.64</v>
      </c>
      <c r="D355" s="787" t="s">
        <v>4</v>
      </c>
    </row>
    <row r="356" spans="1:11" s="21" customFormat="1" x14ac:dyDescent="0.2"/>
    <row r="357" spans="1:11" s="140" customFormat="1" ht="17.25" customHeight="1" x14ac:dyDescent="0.2">
      <c r="A357" s="337" t="str">
        <f>ORÇ!A520</f>
        <v>18.2.1.6</v>
      </c>
      <c r="B357" s="1710" t="str">
        <f>ORÇ!D520</f>
        <v>REATERRO MANUAL APILOADO COM SOQUETE. AF_10/2017</v>
      </c>
      <c r="C357" s="1710"/>
      <c r="D357" s="1710"/>
      <c r="E357" s="1710"/>
      <c r="F357" s="1710"/>
      <c r="G357" s="1710"/>
      <c r="H357" s="1710"/>
      <c r="I357" s="1710"/>
      <c r="J357" s="1710"/>
      <c r="K357" s="1076"/>
    </row>
    <row r="358" spans="1:11" s="21" customFormat="1" x14ac:dyDescent="0.2"/>
    <row r="359" spans="1:11" s="1102" customFormat="1" ht="29.25" customHeight="1" x14ac:dyDescent="0.2">
      <c r="B359" s="1077" t="s">
        <v>1356</v>
      </c>
      <c r="C359" s="1044"/>
      <c r="D359" s="1077" t="s">
        <v>1357</v>
      </c>
      <c r="E359" s="1044"/>
      <c r="F359" s="1077" t="s">
        <v>1994</v>
      </c>
      <c r="G359" s="1044"/>
      <c r="H359" s="1100" t="s">
        <v>312</v>
      </c>
    </row>
    <row r="360" spans="1:11" s="33" customFormat="1" ht="15.75" customHeight="1" x14ac:dyDescent="0.2">
      <c r="B360" s="857">
        <f>C324</f>
        <v>0.42</v>
      </c>
      <c r="C360" s="1073" t="s">
        <v>215</v>
      </c>
      <c r="D360" s="1041">
        <f>C332*0.03</f>
        <v>5.5199999999999999E-2</v>
      </c>
      <c r="E360" s="1073" t="s">
        <v>215</v>
      </c>
      <c r="F360" s="857">
        <f>C350</f>
        <v>0.28000000000000003</v>
      </c>
      <c r="G360" s="1073" t="s">
        <v>46</v>
      </c>
      <c r="H360" s="1068">
        <f>ROUND(B360-D360-F360,2)</f>
        <v>0.08</v>
      </c>
    </row>
    <row r="363" spans="1:11" s="139" customFormat="1" ht="17.25" customHeight="1" x14ac:dyDescent="0.2">
      <c r="A363" s="337" t="str">
        <f>ORÇ!A521</f>
        <v>18.2.2</v>
      </c>
      <c r="B363" s="1710" t="str">
        <f>ORÇ!D521</f>
        <v>Construção e Acabamento</v>
      </c>
      <c r="C363" s="1710"/>
      <c r="D363" s="1710"/>
      <c r="E363" s="1710"/>
      <c r="F363" s="1710"/>
      <c r="G363" s="1710"/>
      <c r="H363" s="1710"/>
      <c r="I363" s="1710"/>
      <c r="J363" s="1710"/>
      <c r="K363" s="1076"/>
    </row>
    <row r="364" spans="1:11" s="139" customFormat="1" ht="28.5" customHeight="1" x14ac:dyDescent="0.2">
      <c r="A364" s="337" t="str">
        <f>ORÇ!A522</f>
        <v>18.2.2.1</v>
      </c>
      <c r="B364" s="1710" t="str">
        <f>ORÇ!D522</f>
        <v>(COMPOSIÇÃO REPRESENTATIVA) EXECUÇÃO DE ESCADA EM CONCRETO ARMADO, MOLDADA IN LOCO, FCK = 25 MPA. AF_02/2017</v>
      </c>
      <c r="C364" s="1710"/>
      <c r="D364" s="1710"/>
      <c r="E364" s="1710"/>
      <c r="F364" s="1710"/>
      <c r="G364" s="1710"/>
      <c r="H364" s="1710"/>
      <c r="I364" s="1710"/>
      <c r="J364" s="1710"/>
      <c r="K364" s="1076"/>
    </row>
    <row r="366" spans="1:11" s="695" customFormat="1" ht="21" customHeight="1" x14ac:dyDescent="0.2">
      <c r="A366" s="1077" t="s">
        <v>2000</v>
      </c>
      <c r="B366" s="1077" t="s">
        <v>216</v>
      </c>
      <c r="C366" s="1077"/>
      <c r="D366" s="1077" t="s">
        <v>405</v>
      </c>
      <c r="E366" s="1077"/>
      <c r="F366" s="1077" t="s">
        <v>311</v>
      </c>
      <c r="G366" s="1077"/>
      <c r="H366" s="1077" t="s">
        <v>469</v>
      </c>
      <c r="I366" s="1077"/>
      <c r="J366" s="1077" t="s">
        <v>312</v>
      </c>
    </row>
    <row r="367" spans="1:11" s="21" customFormat="1" ht="17.25" customHeight="1" x14ac:dyDescent="0.2">
      <c r="A367" s="1074" t="s">
        <v>2001</v>
      </c>
      <c r="B367" s="456">
        <v>0.6</v>
      </c>
      <c r="C367" s="456" t="s">
        <v>45</v>
      </c>
      <c r="D367" s="456">
        <v>1</v>
      </c>
      <c r="E367" s="456" t="s">
        <v>45</v>
      </c>
      <c r="F367" s="456">
        <v>0.16</v>
      </c>
      <c r="G367" s="456" t="s">
        <v>45</v>
      </c>
      <c r="H367" s="456">
        <v>2</v>
      </c>
      <c r="I367" s="456" t="s">
        <v>46</v>
      </c>
      <c r="J367" s="456">
        <f>ROUND(B367*D367*F367*H367,2)</f>
        <v>0.19</v>
      </c>
    </row>
    <row r="368" spans="1:11" s="21" customFormat="1" ht="17.25" customHeight="1" x14ac:dyDescent="0.2">
      <c r="A368" s="1074" t="s">
        <v>2002</v>
      </c>
      <c r="B368" s="456">
        <v>0.3</v>
      </c>
      <c r="C368" s="456" t="s">
        <v>45</v>
      </c>
      <c r="D368" s="456">
        <v>1</v>
      </c>
      <c r="E368" s="456" t="s">
        <v>45</v>
      </c>
      <c r="F368" s="456">
        <v>0.16</v>
      </c>
      <c r="G368" s="456" t="s">
        <v>45</v>
      </c>
      <c r="H368" s="456">
        <v>2</v>
      </c>
      <c r="I368" s="456" t="s">
        <v>46</v>
      </c>
      <c r="J368" s="456">
        <f>ROUND(B368*D368*F368*H368,2)</f>
        <v>0.1</v>
      </c>
    </row>
    <row r="369" spans="1:11" s="21" customFormat="1" x14ac:dyDescent="0.2"/>
    <row r="370" spans="1:11" s="21" customFormat="1" ht="16.5" customHeight="1" x14ac:dyDescent="0.2">
      <c r="B370" s="1043" t="s">
        <v>47</v>
      </c>
      <c r="C370" s="1097">
        <f>ROUND(SUM(J367:J369),2)</f>
        <v>0.28999999999999998</v>
      </c>
      <c r="D370" s="787" t="s">
        <v>497</v>
      </c>
    </row>
    <row r="371" spans="1:11" s="21" customFormat="1" x14ac:dyDescent="0.2"/>
    <row r="372" spans="1:11" s="139" customFormat="1" ht="30.75" customHeight="1" x14ac:dyDescent="0.2">
      <c r="A372" s="337" t="str">
        <f>ORÇ!A523</f>
        <v>18.2.2.2</v>
      </c>
      <c r="B372" s="1710" t="str">
        <f>ORÇ!D523</f>
        <v>ALVENARIA DE VEDAÇÃO DE BLOCOS CERÂMICOS FURADOS NA HORIZONTAL DE 9X19X29 CM (ESPESSURA 9 CM) E ARGAMASSA DE ASSENTAMENTO COM PREPARO MANUAL. AF_12/2021</v>
      </c>
      <c r="C372" s="1710"/>
      <c r="D372" s="1710"/>
      <c r="E372" s="1710"/>
      <c r="F372" s="1710"/>
      <c r="G372" s="1710"/>
      <c r="H372" s="1710"/>
      <c r="I372" s="1710"/>
      <c r="J372" s="1710"/>
      <c r="K372" s="1076"/>
    </row>
    <row r="373" spans="1:11" x14ac:dyDescent="0.2">
      <c r="B373" s="307"/>
    </row>
    <row r="374" spans="1:11" x14ac:dyDescent="0.2">
      <c r="B374" s="458" t="s">
        <v>2004</v>
      </c>
    </row>
    <row r="375" spans="1:11" s="695" customFormat="1" ht="21" customHeight="1" x14ac:dyDescent="0.2">
      <c r="B375" s="1077" t="s">
        <v>216</v>
      </c>
      <c r="C375" s="1077"/>
      <c r="D375" s="1077" t="s">
        <v>311</v>
      </c>
      <c r="E375" s="1077"/>
      <c r="F375" s="1077" t="s">
        <v>469</v>
      </c>
      <c r="G375" s="1077"/>
      <c r="H375" s="1077" t="s">
        <v>213</v>
      </c>
    </row>
    <row r="376" spans="1:11" s="21" customFormat="1" ht="17.25" customHeight="1" x14ac:dyDescent="0.2">
      <c r="B376" s="456">
        <v>0.45</v>
      </c>
      <c r="C376" s="456" t="s">
        <v>45</v>
      </c>
      <c r="D376" s="456">
        <v>0.3</v>
      </c>
      <c r="E376" s="456" t="s">
        <v>45</v>
      </c>
      <c r="F376" s="456">
        <v>4</v>
      </c>
      <c r="G376" s="456" t="s">
        <v>46</v>
      </c>
      <c r="H376" s="456">
        <f>ROUND(B376*D376*F376,2)</f>
        <v>0.54</v>
      </c>
    </row>
    <row r="377" spans="1:11" s="21" customFormat="1" x14ac:dyDescent="0.2"/>
    <row r="378" spans="1:11" s="21" customFormat="1" ht="16.5" customHeight="1" x14ac:dyDescent="0.2">
      <c r="B378" s="1043" t="s">
        <v>47</v>
      </c>
      <c r="C378" s="1097">
        <f>ROUND(SUM(H376:H377),2)</f>
        <v>0.54</v>
      </c>
      <c r="D378" s="787" t="s">
        <v>4</v>
      </c>
    </row>
    <row r="379" spans="1:11" s="21" customFormat="1" x14ac:dyDescent="0.2"/>
    <row r="380" spans="1:11" s="139" customFormat="1" ht="28.5" customHeight="1" x14ac:dyDescent="0.2">
      <c r="A380" s="337" t="str">
        <f>ORÇ!A524</f>
        <v>18.2.2.3</v>
      </c>
      <c r="B380" s="1710" t="str">
        <f>ORÇ!D524</f>
        <v>CHAPISCO APLICADO EM ALVENARIA (SEM PRESENÇA DE VÃOS) E ESTRUTURAS DE CONCRETO DE FACHADA, COM COLHER DE PEDREIRO.  ARGAMASSA TRAÇO 1:3 COM PREPARO EM BETONEIRA 400L. AF_06/2014</v>
      </c>
      <c r="C380" s="1710"/>
      <c r="D380" s="1710"/>
      <c r="E380" s="1710"/>
      <c r="F380" s="1710"/>
      <c r="G380" s="1710"/>
      <c r="H380" s="1710"/>
      <c r="I380" s="1710"/>
      <c r="J380" s="1710"/>
      <c r="K380" s="1076"/>
    </row>
    <row r="382" spans="1:11" s="695" customFormat="1" ht="16.5" customHeight="1" x14ac:dyDescent="0.2">
      <c r="C382" s="1077" t="s">
        <v>216</v>
      </c>
      <c r="D382" s="1077"/>
      <c r="E382" s="1077" t="s">
        <v>311</v>
      </c>
      <c r="F382" s="1077"/>
      <c r="G382" s="1077" t="s">
        <v>469</v>
      </c>
      <c r="H382" s="1077"/>
      <c r="I382" s="1077" t="s">
        <v>213</v>
      </c>
    </row>
    <row r="383" spans="1:11" s="21" customFormat="1" ht="17.25" customHeight="1" x14ac:dyDescent="0.2">
      <c r="B383" s="1897" t="s">
        <v>2005</v>
      </c>
      <c r="C383" s="456">
        <v>0.75</v>
      </c>
      <c r="D383" s="456" t="s">
        <v>45</v>
      </c>
      <c r="E383" s="456">
        <v>0.16</v>
      </c>
      <c r="F383" s="456" t="s">
        <v>45</v>
      </c>
      <c r="G383" s="456">
        <v>4</v>
      </c>
      <c r="H383" s="456" t="s">
        <v>46</v>
      </c>
      <c r="I383" s="456">
        <f>ROUND(C383*E383*G383,2)</f>
        <v>0.48</v>
      </c>
    </row>
    <row r="384" spans="1:11" s="21" customFormat="1" ht="17.25" customHeight="1" x14ac:dyDescent="0.2">
      <c r="B384" s="1897"/>
      <c r="C384" s="456">
        <v>1.05</v>
      </c>
      <c r="D384" s="456" t="s">
        <v>45</v>
      </c>
      <c r="E384" s="456">
        <v>0.16</v>
      </c>
      <c r="F384" s="456" t="s">
        <v>45</v>
      </c>
      <c r="G384" s="456">
        <v>4</v>
      </c>
      <c r="H384" s="456" t="s">
        <v>46</v>
      </c>
      <c r="I384" s="456">
        <f>ROUND(C384*E384*G384,2)</f>
        <v>0.67</v>
      </c>
    </row>
    <row r="385" spans="1:11" s="21" customFormat="1" ht="29.25" customHeight="1" x14ac:dyDescent="0.2">
      <c r="B385" s="2" t="s">
        <v>2007</v>
      </c>
      <c r="C385" s="456">
        <v>1</v>
      </c>
      <c r="D385" s="456" t="s">
        <v>45</v>
      </c>
      <c r="E385" s="456">
        <v>0.16</v>
      </c>
      <c r="F385" s="456" t="s">
        <v>45</v>
      </c>
      <c r="G385" s="493">
        <v>4</v>
      </c>
      <c r="H385" s="456" t="s">
        <v>46</v>
      </c>
      <c r="I385" s="456">
        <f>ROUND(C385*E385*G385,2)</f>
        <v>0.64</v>
      </c>
    </row>
    <row r="386" spans="1:11" s="21" customFormat="1" x14ac:dyDescent="0.2"/>
    <row r="387" spans="1:11" s="21" customFormat="1" ht="16.5" customHeight="1" x14ac:dyDescent="0.2">
      <c r="B387" s="1043" t="s">
        <v>47</v>
      </c>
      <c r="C387" s="1097">
        <f>ROUND(SUM(I383:I386),2)</f>
        <v>1.79</v>
      </c>
      <c r="D387" s="787" t="s">
        <v>4</v>
      </c>
    </row>
    <row r="388" spans="1:11" x14ac:dyDescent="0.2">
      <c r="B388" s="307"/>
    </row>
    <row r="389" spans="1:11" s="139" customFormat="1" ht="44.25" customHeight="1" x14ac:dyDescent="0.2">
      <c r="A389" s="337" t="str">
        <f>ORÇ!A525</f>
        <v>18.2.2.4</v>
      </c>
      <c r="B389" s="1710" t="str">
        <f>ORÇ!D525</f>
        <v>EMBOÇO, PARA RECEBIMENTO DE CERÂMICA, EM ARGAMASSA TRAÇO 1:2:8, PREPARO MECÂNICO COM BETONEIRA 400L, APLICADO MANUALMENTE EM FACES INTERNAS DE PAREDES, PARA AMBIENTE COM ÁREA MAIOR QUE 10M2, ESPESSURA DE 10MM, COM EXECUÇÃO DE TALISCAS. AF_06/2014</v>
      </c>
      <c r="C389" s="1710"/>
      <c r="D389" s="1710"/>
      <c r="E389" s="1710"/>
      <c r="F389" s="1710"/>
      <c r="G389" s="1710"/>
      <c r="H389" s="1710"/>
      <c r="I389" s="1710"/>
      <c r="J389" s="1710"/>
      <c r="K389" s="1076"/>
    </row>
    <row r="391" spans="1:11" x14ac:dyDescent="0.2">
      <c r="B391" s="21" t="s">
        <v>2006</v>
      </c>
    </row>
    <row r="392" spans="1:11" s="21" customFormat="1" ht="16.5" customHeight="1" x14ac:dyDescent="0.2">
      <c r="B392" s="1043" t="s">
        <v>47</v>
      </c>
      <c r="C392" s="1097">
        <f>C387</f>
        <v>1.79</v>
      </c>
      <c r="D392" s="787" t="s">
        <v>4</v>
      </c>
    </row>
    <row r="394" spans="1:11" s="139" customFormat="1" ht="42" customHeight="1" x14ac:dyDescent="0.2">
      <c r="A394" s="337" t="str">
        <f>ORÇ!A526</f>
        <v>18.2.2.5</v>
      </c>
      <c r="B394" s="1710" t="str">
        <f>ORÇ!D526</f>
        <v>REVESTIMENTO CERÂMICO PARA PAREDES INTERNAS COM PLACAS TIPO ESMALTADA PADRÃO POPULAR DE DIMENSÕES 20X20 CM, ARGAMASSA TIPO AC I, APLICADAS EM AMBIENTES DE ÁREA MAIOR QUE 5 M2 NA ALTURA INTEIRA DAS PAREDES. AF_06/2014</v>
      </c>
      <c r="C394" s="1710"/>
      <c r="D394" s="1710"/>
      <c r="E394" s="1710"/>
      <c r="F394" s="1710"/>
      <c r="G394" s="1710"/>
      <c r="H394" s="1710"/>
      <c r="I394" s="1710"/>
      <c r="J394" s="1710"/>
      <c r="K394" s="1076"/>
    </row>
    <row r="396" spans="1:11" x14ac:dyDescent="0.2">
      <c r="B396" s="21" t="s">
        <v>2006</v>
      </c>
    </row>
    <row r="397" spans="1:11" s="21" customFormat="1" ht="16.5" customHeight="1" x14ac:dyDescent="0.2">
      <c r="B397" s="1043" t="s">
        <v>47</v>
      </c>
      <c r="C397" s="1097">
        <f>C392</f>
        <v>1.79</v>
      </c>
      <c r="D397" s="787" t="s">
        <v>4</v>
      </c>
    </row>
    <row r="400" spans="1:11" s="139" customFormat="1" ht="28.5" customHeight="1" x14ac:dyDescent="0.2">
      <c r="A400" s="337" t="str">
        <f>ORÇ!A527</f>
        <v>18.2.2.6</v>
      </c>
      <c r="B400" s="1710" t="str">
        <f>ORÇ!D527</f>
        <v>REVESTIMENTO CERÂMICO PARA PISO COM PLACAS TIPO ESMALTADA PADRÃO POPULAR DE DIMENSÕES 35X35 CM APLICADA EM AMBIENTES DE ÁREA MAIOR QUE 10 M2. AF_06/2014</v>
      </c>
      <c r="C400" s="1710"/>
      <c r="D400" s="1710"/>
      <c r="E400" s="1710"/>
      <c r="F400" s="1710"/>
      <c r="G400" s="1710"/>
      <c r="H400" s="1710"/>
      <c r="I400" s="1710"/>
      <c r="J400" s="1710"/>
      <c r="K400" s="1076"/>
    </row>
    <row r="401" spans="1:13" ht="13.5" customHeight="1" x14ac:dyDescent="0.2"/>
    <row r="402" spans="1:13" s="695" customFormat="1" ht="15.75" customHeight="1" x14ac:dyDescent="0.2">
      <c r="C402" s="1219" t="s">
        <v>216</v>
      </c>
      <c r="D402" s="1219"/>
      <c r="E402" s="1219" t="s">
        <v>405</v>
      </c>
      <c r="F402" s="1219"/>
      <c r="G402" s="1219" t="s">
        <v>469</v>
      </c>
      <c r="H402" s="1219"/>
      <c r="I402" s="1219" t="s">
        <v>213</v>
      </c>
    </row>
    <row r="403" spans="1:13" s="21" customFormat="1" ht="33" customHeight="1" x14ac:dyDescent="0.2">
      <c r="B403" s="1078" t="s">
        <v>2009</v>
      </c>
      <c r="C403" s="456">
        <v>1</v>
      </c>
      <c r="D403" s="456" t="s">
        <v>45</v>
      </c>
      <c r="E403" s="456">
        <v>0.3</v>
      </c>
      <c r="F403" s="456" t="s">
        <v>45</v>
      </c>
      <c r="G403" s="456">
        <v>4</v>
      </c>
      <c r="H403" s="456" t="s">
        <v>46</v>
      </c>
      <c r="I403" s="456">
        <f>ROUND(C403*E403*G403,2)</f>
        <v>1.2</v>
      </c>
    </row>
    <row r="404" spans="1:13" s="21" customFormat="1" x14ac:dyDescent="0.2"/>
    <row r="405" spans="1:13" s="21" customFormat="1" ht="16.5" customHeight="1" x14ac:dyDescent="0.2">
      <c r="B405" s="1043" t="s">
        <v>47</v>
      </c>
      <c r="C405" s="1097">
        <f>ROUND(SUM(I403:I404),2)</f>
        <v>1.2</v>
      </c>
      <c r="D405" s="787" t="s">
        <v>4</v>
      </c>
    </row>
    <row r="408" spans="1:13" s="139" customFormat="1" ht="17.25" customHeight="1" x14ac:dyDescent="0.2">
      <c r="A408" s="337" t="str">
        <f>ORÇ!A528</f>
        <v>18.2.3</v>
      </c>
      <c r="B408" s="1710" t="str">
        <f>ORÇ!D528</f>
        <v>Acessórios</v>
      </c>
      <c r="C408" s="1710"/>
      <c r="D408" s="1710"/>
      <c r="E408" s="1710"/>
      <c r="F408" s="1710"/>
      <c r="G408" s="1710"/>
      <c r="H408" s="1710"/>
      <c r="I408" s="1710"/>
      <c r="J408" s="1710"/>
      <c r="K408" s="1076"/>
    </row>
    <row r="409" spans="1:13" s="139" customFormat="1" ht="17.25" customHeight="1" x14ac:dyDescent="0.2">
      <c r="A409" s="337" t="str">
        <f>ORÇ!A529</f>
        <v>18.2.3.1</v>
      </c>
      <c r="B409" s="1710" t="str">
        <f>ORÇ!D529</f>
        <v>GUARDA-CORPO EM TUBO DE AÇO GALVANIZADO 1 1/2"</v>
      </c>
      <c r="C409" s="1710"/>
      <c r="D409" s="1710"/>
      <c r="E409" s="1710"/>
      <c r="F409" s="1710"/>
      <c r="G409" s="1710"/>
      <c r="H409" s="1710"/>
      <c r="I409" s="1710"/>
      <c r="J409" s="1710"/>
      <c r="K409" s="1076"/>
    </row>
    <row r="411" spans="1:13" s="695" customFormat="1" ht="21" customHeight="1" x14ac:dyDescent="0.2">
      <c r="B411" s="1077" t="s">
        <v>216</v>
      </c>
      <c r="C411" s="1077"/>
      <c r="D411" s="1077" t="s">
        <v>311</v>
      </c>
      <c r="E411" s="1077"/>
      <c r="F411" s="1077" t="s">
        <v>469</v>
      </c>
      <c r="G411" s="1077"/>
      <c r="H411" s="1077" t="s">
        <v>213</v>
      </c>
      <c r="M411"/>
    </row>
    <row r="412" spans="1:13" s="21" customFormat="1" ht="17.25" customHeight="1" x14ac:dyDescent="0.2">
      <c r="B412" s="456">
        <v>1.62</v>
      </c>
      <c r="C412" s="456" t="s">
        <v>45</v>
      </c>
      <c r="D412" s="456">
        <v>0.92</v>
      </c>
      <c r="E412" s="456" t="s">
        <v>45</v>
      </c>
      <c r="F412" s="456">
        <v>4</v>
      </c>
      <c r="G412" s="456" t="s">
        <v>46</v>
      </c>
      <c r="H412" s="456">
        <f>ROUND(B412*D412*F412,2)</f>
        <v>5.96</v>
      </c>
    </row>
    <row r="413" spans="1:13" s="21" customFormat="1" x14ac:dyDescent="0.2"/>
    <row r="414" spans="1:13" s="21" customFormat="1" ht="16.5" customHeight="1" x14ac:dyDescent="0.2">
      <c r="B414" s="1043" t="s">
        <v>47</v>
      </c>
      <c r="C414" s="1097">
        <f>ROUND(SUM(H412:H413),2)</f>
        <v>5.96</v>
      </c>
      <c r="D414" s="787" t="s">
        <v>4</v>
      </c>
    </row>
    <row r="417" spans="1:11" s="139" customFormat="1" ht="17.25" customHeight="1" x14ac:dyDescent="0.2">
      <c r="A417" s="337" t="str">
        <f>ORÇ!A530</f>
        <v>18.3</v>
      </c>
      <c r="B417" s="1710" t="str">
        <f>ORÇ!D530</f>
        <v>Palco, Escadas e Casa de Bomba</v>
      </c>
      <c r="C417" s="1710"/>
      <c r="D417" s="1710"/>
      <c r="E417" s="1710"/>
      <c r="F417" s="1710"/>
      <c r="G417" s="1710"/>
      <c r="H417" s="1710"/>
      <c r="I417" s="1710"/>
      <c r="J417" s="1710"/>
      <c r="K417" s="1076"/>
    </row>
    <row r="418" spans="1:11" s="139" customFormat="1" ht="17.25" customHeight="1" x14ac:dyDescent="0.2">
      <c r="A418" s="337" t="str">
        <f>ORÇ!A532</f>
        <v>18.3.1.1</v>
      </c>
      <c r="B418" s="1710" t="str">
        <f>ORÇ!D532</f>
        <v>ESCAVAÇÃO MANUAL ATÉ 1.50M DE PROFUNDIDADE</v>
      </c>
      <c r="C418" s="1710"/>
      <c r="D418" s="1710"/>
      <c r="E418" s="1710"/>
      <c r="F418" s="1710"/>
      <c r="G418" s="1710"/>
      <c r="H418" s="1710"/>
      <c r="I418" s="1710"/>
      <c r="J418" s="1710"/>
      <c r="K418" s="1076"/>
    </row>
    <row r="419" spans="1:11" s="140" customFormat="1" ht="17.25" customHeight="1" x14ac:dyDescent="0.2">
      <c r="A419" s="162"/>
      <c r="B419" s="477"/>
      <c r="C419" s="477"/>
      <c r="D419" s="477"/>
      <c r="E419" s="477"/>
      <c r="F419" s="477"/>
      <c r="G419" s="477"/>
      <c r="H419" s="477"/>
      <c r="I419" s="477"/>
      <c r="J419" s="477"/>
      <c r="K419" s="421"/>
    </row>
    <row r="420" spans="1:11" s="140" customFormat="1" ht="17.25" customHeight="1" x14ac:dyDescent="0.2">
      <c r="A420" s="162"/>
      <c r="B420" s="1700" t="s">
        <v>2084</v>
      </c>
      <c r="C420" s="1700"/>
      <c r="D420" s="1700"/>
      <c r="E420" s="1700"/>
      <c r="F420" s="1700"/>
      <c r="G420" s="1700"/>
      <c r="H420" s="1700"/>
      <c r="I420" s="1700"/>
      <c r="J420" s="1700"/>
      <c r="K420" s="421"/>
    </row>
    <row r="421" spans="1:11" s="140" customFormat="1" ht="29.25" customHeight="1" x14ac:dyDescent="0.2">
      <c r="A421" s="162"/>
      <c r="B421" s="1094" t="s">
        <v>216</v>
      </c>
      <c r="C421" s="1094"/>
      <c r="D421" s="1094" t="s">
        <v>987</v>
      </c>
      <c r="E421" s="1094"/>
      <c r="F421" s="1094" t="s">
        <v>1852</v>
      </c>
      <c r="G421" s="1094"/>
      <c r="H421" s="1094" t="s">
        <v>469</v>
      </c>
      <c r="I421" s="1094"/>
      <c r="J421" s="1094" t="s">
        <v>312</v>
      </c>
      <c r="K421" s="421"/>
    </row>
    <row r="422" spans="1:11" s="140" customFormat="1" ht="52.5" customHeight="1" x14ac:dyDescent="0.2">
      <c r="A422" s="751" t="s">
        <v>2089</v>
      </c>
      <c r="B422" s="456">
        <v>1.28</v>
      </c>
      <c r="C422" s="456" t="s">
        <v>45</v>
      </c>
      <c r="D422" s="456">
        <v>0.4</v>
      </c>
      <c r="E422" s="456" t="s">
        <v>45</v>
      </c>
      <c r="F422" s="456">
        <v>0.43</v>
      </c>
      <c r="G422" s="456" t="s">
        <v>45</v>
      </c>
      <c r="H422" s="456">
        <v>2</v>
      </c>
      <c r="I422" s="456" t="s">
        <v>46</v>
      </c>
      <c r="J422" s="456">
        <f>ROUND(B422*D422*F422*H422,2)</f>
        <v>0.44</v>
      </c>
      <c r="K422" s="421"/>
    </row>
    <row r="423" spans="1:11" s="140" customFormat="1" ht="29.25" customHeight="1" x14ac:dyDescent="0.2">
      <c r="A423" s="751" t="s">
        <v>2026</v>
      </c>
      <c r="B423" s="456">
        <v>2.5</v>
      </c>
      <c r="C423" s="456" t="s">
        <v>45</v>
      </c>
      <c r="D423" s="456">
        <v>1.28</v>
      </c>
      <c r="E423" s="456" t="s">
        <v>45</v>
      </c>
      <c r="F423" s="456">
        <v>0.88</v>
      </c>
      <c r="G423" s="456" t="s">
        <v>45</v>
      </c>
      <c r="H423" s="456">
        <v>1</v>
      </c>
      <c r="I423" s="456" t="s">
        <v>46</v>
      </c>
      <c r="J423" s="456">
        <f>ROUND(B423*D423*F423*H423,2)</f>
        <v>2.82</v>
      </c>
      <c r="K423" s="421"/>
    </row>
    <row r="424" spans="1:11" s="140" customFormat="1" ht="17.25" customHeight="1" x14ac:dyDescent="0.2">
      <c r="A424" s="303" t="s">
        <v>2085</v>
      </c>
      <c r="B424" s="456">
        <v>1.28</v>
      </c>
      <c r="C424" s="456" t="s">
        <v>45</v>
      </c>
      <c r="D424" s="456">
        <v>0.7</v>
      </c>
      <c r="E424" s="456" t="s">
        <v>45</v>
      </c>
      <c r="F424" s="456">
        <v>0.23</v>
      </c>
      <c r="G424" s="456" t="s">
        <v>45</v>
      </c>
      <c r="H424" s="456">
        <v>2</v>
      </c>
      <c r="I424" s="456" t="s">
        <v>46</v>
      </c>
      <c r="J424" s="456">
        <f>ROUND(B424*D424*F424*H424,2)</f>
        <v>0.41</v>
      </c>
      <c r="K424" s="421"/>
    </row>
    <row r="425" spans="1:11" s="140" customFormat="1" ht="17.25" customHeight="1" x14ac:dyDescent="0.2">
      <c r="A425" s="162"/>
      <c r="B425" s="21"/>
      <c r="C425" s="21"/>
      <c r="D425" s="21"/>
      <c r="E425" s="21"/>
      <c r="F425" s="21"/>
      <c r="G425" s="21"/>
      <c r="H425" s="21"/>
      <c r="I425" s="21"/>
      <c r="J425" s="21"/>
      <c r="K425" s="421"/>
    </row>
    <row r="426" spans="1:11" s="140" customFormat="1" ht="17.25" customHeight="1" x14ac:dyDescent="0.2">
      <c r="A426" s="162"/>
      <c r="B426" s="1043" t="s">
        <v>47</v>
      </c>
      <c r="C426" s="1097">
        <f>ROUND(SUM(J422:J425),2)</f>
        <v>3.67</v>
      </c>
      <c r="D426" s="787" t="s">
        <v>497</v>
      </c>
      <c r="E426" s="21"/>
      <c r="F426" s="21"/>
      <c r="G426" s="21"/>
      <c r="H426" s="21"/>
      <c r="I426" s="21"/>
      <c r="J426" s="21"/>
      <c r="K426" s="421"/>
    </row>
    <row r="427" spans="1:11" s="140" customFormat="1" ht="17.25" customHeight="1" x14ac:dyDescent="0.2">
      <c r="A427" s="162"/>
      <c r="B427" s="477"/>
      <c r="C427" s="477"/>
      <c r="D427" s="477"/>
      <c r="E427" s="477"/>
      <c r="F427" s="477"/>
      <c r="G427" s="477"/>
      <c r="H427" s="477"/>
      <c r="I427" s="477"/>
      <c r="J427" s="477"/>
      <c r="K427" s="421"/>
    </row>
    <row r="428" spans="1:11" s="139" customFormat="1" ht="17.25" customHeight="1" x14ac:dyDescent="0.2">
      <c r="A428" s="337" t="str">
        <f>ORÇ!A533</f>
        <v>18.3.1.2</v>
      </c>
      <c r="B428" s="1710" t="str">
        <f>ORÇ!D533</f>
        <v>PREPARO DE FUNDO DE VALA COM LARGURA MENOR QUE 1,5 M (ACERTO DO SOLO NATURAL). AF_08/2020</v>
      </c>
      <c r="C428" s="1710"/>
      <c r="D428" s="1710"/>
      <c r="E428" s="1710"/>
      <c r="F428" s="1710"/>
      <c r="G428" s="1710"/>
      <c r="H428" s="1710"/>
      <c r="I428" s="1710"/>
      <c r="J428" s="1710"/>
      <c r="K428" s="1092"/>
    </row>
    <row r="429" spans="1:11" s="140" customFormat="1" ht="17.25" customHeight="1" x14ac:dyDescent="0.2">
      <c r="A429" s="162"/>
      <c r="B429" s="477"/>
      <c r="C429" s="477"/>
      <c r="D429" s="477"/>
      <c r="E429" s="477"/>
      <c r="F429" s="477"/>
      <c r="G429" s="477"/>
      <c r="H429" s="477"/>
      <c r="I429" s="477"/>
      <c r="J429" s="477"/>
      <c r="K429" s="421"/>
    </row>
    <row r="430" spans="1:11" s="140" customFormat="1" ht="29.25" customHeight="1" x14ac:dyDescent="0.2">
      <c r="B430" s="162"/>
      <c r="C430" s="1094" t="s">
        <v>216</v>
      </c>
      <c r="D430" s="1094"/>
      <c r="E430" s="1094" t="s">
        <v>987</v>
      </c>
      <c r="F430" s="1094"/>
      <c r="G430" s="1094" t="s">
        <v>469</v>
      </c>
      <c r="H430" s="1094"/>
      <c r="I430" s="1094" t="s">
        <v>213</v>
      </c>
      <c r="K430" s="421"/>
    </row>
    <row r="431" spans="1:11" s="140" customFormat="1" ht="29.25" customHeight="1" x14ac:dyDescent="0.2">
      <c r="B431" s="751" t="s">
        <v>2026</v>
      </c>
      <c r="C431" s="456">
        <v>1.28</v>
      </c>
      <c r="D431" s="456" t="s">
        <v>45</v>
      </c>
      <c r="E431" s="456">
        <v>0.4</v>
      </c>
      <c r="F431" s="456" t="s">
        <v>45</v>
      </c>
      <c r="G431" s="456">
        <v>2</v>
      </c>
      <c r="H431" s="456" t="s">
        <v>46</v>
      </c>
      <c r="I431" s="456">
        <f>ROUND(C431*E431*G431,2)</f>
        <v>1.02</v>
      </c>
      <c r="K431" s="421"/>
    </row>
    <row r="432" spans="1:11" s="140" customFormat="1" ht="17.25" customHeight="1" x14ac:dyDescent="0.2">
      <c r="B432" s="303" t="s">
        <v>2085</v>
      </c>
      <c r="C432" s="456">
        <v>1.28</v>
      </c>
      <c r="D432" s="456" t="s">
        <v>45</v>
      </c>
      <c r="E432" s="456">
        <v>0.7</v>
      </c>
      <c r="F432" s="456" t="s">
        <v>45</v>
      </c>
      <c r="G432" s="456">
        <v>2</v>
      </c>
      <c r="H432" s="456" t="s">
        <v>46</v>
      </c>
      <c r="I432" s="456">
        <f>ROUND(C432*E432*G432,2)</f>
        <v>1.79</v>
      </c>
      <c r="K432" s="421"/>
    </row>
    <row r="433" spans="1:11" s="140" customFormat="1" ht="17.25" customHeight="1" x14ac:dyDescent="0.2">
      <c r="A433" s="162"/>
      <c r="B433" s="21"/>
      <c r="C433" s="21"/>
      <c r="D433" s="21"/>
      <c r="E433" s="21"/>
      <c r="F433" s="21"/>
      <c r="G433" s="21"/>
      <c r="H433" s="21"/>
      <c r="I433" s="21"/>
      <c r="J433" s="21"/>
      <c r="K433" s="421"/>
    </row>
    <row r="434" spans="1:11" s="140" customFormat="1" ht="17.25" customHeight="1" x14ac:dyDescent="0.2">
      <c r="A434" s="162"/>
      <c r="B434" s="1043" t="s">
        <v>47</v>
      </c>
      <c r="C434" s="1097">
        <f>ROUND(SUM(I431:I433),2)</f>
        <v>2.81</v>
      </c>
      <c r="D434" s="787" t="s">
        <v>4</v>
      </c>
      <c r="E434" s="21"/>
      <c r="F434" s="21"/>
      <c r="G434" s="21"/>
      <c r="H434" s="21"/>
      <c r="I434" s="21"/>
      <c r="J434" s="21"/>
      <c r="K434" s="421"/>
    </row>
    <row r="435" spans="1:11" s="140" customFormat="1" ht="17.25" customHeight="1" x14ac:dyDescent="0.2">
      <c r="A435" s="162"/>
      <c r="B435" s="477"/>
      <c r="C435" s="477"/>
      <c r="D435" s="477"/>
      <c r="E435" s="477"/>
      <c r="F435" s="477"/>
      <c r="G435" s="477"/>
      <c r="H435" s="477"/>
      <c r="I435" s="477"/>
      <c r="J435" s="477"/>
      <c r="K435" s="421"/>
    </row>
    <row r="436" spans="1:11" s="139" customFormat="1" ht="17.25" customHeight="1" x14ac:dyDescent="0.2">
      <c r="A436" s="337" t="str">
        <f>ORÇ!A534</f>
        <v>18.3.1.3</v>
      </c>
      <c r="B436" s="1710" t="str">
        <f>ORÇ!D534</f>
        <v>LASTRO DE CONCRETO MAGRO, APLICADO EM BLOCOS DE COROAMENTO OU SAPATAS, ESPESSURA DE 3 CM. AF_08/2017</v>
      </c>
      <c r="C436" s="1710"/>
      <c r="D436" s="1710"/>
      <c r="E436" s="1710"/>
      <c r="F436" s="1710"/>
      <c r="G436" s="1710"/>
      <c r="H436" s="1710"/>
      <c r="I436" s="1710"/>
      <c r="J436" s="1710"/>
      <c r="K436" s="1092"/>
    </row>
    <row r="437" spans="1:11" s="140" customFormat="1" ht="17.25" customHeight="1" x14ac:dyDescent="0.2">
      <c r="A437" s="162"/>
      <c r="B437" s="477"/>
      <c r="C437" s="477"/>
      <c r="D437" s="477"/>
      <c r="E437" s="477"/>
      <c r="F437" s="477"/>
      <c r="G437" s="477"/>
      <c r="H437" s="477"/>
      <c r="I437" s="477"/>
      <c r="J437" s="477"/>
      <c r="K437" s="421"/>
    </row>
    <row r="438" spans="1:11" s="140" customFormat="1" ht="17.25" customHeight="1" x14ac:dyDescent="0.2">
      <c r="A438" s="162"/>
      <c r="B438" s="1763" t="s">
        <v>2086</v>
      </c>
      <c r="C438" s="1763"/>
      <c r="D438" s="1763"/>
      <c r="E438" s="477"/>
      <c r="F438" s="477"/>
      <c r="G438" s="477"/>
      <c r="H438" s="477"/>
      <c r="I438" s="477"/>
      <c r="J438" s="477"/>
      <c r="K438" s="421"/>
    </row>
    <row r="439" spans="1:11" s="140" customFormat="1" ht="17.25" customHeight="1" x14ac:dyDescent="0.2">
      <c r="A439" s="162"/>
      <c r="B439" s="1043" t="s">
        <v>47</v>
      </c>
      <c r="C439" s="1097">
        <f>C434</f>
        <v>2.81</v>
      </c>
      <c r="D439" s="787" t="s">
        <v>4</v>
      </c>
      <c r="E439" s="21"/>
      <c r="F439" s="21"/>
      <c r="G439" s="21"/>
      <c r="H439" s="21"/>
      <c r="I439" s="21"/>
      <c r="J439" s="21"/>
      <c r="K439" s="421"/>
    </row>
    <row r="440" spans="1:11" s="140" customFormat="1" ht="17.25" customHeight="1" x14ac:dyDescent="0.2">
      <c r="A440" s="162"/>
      <c r="B440" s="477"/>
      <c r="C440" s="477"/>
      <c r="D440" s="477"/>
      <c r="E440" s="477"/>
      <c r="F440" s="477"/>
      <c r="G440" s="477"/>
      <c r="H440" s="477"/>
      <c r="I440" s="477"/>
      <c r="J440" s="477"/>
      <c r="K440" s="421"/>
    </row>
    <row r="441" spans="1:11" s="139" customFormat="1" ht="17.25" customHeight="1" x14ac:dyDescent="0.2">
      <c r="A441" s="337" t="str">
        <f>ORÇ!A535</f>
        <v>18.3.1.4</v>
      </c>
      <c r="B441" s="1710" t="str">
        <f>ORÇ!D535</f>
        <v>FORMAS PARA CONCRETO EM CHAPA DE MADEIRA COMPENSADA RESINADA E=15MM (REAP 2X)</v>
      </c>
      <c r="C441" s="1710"/>
      <c r="D441" s="1710"/>
      <c r="E441" s="1710"/>
      <c r="F441" s="1710"/>
      <c r="G441" s="1710"/>
      <c r="H441" s="1710"/>
      <c r="I441" s="1710"/>
      <c r="J441" s="1710"/>
      <c r="K441" s="1092"/>
    </row>
    <row r="442" spans="1:11" s="140" customFormat="1" ht="17.25" customHeight="1" x14ac:dyDescent="0.2">
      <c r="A442" s="162"/>
      <c r="B442" s="477"/>
      <c r="C442" s="477"/>
      <c r="D442" s="477"/>
      <c r="E442" s="477"/>
      <c r="F442" s="477"/>
      <c r="G442" s="477"/>
      <c r="H442" s="477"/>
      <c r="I442" s="477"/>
      <c r="J442" s="477"/>
      <c r="K442" s="421"/>
    </row>
    <row r="443" spans="1:11" s="140" customFormat="1" ht="29.25" customHeight="1" x14ac:dyDescent="0.2">
      <c r="A443" s="162"/>
      <c r="B443" s="1094" t="s">
        <v>216</v>
      </c>
      <c r="C443" s="1094"/>
      <c r="D443" s="1094" t="s">
        <v>405</v>
      </c>
      <c r="E443" s="1094"/>
      <c r="F443" s="1094" t="s">
        <v>2087</v>
      </c>
      <c r="G443" s="1094"/>
      <c r="H443" s="1094" t="s">
        <v>469</v>
      </c>
      <c r="I443" s="1094"/>
      <c r="J443" s="1094" t="s">
        <v>213</v>
      </c>
      <c r="K443" s="421"/>
    </row>
    <row r="444" spans="1:11" s="140" customFormat="1" ht="29.25" customHeight="1" x14ac:dyDescent="0.2">
      <c r="A444" s="751" t="s">
        <v>2026</v>
      </c>
      <c r="B444" s="456">
        <v>1.28</v>
      </c>
      <c r="C444" s="456" t="s">
        <v>45</v>
      </c>
      <c r="D444" s="456">
        <v>0.4</v>
      </c>
      <c r="E444" s="456" t="s">
        <v>45</v>
      </c>
      <c r="F444" s="456">
        <v>2</v>
      </c>
      <c r="G444" s="456" t="s">
        <v>45</v>
      </c>
      <c r="H444" s="456">
        <v>2</v>
      </c>
      <c r="I444" s="456" t="s">
        <v>46</v>
      </c>
      <c r="J444" s="456">
        <f>ROUND(B444*D444*F444*H444,2)</f>
        <v>2.0499999999999998</v>
      </c>
      <c r="K444" s="421"/>
    </row>
    <row r="445" spans="1:11" s="140" customFormat="1" ht="17.25" customHeight="1" x14ac:dyDescent="0.2">
      <c r="A445" s="303" t="s">
        <v>2085</v>
      </c>
      <c r="B445" s="456">
        <v>1.28</v>
      </c>
      <c r="C445" s="456" t="s">
        <v>45</v>
      </c>
      <c r="D445" s="456">
        <v>0.2</v>
      </c>
      <c r="E445" s="456" t="s">
        <v>45</v>
      </c>
      <c r="F445" s="456">
        <v>2</v>
      </c>
      <c r="G445" s="456" t="s">
        <v>45</v>
      </c>
      <c r="H445" s="456">
        <v>2</v>
      </c>
      <c r="I445" s="456" t="s">
        <v>46</v>
      </c>
      <c r="J445" s="456">
        <f>ROUND(B445*D445*F445*H445,2)</f>
        <v>1.02</v>
      </c>
      <c r="K445" s="421"/>
    </row>
    <row r="446" spans="1:11" s="140" customFormat="1" ht="17.25" customHeight="1" x14ac:dyDescent="0.2">
      <c r="A446" s="162"/>
      <c r="B446" s="21"/>
      <c r="C446" s="21"/>
      <c r="D446" s="21"/>
      <c r="E446" s="21"/>
      <c r="F446" s="21"/>
      <c r="G446" s="21"/>
      <c r="H446" s="21"/>
      <c r="I446" s="21"/>
      <c r="J446" s="21"/>
      <c r="K446" s="421"/>
    </row>
    <row r="447" spans="1:11" s="140" customFormat="1" ht="17.25" customHeight="1" x14ac:dyDescent="0.2">
      <c r="A447" s="162"/>
      <c r="B447" s="1043" t="s">
        <v>47</v>
      </c>
      <c r="C447" s="1097">
        <f>ROUND(SUM(J444:J446),2)</f>
        <v>3.07</v>
      </c>
      <c r="D447" s="787" t="s">
        <v>4</v>
      </c>
      <c r="E447" s="21"/>
      <c r="F447" s="21"/>
      <c r="G447" s="21"/>
      <c r="H447" s="21"/>
      <c r="I447" s="21"/>
      <c r="J447" s="21"/>
      <c r="K447" s="421"/>
    </row>
    <row r="448" spans="1:11" s="140" customFormat="1" ht="17.25" customHeight="1" x14ac:dyDescent="0.2">
      <c r="A448" s="162"/>
      <c r="B448" s="477"/>
      <c r="C448" s="477"/>
      <c r="D448" s="477"/>
      <c r="E448" s="477"/>
      <c r="F448" s="477"/>
      <c r="G448" s="477"/>
      <c r="H448" s="477"/>
      <c r="I448" s="477"/>
      <c r="J448" s="477"/>
      <c r="K448" s="421"/>
    </row>
    <row r="449" spans="1:11" s="139" customFormat="1" ht="17.25" customHeight="1" x14ac:dyDescent="0.2">
      <c r="A449" s="337" t="str">
        <f>ORÇ!A536</f>
        <v>18.3.1.5</v>
      </c>
      <c r="B449" s="1710" t="str">
        <f>ORÇ!D536</f>
        <v>CONCRETO CICLÓPICO FCK = 15MPA, 30% PEDRA DE MÃO EM VOLUME REAL, INCLUSIVE LANÇAMENTO. AF_05/2021</v>
      </c>
      <c r="C449" s="1710"/>
      <c r="D449" s="1710"/>
      <c r="E449" s="1710"/>
      <c r="F449" s="1710"/>
      <c r="G449" s="1710"/>
      <c r="H449" s="1710"/>
      <c r="I449" s="1710"/>
      <c r="J449" s="1710"/>
      <c r="K449" s="1092"/>
    </row>
    <row r="450" spans="1:11" s="140" customFormat="1" ht="17.25" customHeight="1" x14ac:dyDescent="0.2">
      <c r="A450" s="162"/>
      <c r="B450" s="477"/>
      <c r="C450" s="477"/>
      <c r="D450" s="477"/>
      <c r="E450" s="477"/>
      <c r="F450" s="477"/>
      <c r="G450" s="477"/>
      <c r="H450" s="477"/>
      <c r="I450" s="477"/>
      <c r="J450" s="477"/>
      <c r="K450" s="421"/>
    </row>
    <row r="451" spans="1:11" s="140" customFormat="1" ht="29.25" customHeight="1" x14ac:dyDescent="0.2">
      <c r="A451" s="162"/>
      <c r="B451" s="1094" t="s">
        <v>216</v>
      </c>
      <c r="C451" s="1094"/>
      <c r="D451" s="1094" t="s">
        <v>405</v>
      </c>
      <c r="E451" s="1094"/>
      <c r="F451" s="1094" t="s">
        <v>630</v>
      </c>
      <c r="G451" s="1094"/>
      <c r="H451" s="1094" t="s">
        <v>469</v>
      </c>
      <c r="I451" s="1094"/>
      <c r="J451" s="1094" t="s">
        <v>312</v>
      </c>
      <c r="K451" s="421"/>
    </row>
    <row r="452" spans="1:11" s="140" customFormat="1" ht="29.25" customHeight="1" x14ac:dyDescent="0.2">
      <c r="A452" s="751" t="s">
        <v>2026</v>
      </c>
      <c r="B452" s="456">
        <v>1.28</v>
      </c>
      <c r="C452" s="456" t="s">
        <v>45</v>
      </c>
      <c r="D452" s="456">
        <v>0.3</v>
      </c>
      <c r="E452" s="456" t="s">
        <v>45</v>
      </c>
      <c r="F452" s="456">
        <v>0.4</v>
      </c>
      <c r="G452" s="456" t="s">
        <v>45</v>
      </c>
      <c r="H452" s="456">
        <v>2</v>
      </c>
      <c r="I452" s="456" t="s">
        <v>46</v>
      </c>
      <c r="J452" s="456">
        <f>ROUND(B452*D452*F452*H452,2)</f>
        <v>0.31</v>
      </c>
      <c r="K452" s="421"/>
    </row>
    <row r="453" spans="1:11" s="140" customFormat="1" ht="17.25" customHeight="1" x14ac:dyDescent="0.2">
      <c r="A453" s="303" t="s">
        <v>2085</v>
      </c>
      <c r="B453" s="456">
        <v>1.28</v>
      </c>
      <c r="C453" s="456" t="s">
        <v>45</v>
      </c>
      <c r="D453" s="456">
        <v>0.6</v>
      </c>
      <c r="E453" s="456" t="s">
        <v>45</v>
      </c>
      <c r="F453" s="456">
        <v>0.2</v>
      </c>
      <c r="G453" s="456" t="s">
        <v>45</v>
      </c>
      <c r="H453" s="456">
        <v>2</v>
      </c>
      <c r="I453" s="456" t="s">
        <v>46</v>
      </c>
      <c r="J453" s="456">
        <f>ROUND(B453*D453*F453*H453,2)</f>
        <v>0.31</v>
      </c>
      <c r="K453" s="421"/>
    </row>
    <row r="454" spans="1:11" s="140" customFormat="1" ht="17.25" customHeight="1" x14ac:dyDescent="0.2">
      <c r="A454" s="162"/>
      <c r="B454" s="21"/>
      <c r="C454" s="21"/>
      <c r="D454" s="21"/>
      <c r="E454" s="21"/>
      <c r="F454" s="21"/>
      <c r="G454" s="21"/>
      <c r="H454" s="21"/>
      <c r="I454" s="21"/>
      <c r="J454" s="21"/>
      <c r="K454" s="421"/>
    </row>
    <row r="455" spans="1:11" s="140" customFormat="1" ht="17.25" customHeight="1" x14ac:dyDescent="0.2">
      <c r="A455" s="162"/>
      <c r="B455" s="1043" t="s">
        <v>47</v>
      </c>
      <c r="C455" s="1097">
        <f>ROUND(SUM(J452:J454),2)</f>
        <v>0.62</v>
      </c>
      <c r="D455" s="787" t="s">
        <v>497</v>
      </c>
      <c r="E455" s="21"/>
      <c r="F455" s="21"/>
      <c r="G455" s="21"/>
      <c r="H455" s="21"/>
      <c r="I455" s="21"/>
      <c r="J455" s="21"/>
      <c r="K455" s="421"/>
    </row>
    <row r="456" spans="1:11" s="140" customFormat="1" ht="17.25" customHeight="1" x14ac:dyDescent="0.2">
      <c r="A456" s="162"/>
      <c r="B456" s="477"/>
      <c r="C456" s="477"/>
      <c r="D456" s="477"/>
      <c r="E456" s="477"/>
      <c r="F456" s="477"/>
      <c r="G456" s="477"/>
      <c r="H456" s="477"/>
      <c r="I456" s="477"/>
      <c r="J456" s="477"/>
      <c r="K456" s="421"/>
    </row>
    <row r="457" spans="1:11" s="139" customFormat="1" ht="17.25" customHeight="1" x14ac:dyDescent="0.2">
      <c r="A457" s="337" t="str">
        <f>ORÇ!A537</f>
        <v>18.3.1.6</v>
      </c>
      <c r="B457" s="1710" t="str">
        <f>ORÇ!D537</f>
        <v>IMPERMEABILIZAÇÃO COM MASSA ASFÁLTICA PARA CONCRETO (2 DEMÃOS)</v>
      </c>
      <c r="C457" s="1710"/>
      <c r="D457" s="1710"/>
      <c r="E457" s="1710"/>
      <c r="F457" s="1710"/>
      <c r="G457" s="1710"/>
      <c r="H457" s="1710"/>
      <c r="I457" s="1710"/>
      <c r="J457" s="1710"/>
      <c r="K457" s="1092"/>
    </row>
    <row r="458" spans="1:11" s="140" customFormat="1" ht="17.25" customHeight="1" x14ac:dyDescent="0.2">
      <c r="A458" s="162"/>
      <c r="B458" s="477"/>
      <c r="C458" s="477"/>
      <c r="D458" s="477"/>
      <c r="E458" s="477"/>
      <c r="F458" s="477"/>
      <c r="G458" s="477"/>
      <c r="H458" s="477"/>
      <c r="I458" s="477"/>
      <c r="J458" s="477"/>
      <c r="K458" s="421"/>
    </row>
    <row r="459" spans="1:11" s="140" customFormat="1" ht="17.25" customHeight="1" x14ac:dyDescent="0.2">
      <c r="A459" s="162"/>
      <c r="B459" s="1763" t="s">
        <v>2088</v>
      </c>
      <c r="C459" s="1763"/>
      <c r="D459" s="1763"/>
      <c r="E459" s="477"/>
      <c r="F459" s="477"/>
      <c r="G459" s="477"/>
      <c r="H459" s="477"/>
      <c r="I459" s="477"/>
      <c r="J459" s="477"/>
      <c r="K459" s="421"/>
    </row>
    <row r="460" spans="1:11" s="140" customFormat="1" ht="17.25" customHeight="1" x14ac:dyDescent="0.2">
      <c r="A460" s="162"/>
      <c r="B460" s="1043" t="s">
        <v>47</v>
      </c>
      <c r="C460" s="1097">
        <f>C447</f>
        <v>3.07</v>
      </c>
      <c r="D460" s="787" t="s">
        <v>4</v>
      </c>
      <c r="E460" s="21"/>
      <c r="F460" s="21"/>
      <c r="G460" s="21"/>
      <c r="H460" s="21"/>
      <c r="I460" s="21"/>
      <c r="J460" s="21"/>
      <c r="K460" s="421"/>
    </row>
    <row r="461" spans="1:11" s="140" customFormat="1" ht="17.25" customHeight="1" x14ac:dyDescent="0.2">
      <c r="A461" s="162"/>
      <c r="B461" s="477"/>
      <c r="C461" s="477"/>
      <c r="D461" s="477"/>
      <c r="E461" s="477"/>
      <c r="F461" s="477"/>
      <c r="G461" s="477"/>
      <c r="H461" s="477"/>
      <c r="I461" s="477"/>
      <c r="J461" s="477"/>
      <c r="K461" s="421"/>
    </row>
    <row r="462" spans="1:11" s="139" customFormat="1" ht="17.25" customHeight="1" x14ac:dyDescent="0.2">
      <c r="A462" s="337" t="str">
        <f>ORÇ!A538</f>
        <v>18.3.1.7</v>
      </c>
      <c r="B462" s="1710" t="str">
        <f>ORÇ!D538</f>
        <v>REATERRO MANUAL APILOADO COM SOQUETE. AF_10/2017</v>
      </c>
      <c r="C462" s="1710"/>
      <c r="D462" s="1710"/>
      <c r="E462" s="1710"/>
      <c r="F462" s="1710"/>
      <c r="G462" s="1710"/>
      <c r="H462" s="1710"/>
      <c r="I462" s="1710"/>
      <c r="J462" s="1710"/>
      <c r="K462" s="1092"/>
    </row>
    <row r="463" spans="1:11" s="140" customFormat="1" ht="17.25" customHeight="1" x14ac:dyDescent="0.2">
      <c r="A463" s="162"/>
      <c r="B463" s="477"/>
      <c r="C463" s="477"/>
      <c r="D463" s="477"/>
      <c r="E463" s="477"/>
      <c r="F463" s="477"/>
      <c r="G463" s="477"/>
      <c r="H463" s="477"/>
      <c r="I463" s="477"/>
      <c r="J463" s="477"/>
      <c r="K463" s="421"/>
    </row>
    <row r="464" spans="1:11" s="140" customFormat="1" ht="25.5" customHeight="1" x14ac:dyDescent="0.2">
      <c r="A464" s="162"/>
      <c r="B464" s="1094" t="s">
        <v>1356</v>
      </c>
      <c r="C464" s="1044"/>
      <c r="D464" s="1094" t="s">
        <v>1357</v>
      </c>
      <c r="E464" s="1044"/>
      <c r="F464" s="1094" t="s">
        <v>1994</v>
      </c>
      <c r="G464" s="1044"/>
      <c r="H464" s="1100" t="s">
        <v>312</v>
      </c>
      <c r="I464" s="477"/>
      <c r="J464" s="477"/>
      <c r="K464" s="421"/>
    </row>
    <row r="465" spans="1:11" s="140" customFormat="1" ht="17.25" customHeight="1" x14ac:dyDescent="0.2">
      <c r="A465" s="162"/>
      <c r="B465" s="857">
        <f>C426</f>
        <v>3.67</v>
      </c>
      <c r="C465" s="1087" t="s">
        <v>215</v>
      </c>
      <c r="D465" s="1041">
        <f>C439*0.03</f>
        <v>8.43E-2</v>
      </c>
      <c r="E465" s="1087" t="s">
        <v>215</v>
      </c>
      <c r="F465" s="857">
        <f>C455</f>
        <v>0.62</v>
      </c>
      <c r="G465" s="1087" t="s">
        <v>46</v>
      </c>
      <c r="H465" s="1101">
        <f>ROUND(B465-D465-F465,2)</f>
        <v>2.97</v>
      </c>
      <c r="I465" s="477"/>
      <c r="J465" s="477"/>
      <c r="K465" s="421"/>
    </row>
    <row r="466" spans="1:11" s="140" customFormat="1" ht="17.25" customHeight="1" x14ac:dyDescent="0.2">
      <c r="A466" s="162"/>
      <c r="B466" s="477"/>
      <c r="C466" s="477"/>
      <c r="D466" s="477"/>
      <c r="E466" s="477"/>
      <c r="F466" s="477"/>
      <c r="G466" s="477"/>
      <c r="H466" s="477"/>
      <c r="I466" s="477"/>
      <c r="J466" s="477"/>
      <c r="K466" s="421"/>
    </row>
    <row r="467" spans="1:11" s="139" customFormat="1" ht="17.25" customHeight="1" x14ac:dyDescent="0.2">
      <c r="A467" s="337" t="str">
        <f>ORÇ!A539</f>
        <v>18.3.2</v>
      </c>
      <c r="B467" s="1710" t="str">
        <f>ORÇ!D539</f>
        <v>Superestrutura</v>
      </c>
      <c r="C467" s="1710"/>
      <c r="D467" s="1710"/>
      <c r="E467" s="1710"/>
      <c r="F467" s="1710"/>
      <c r="G467" s="1710"/>
      <c r="H467" s="1710"/>
      <c r="I467" s="1710"/>
      <c r="J467" s="1710"/>
      <c r="K467" s="1092"/>
    </row>
    <row r="468" spans="1:11" s="139" customFormat="1" ht="17.25" customHeight="1" x14ac:dyDescent="0.2">
      <c r="A468" s="337"/>
      <c r="B468" s="1088"/>
      <c r="C468" s="1088"/>
      <c r="D468" s="1088"/>
      <c r="E468" s="1088"/>
      <c r="F468" s="1088"/>
      <c r="G468" s="1088"/>
      <c r="H468" s="1088"/>
      <c r="I468" s="1088"/>
      <c r="J468" s="1088"/>
      <c r="K468" s="1092"/>
    </row>
    <row r="469" spans="1:11" s="139" customFormat="1" ht="17.25" customHeight="1" x14ac:dyDescent="0.2">
      <c r="A469" s="337"/>
      <c r="B469" s="1088"/>
      <c r="C469" s="1088"/>
      <c r="D469" s="1088"/>
      <c r="E469" s="1088"/>
      <c r="F469" s="1088"/>
      <c r="G469" s="1088"/>
      <c r="H469" s="1088"/>
      <c r="I469" s="1088"/>
      <c r="J469" s="1088"/>
      <c r="K469" s="1092"/>
    </row>
    <row r="470" spans="1:11" s="139" customFormat="1" ht="17.25" customHeight="1" x14ac:dyDescent="0.2">
      <c r="A470" s="337"/>
      <c r="B470" s="1088"/>
      <c r="C470" s="1088"/>
      <c r="D470" s="1088"/>
      <c r="E470" s="1088"/>
      <c r="F470" s="1767" t="s">
        <v>2093</v>
      </c>
      <c r="G470" s="1767"/>
      <c r="H470" s="1767"/>
      <c r="I470" s="1767"/>
      <c r="J470" s="1088"/>
      <c r="K470" s="1092"/>
    </row>
    <row r="471" spans="1:11" s="139" customFormat="1" ht="17.25" customHeight="1" x14ac:dyDescent="0.2">
      <c r="A471" s="337"/>
      <c r="B471" s="1088"/>
      <c r="C471" s="1088"/>
      <c r="D471" s="1088"/>
      <c r="E471" s="1088"/>
      <c r="F471" s="1767"/>
      <c r="G471" s="1767"/>
      <c r="H471" s="1767"/>
      <c r="I471" s="1767"/>
      <c r="J471" s="1088"/>
      <c r="K471" s="1092"/>
    </row>
    <row r="472" spans="1:11" s="139" customFormat="1" ht="17.25" customHeight="1" x14ac:dyDescent="0.2">
      <c r="A472" s="337"/>
      <c r="B472" s="1088"/>
      <c r="C472" s="1088"/>
      <c r="D472" s="1088"/>
      <c r="E472" s="1088"/>
      <c r="F472" s="1767"/>
      <c r="G472" s="1767"/>
      <c r="H472" s="1767"/>
      <c r="I472" s="1767"/>
      <c r="J472" s="1088"/>
      <c r="K472" s="1092"/>
    </row>
    <row r="473" spans="1:11" s="139" customFormat="1" ht="17.25" customHeight="1" x14ac:dyDescent="0.2">
      <c r="A473" s="337"/>
      <c r="B473" s="1088"/>
      <c r="C473" s="1088"/>
      <c r="D473" s="1088"/>
      <c r="E473" s="1088"/>
      <c r="F473" s="1767"/>
      <c r="G473" s="1767"/>
      <c r="H473" s="1767"/>
      <c r="I473" s="1767"/>
      <c r="J473" s="1088"/>
      <c r="K473" s="1092"/>
    </row>
    <row r="474" spans="1:11" s="139" customFormat="1" ht="17.25" customHeight="1" x14ac:dyDescent="0.2">
      <c r="A474" s="337"/>
      <c r="B474" s="1088"/>
      <c r="C474" s="1088"/>
      <c r="D474" s="1088"/>
      <c r="E474" s="1088"/>
      <c r="F474" s="1767"/>
      <c r="G474" s="1767"/>
      <c r="H474" s="1767"/>
      <c r="I474" s="1767"/>
      <c r="J474" s="1088"/>
      <c r="K474" s="1092"/>
    </row>
    <row r="475" spans="1:11" s="139" customFormat="1" ht="17.25" customHeight="1" x14ac:dyDescent="0.2">
      <c r="A475" s="337"/>
      <c r="B475" s="1088"/>
      <c r="C475" s="1088"/>
      <c r="D475" s="1088"/>
      <c r="E475" s="1088"/>
      <c r="F475" s="1088"/>
      <c r="G475" s="1088"/>
      <c r="H475" s="1088"/>
      <c r="I475" s="1088"/>
      <c r="J475" s="1088"/>
      <c r="K475" s="1092"/>
    </row>
    <row r="476" spans="1:11" s="139" customFormat="1" ht="17.25" customHeight="1" x14ac:dyDescent="0.2">
      <c r="A476" s="337"/>
      <c r="B476" s="1088"/>
      <c r="C476" s="1088"/>
      <c r="D476" s="1088"/>
      <c r="E476" s="1088"/>
      <c r="F476" s="1088"/>
      <c r="G476" s="1088"/>
      <c r="H476" s="1088"/>
      <c r="I476" s="1088"/>
      <c r="J476" s="1088"/>
      <c r="K476" s="1092"/>
    </row>
    <row r="477" spans="1:11" s="139" customFormat="1" ht="17.25" customHeight="1" x14ac:dyDescent="0.2">
      <c r="A477" s="337"/>
      <c r="B477" s="1088"/>
      <c r="C477" s="1088"/>
      <c r="D477" s="1088"/>
      <c r="E477" s="1088"/>
      <c r="F477" s="1088"/>
      <c r="G477" s="1088"/>
      <c r="H477" s="1088"/>
      <c r="I477" s="1088"/>
      <c r="J477" s="1088"/>
      <c r="K477" s="1092"/>
    </row>
    <row r="478" spans="1:11" s="139" customFormat="1" ht="27.75" customHeight="1" x14ac:dyDescent="0.2">
      <c r="A478" s="337" t="str">
        <f>ORÇ!A540</f>
        <v>18.3.2.1</v>
      </c>
      <c r="B478" s="1710" t="str">
        <f>ORÇ!D540</f>
        <v>(COMPOSIÇÃO REPRESENTATIVA) EXECUÇÃO DE ESTRUTURAS DE CONCRETO ARMADO, PARA EDIFICAÇÃO HABITACIONAL UNIFAMILIAR TÉRREA (CASA EM EMPREENDIMENTOS), FCK = 25 MPA. AF_01/2017</v>
      </c>
      <c r="C478" s="1710"/>
      <c r="D478" s="1710"/>
      <c r="E478" s="1710"/>
      <c r="F478" s="1710"/>
      <c r="G478" s="1710"/>
      <c r="H478" s="1710"/>
      <c r="I478" s="1710"/>
      <c r="J478" s="1710"/>
      <c r="K478" s="1092"/>
    </row>
    <row r="479" spans="1:11" s="140" customFormat="1" ht="19.5" customHeight="1" x14ac:dyDescent="0.2">
      <c r="A479" s="162"/>
      <c r="B479" s="477"/>
      <c r="C479" s="477"/>
      <c r="D479" s="477"/>
      <c r="E479" s="477"/>
      <c r="F479" s="477"/>
      <c r="G479" s="477"/>
      <c r="H479" s="477"/>
      <c r="I479" s="477"/>
      <c r="J479" s="477"/>
      <c r="K479" s="421"/>
    </row>
    <row r="480" spans="1:11" s="140" customFormat="1" ht="30" customHeight="1" x14ac:dyDescent="0.2">
      <c r="A480" s="162"/>
      <c r="B480" s="1763" t="s">
        <v>2090</v>
      </c>
      <c r="C480" s="1763"/>
      <c r="D480" s="1763"/>
      <c r="E480" s="1763"/>
      <c r="F480" s="1763"/>
      <c r="G480" s="1763"/>
      <c r="H480" s="1763"/>
      <c r="I480" s="1763"/>
      <c r="J480" s="1763"/>
      <c r="K480" s="421"/>
    </row>
    <row r="481" spans="1:11" s="140" customFormat="1" ht="21.75" customHeight="1" x14ac:dyDescent="0.2">
      <c r="A481" s="162"/>
      <c r="B481" s="1094" t="s">
        <v>216</v>
      </c>
      <c r="C481" s="1094"/>
      <c r="D481" s="1094" t="s">
        <v>405</v>
      </c>
      <c r="E481" s="1094"/>
      <c r="F481" s="1094" t="s">
        <v>311</v>
      </c>
      <c r="G481" s="1094"/>
      <c r="H481" s="1094" t="s">
        <v>469</v>
      </c>
      <c r="I481" s="1094"/>
      <c r="J481" s="1094" t="s">
        <v>312</v>
      </c>
      <c r="K481" s="421"/>
    </row>
    <row r="482" spans="1:11" s="140" customFormat="1" ht="29.25" customHeight="1" x14ac:dyDescent="0.2">
      <c r="A482" s="751" t="s">
        <v>420</v>
      </c>
      <c r="B482" s="456">
        <v>1.28</v>
      </c>
      <c r="C482" s="456" t="s">
        <v>45</v>
      </c>
      <c r="D482" s="456">
        <v>0.3</v>
      </c>
      <c r="E482" s="456" t="s">
        <v>45</v>
      </c>
      <c r="F482" s="456">
        <v>1.51</v>
      </c>
      <c r="G482" s="456" t="s">
        <v>45</v>
      </c>
      <c r="H482" s="456">
        <v>2</v>
      </c>
      <c r="I482" s="456" t="s">
        <v>46</v>
      </c>
      <c r="J482" s="456">
        <f>ROUND(B482*D482*F482*H482,2)</f>
        <v>1.1599999999999999</v>
      </c>
      <c r="K482" s="421"/>
    </row>
    <row r="483" spans="1:11" s="140" customFormat="1" ht="17.25" customHeight="1" x14ac:dyDescent="0.2">
      <c r="A483" s="1774" t="s">
        <v>1684</v>
      </c>
      <c r="B483" s="456">
        <v>1.28</v>
      </c>
      <c r="C483" s="456" t="s">
        <v>45</v>
      </c>
      <c r="D483" s="456">
        <v>0.15</v>
      </c>
      <c r="E483" s="456" t="s">
        <v>45</v>
      </c>
      <c r="F483" s="456">
        <v>0.3</v>
      </c>
      <c r="G483" s="456" t="s">
        <v>45</v>
      </c>
      <c r="H483" s="456">
        <v>2</v>
      </c>
      <c r="I483" s="456" t="s">
        <v>46</v>
      </c>
      <c r="J483" s="456">
        <f>ROUND(B483*D483*F483*H483,2)</f>
        <v>0.12</v>
      </c>
      <c r="K483" s="421"/>
    </row>
    <row r="484" spans="1:11" s="140" customFormat="1" ht="17.25" customHeight="1" x14ac:dyDescent="0.2">
      <c r="A484" s="1776"/>
      <c r="B484" s="456">
        <v>2.5</v>
      </c>
      <c r="C484" s="456" t="s">
        <v>45</v>
      </c>
      <c r="D484" s="456">
        <v>0.15</v>
      </c>
      <c r="E484" s="456" t="s">
        <v>45</v>
      </c>
      <c r="F484" s="456">
        <v>0.3</v>
      </c>
      <c r="G484" s="456" t="s">
        <v>45</v>
      </c>
      <c r="H484" s="456">
        <v>1</v>
      </c>
      <c r="I484" s="456" t="s">
        <v>46</v>
      </c>
      <c r="J484" s="456">
        <f>ROUND(B484*D484*F484*H484,2)</f>
        <v>0.11</v>
      </c>
      <c r="K484" s="421"/>
    </row>
    <row r="485" spans="1:11" s="140" customFormat="1" ht="17.25" customHeight="1" x14ac:dyDescent="0.2">
      <c r="A485" s="162"/>
      <c r="B485" s="21"/>
      <c r="C485" s="21"/>
      <c r="D485" s="21"/>
      <c r="E485" s="21"/>
      <c r="F485" s="21"/>
      <c r="G485" s="21"/>
      <c r="H485" s="21"/>
      <c r="I485" s="21"/>
      <c r="J485" s="21"/>
      <c r="K485" s="421"/>
    </row>
    <row r="486" spans="1:11" s="140" customFormat="1" ht="17.25" customHeight="1" x14ac:dyDescent="0.2">
      <c r="A486" s="162"/>
      <c r="B486" s="1043" t="s">
        <v>47</v>
      </c>
      <c r="C486" s="1097">
        <f>ROUND(SUM(J482:J485),2)</f>
        <v>1.39</v>
      </c>
      <c r="D486" s="787" t="s">
        <v>497</v>
      </c>
      <c r="E486" s="21"/>
      <c r="F486" s="21"/>
      <c r="G486" s="21"/>
      <c r="H486" s="21"/>
      <c r="I486" s="21"/>
      <c r="J486" s="21"/>
      <c r="K486" s="421"/>
    </row>
    <row r="487" spans="1:11" s="140" customFormat="1" ht="17.25" customHeight="1" x14ac:dyDescent="0.2">
      <c r="A487" s="162"/>
      <c r="B487" s="477"/>
      <c r="C487" s="477"/>
      <c r="D487" s="477"/>
      <c r="E487" s="477"/>
      <c r="F487" s="477"/>
      <c r="G487" s="477"/>
      <c r="H487" s="477"/>
      <c r="I487" s="477"/>
      <c r="J487" s="477"/>
      <c r="K487" s="421"/>
    </row>
    <row r="488" spans="1:11" s="139" customFormat="1" ht="27.75" customHeight="1" x14ac:dyDescent="0.2">
      <c r="A488" s="337" t="str">
        <f>ORÇ!A541</f>
        <v>18.3.2.2</v>
      </c>
      <c r="B488" s="1710" t="str">
        <f>ORÇ!D541</f>
        <v>(COMPOSIÇÃO REPRESENTATIVA) EXECUÇÃO DE ESCADA EM CONCRETO ARMADO, MOLDADA IN LOCO, FCK = 25 MPA. AF_02/2017</v>
      </c>
      <c r="C488" s="1710"/>
      <c r="D488" s="1710"/>
      <c r="E488" s="1710"/>
      <c r="F488" s="1710"/>
      <c r="G488" s="1710"/>
      <c r="H488" s="1710"/>
      <c r="I488" s="1710"/>
      <c r="J488" s="1710"/>
      <c r="K488" s="1092"/>
    </row>
    <row r="489" spans="1:11" s="140" customFormat="1" x14ac:dyDescent="0.2">
      <c r="A489" s="162"/>
      <c r="B489" s="477"/>
      <c r="C489" s="477"/>
      <c r="D489" s="477"/>
      <c r="E489" s="477"/>
      <c r="F489" s="477"/>
      <c r="G489" s="477"/>
      <c r="H489" s="477"/>
      <c r="I489" s="477"/>
      <c r="J489" s="477"/>
      <c r="K489" s="421"/>
    </row>
    <row r="490" spans="1:11" s="140" customFormat="1" ht="21.75" customHeight="1" x14ac:dyDescent="0.2">
      <c r="A490" s="162"/>
      <c r="B490" s="1094" t="s">
        <v>216</v>
      </c>
      <c r="C490" s="1094"/>
      <c r="D490" s="1094" t="s">
        <v>405</v>
      </c>
      <c r="E490" s="1094"/>
      <c r="F490" s="1094" t="s">
        <v>311</v>
      </c>
      <c r="G490" s="1094"/>
      <c r="H490" s="1094" t="s">
        <v>469</v>
      </c>
      <c r="I490" s="1094"/>
      <c r="J490" s="1094" t="s">
        <v>312</v>
      </c>
      <c r="K490" s="421"/>
    </row>
    <row r="491" spans="1:11" s="140" customFormat="1" ht="26.25" customHeight="1" x14ac:dyDescent="0.2">
      <c r="A491" s="751" t="s">
        <v>2091</v>
      </c>
      <c r="B491" s="456">
        <v>1.28</v>
      </c>
      <c r="C491" s="456" t="s">
        <v>45</v>
      </c>
      <c r="D491" s="456">
        <v>0.6</v>
      </c>
      <c r="E491" s="456" t="s">
        <v>45</v>
      </c>
      <c r="F491" s="456">
        <v>0.17</v>
      </c>
      <c r="G491" s="456" t="s">
        <v>45</v>
      </c>
      <c r="H491" s="456">
        <v>2</v>
      </c>
      <c r="I491" s="456" t="s">
        <v>46</v>
      </c>
      <c r="J491" s="456">
        <f>ROUND(B491*D491*F491*H491,2)</f>
        <v>0.26</v>
      </c>
      <c r="K491" s="421"/>
    </row>
    <row r="492" spans="1:11" s="140" customFormat="1" ht="26.25" customHeight="1" x14ac:dyDescent="0.2">
      <c r="A492" s="751" t="s">
        <v>2092</v>
      </c>
      <c r="B492" s="456">
        <v>1.28</v>
      </c>
      <c r="C492" s="456" t="s">
        <v>45</v>
      </c>
      <c r="D492" s="456">
        <v>0.3</v>
      </c>
      <c r="E492" s="456" t="s">
        <v>45</v>
      </c>
      <c r="F492" s="456">
        <v>0.17</v>
      </c>
      <c r="G492" s="456" t="s">
        <v>45</v>
      </c>
      <c r="H492" s="456">
        <v>2</v>
      </c>
      <c r="I492" s="456" t="s">
        <v>46</v>
      </c>
      <c r="J492" s="456">
        <f>ROUND(B492*D492*F492*H492,2)</f>
        <v>0.13</v>
      </c>
      <c r="K492" s="421"/>
    </row>
    <row r="493" spans="1:11" s="140" customFormat="1" ht="17.25" customHeight="1" x14ac:dyDescent="0.2">
      <c r="A493" s="162"/>
      <c r="B493" s="21"/>
      <c r="C493" s="21"/>
      <c r="D493" s="21"/>
      <c r="E493" s="21"/>
      <c r="F493" s="21"/>
      <c r="G493" s="21"/>
      <c r="H493" s="21"/>
      <c r="I493" s="21"/>
      <c r="J493" s="21"/>
      <c r="K493" s="421"/>
    </row>
    <row r="494" spans="1:11" s="140" customFormat="1" ht="17.25" customHeight="1" x14ac:dyDescent="0.2">
      <c r="A494" s="162"/>
      <c r="B494" s="1043" t="s">
        <v>47</v>
      </c>
      <c r="C494" s="1097">
        <f>ROUND(SUM(J491:J493),2)</f>
        <v>0.39</v>
      </c>
      <c r="D494" s="787" t="s">
        <v>497</v>
      </c>
      <c r="E494" s="21"/>
      <c r="F494" s="21"/>
      <c r="G494" s="21"/>
      <c r="H494" s="21"/>
      <c r="I494" s="21"/>
      <c r="J494" s="21"/>
      <c r="K494" s="421"/>
    </row>
    <row r="495" spans="1:11" s="140" customFormat="1" x14ac:dyDescent="0.2">
      <c r="A495" s="162"/>
      <c r="B495" s="477"/>
      <c r="C495" s="477"/>
      <c r="D495" s="477"/>
      <c r="E495" s="477"/>
      <c r="F495" s="477"/>
      <c r="G495" s="477"/>
      <c r="H495" s="477"/>
      <c r="I495" s="477"/>
      <c r="J495" s="477"/>
      <c r="K495" s="421"/>
    </row>
    <row r="496" spans="1:11" s="139" customFormat="1" ht="17.25" customHeight="1" x14ac:dyDescent="0.2">
      <c r="A496" s="337" t="str">
        <f>ORÇ!A542</f>
        <v>18.3.2.3</v>
      </c>
      <c r="B496" s="1710" t="str">
        <f>ORÇ!D542</f>
        <v>LAJE PRÉ-MOLDADA TRELIÇADA (INCL. CAPIAMENTO)</v>
      </c>
      <c r="C496" s="1710"/>
      <c r="D496" s="1710"/>
      <c r="E496" s="1710"/>
      <c r="F496" s="1710"/>
      <c r="G496" s="1710"/>
      <c r="H496" s="1710"/>
      <c r="I496" s="1710"/>
      <c r="J496" s="1710"/>
      <c r="K496" s="1092"/>
    </row>
    <row r="497" spans="1:11" s="140" customFormat="1" x14ac:dyDescent="0.2">
      <c r="A497" s="162"/>
      <c r="B497" s="477"/>
      <c r="C497" s="477"/>
      <c r="D497" s="477"/>
      <c r="E497" s="477"/>
      <c r="F497" s="477"/>
      <c r="G497" s="477"/>
      <c r="H497" s="477"/>
      <c r="I497" s="477"/>
      <c r="J497" s="477"/>
      <c r="K497" s="421"/>
    </row>
    <row r="498" spans="1:11" s="140" customFormat="1" ht="20.25" customHeight="1" x14ac:dyDescent="0.2">
      <c r="B498" s="162"/>
      <c r="C498" s="1094" t="s">
        <v>216</v>
      </c>
      <c r="D498" s="1094"/>
      <c r="E498" s="1094" t="s">
        <v>405</v>
      </c>
      <c r="F498" s="1094"/>
      <c r="G498" s="1094" t="s">
        <v>213</v>
      </c>
      <c r="K498" s="421"/>
    </row>
    <row r="499" spans="1:11" s="140" customFormat="1" ht="29.25" customHeight="1" x14ac:dyDescent="0.2">
      <c r="B499" s="751" t="s">
        <v>1981</v>
      </c>
      <c r="C499" s="456">
        <v>2.5</v>
      </c>
      <c r="D499" s="456" t="s">
        <v>45</v>
      </c>
      <c r="E499" s="456">
        <v>1.28</v>
      </c>
      <c r="F499" s="456" t="s">
        <v>46</v>
      </c>
      <c r="G499" s="456">
        <f>ROUND(C499*E499,2)</f>
        <v>3.2</v>
      </c>
      <c r="K499" s="421"/>
    </row>
    <row r="500" spans="1:11" s="140" customFormat="1" ht="17.25" customHeight="1" x14ac:dyDescent="0.2">
      <c r="A500" s="162"/>
      <c r="B500" s="21"/>
      <c r="C500" s="21"/>
      <c r="D500" s="21"/>
      <c r="E500" s="21"/>
      <c r="F500" s="21"/>
      <c r="G500" s="21"/>
      <c r="H500" s="21"/>
      <c r="I500" s="21"/>
      <c r="J500" s="21"/>
      <c r="K500" s="421"/>
    </row>
    <row r="501" spans="1:11" s="140" customFormat="1" ht="17.25" customHeight="1" x14ac:dyDescent="0.2">
      <c r="A501" s="162"/>
      <c r="B501" s="1043" t="s">
        <v>47</v>
      </c>
      <c r="C501" s="1097">
        <f>ROUND(SUM(G499:G500),2)</f>
        <v>3.2</v>
      </c>
      <c r="D501" s="787" t="s">
        <v>4</v>
      </c>
      <c r="E501" s="21"/>
      <c r="F501" s="21"/>
      <c r="G501" s="21"/>
      <c r="H501" s="21"/>
      <c r="I501" s="21"/>
      <c r="J501" s="21"/>
      <c r="K501" s="421"/>
    </row>
    <row r="502" spans="1:11" s="140" customFormat="1" x14ac:dyDescent="0.2">
      <c r="A502" s="162"/>
      <c r="B502" s="477"/>
      <c r="C502" s="477"/>
      <c r="D502" s="477"/>
      <c r="E502" s="477"/>
      <c r="F502" s="477"/>
      <c r="G502" s="477"/>
      <c r="H502" s="477"/>
      <c r="I502" s="477"/>
      <c r="J502" s="477"/>
      <c r="K502" s="421"/>
    </row>
    <row r="503" spans="1:11" s="139" customFormat="1" ht="17.25" customHeight="1" x14ac:dyDescent="0.2">
      <c r="A503" s="337" t="str">
        <f>ORÇ!A543</f>
        <v>18.3.2.4</v>
      </c>
      <c r="B503" s="1710" t="str">
        <f>ORÇ!D543</f>
        <v>ARMAÇÃO DE BLOCO, VIGA BALDRAME OU SAPATA UTILIZANDO AÇO CA-50 DE 6,3 MM - MONTAGEM. AF_06/2017</v>
      </c>
      <c r="C503" s="1710"/>
      <c r="D503" s="1710"/>
      <c r="E503" s="1710"/>
      <c r="F503" s="1710"/>
      <c r="G503" s="1710"/>
      <c r="H503" s="1710"/>
      <c r="I503" s="1710"/>
      <c r="J503" s="1710"/>
      <c r="K503" s="1092"/>
    </row>
    <row r="504" spans="1:11" s="140" customFormat="1" x14ac:dyDescent="0.2">
      <c r="A504" s="162"/>
      <c r="B504" s="477"/>
      <c r="C504" s="477"/>
      <c r="D504" s="477"/>
      <c r="E504" s="477"/>
      <c r="F504" s="477"/>
      <c r="G504" s="477"/>
      <c r="H504" s="477"/>
      <c r="I504" s="477"/>
      <c r="J504" s="477"/>
      <c r="K504" s="421"/>
    </row>
    <row r="505" spans="1:11" s="140" customFormat="1" ht="29.25" customHeight="1" x14ac:dyDescent="0.2">
      <c r="B505" s="162"/>
      <c r="C505" s="1094" t="s">
        <v>216</v>
      </c>
      <c r="D505" s="1094"/>
      <c r="E505" s="1094" t="s">
        <v>2094</v>
      </c>
      <c r="F505" s="1094"/>
      <c r="G505" s="1094" t="s">
        <v>469</v>
      </c>
      <c r="H505" s="1094"/>
      <c r="I505" s="1094" t="s">
        <v>2095</v>
      </c>
      <c r="K505" s="421"/>
    </row>
    <row r="506" spans="1:11" s="140" customFormat="1" ht="19.5" customHeight="1" x14ac:dyDescent="0.2">
      <c r="B506" s="1780" t="s">
        <v>2098</v>
      </c>
      <c r="C506" s="456">
        <v>1.1000000000000001</v>
      </c>
      <c r="D506" s="456" t="s">
        <v>45</v>
      </c>
      <c r="E506" s="1116">
        <v>0.245</v>
      </c>
      <c r="F506" s="456" t="s">
        <v>45</v>
      </c>
      <c r="G506" s="456">
        <v>4</v>
      </c>
      <c r="H506" s="456" t="s">
        <v>46</v>
      </c>
      <c r="I506" s="456">
        <f>ROUND(C506*E506*G506,2)</f>
        <v>1.08</v>
      </c>
      <c r="K506" s="421"/>
    </row>
    <row r="507" spans="1:11" s="140" customFormat="1" ht="19.5" customHeight="1" x14ac:dyDescent="0.2">
      <c r="B507" s="1781"/>
      <c r="C507" s="456">
        <v>1.5</v>
      </c>
      <c r="D507" s="456" t="s">
        <v>45</v>
      </c>
      <c r="E507" s="1116">
        <v>0.245</v>
      </c>
      <c r="F507" s="456" t="s">
        <v>45</v>
      </c>
      <c r="G507" s="456">
        <v>4</v>
      </c>
      <c r="H507" s="456" t="s">
        <v>46</v>
      </c>
      <c r="I507" s="456">
        <f t="shared" ref="I507:I508" si="30">ROUND(C507*E507*G507,2)</f>
        <v>1.47</v>
      </c>
      <c r="K507" s="421"/>
    </row>
    <row r="508" spans="1:11" s="140" customFormat="1" ht="17.25" customHeight="1" x14ac:dyDescent="0.2">
      <c r="B508" s="1057" t="s">
        <v>2097</v>
      </c>
      <c r="C508" s="456">
        <v>0.5</v>
      </c>
      <c r="D508" s="456" t="s">
        <v>45</v>
      </c>
      <c r="E508" s="1116">
        <v>0.245</v>
      </c>
      <c r="F508" s="456" t="s">
        <v>45</v>
      </c>
      <c r="G508" s="456">
        <v>4</v>
      </c>
      <c r="H508" s="456" t="s">
        <v>46</v>
      </c>
      <c r="I508" s="456">
        <f t="shared" si="30"/>
        <v>0.49</v>
      </c>
      <c r="K508" s="421"/>
    </row>
    <row r="509" spans="1:11" s="140" customFormat="1" ht="17.25" customHeight="1" x14ac:dyDescent="0.2">
      <c r="A509" s="162"/>
      <c r="B509" s="21"/>
      <c r="C509" s="21"/>
      <c r="D509" s="21"/>
      <c r="E509" s="21"/>
      <c r="F509" s="21"/>
      <c r="G509" s="21"/>
      <c r="H509" s="21"/>
      <c r="I509" s="21"/>
      <c r="J509" s="21"/>
      <c r="K509" s="421"/>
    </row>
    <row r="510" spans="1:11" s="140" customFormat="1" ht="17.25" customHeight="1" x14ac:dyDescent="0.2">
      <c r="A510" s="162"/>
      <c r="B510" s="1043" t="s">
        <v>47</v>
      </c>
      <c r="C510" s="1097">
        <f>ROUND(SUM(I506:I509),2)</f>
        <v>3.04</v>
      </c>
      <c r="D510" s="787" t="s">
        <v>2096</v>
      </c>
      <c r="E510" s="21"/>
      <c r="F510" s="21"/>
      <c r="G510" s="21"/>
      <c r="H510" s="21"/>
      <c r="I510" s="21"/>
      <c r="J510" s="21"/>
      <c r="K510" s="421"/>
    </row>
    <row r="511" spans="1:11" s="140" customFormat="1" x14ac:dyDescent="0.2">
      <c r="A511" s="162"/>
      <c r="B511" s="477"/>
      <c r="C511" s="477"/>
      <c r="D511" s="477"/>
      <c r="E511" s="477"/>
      <c r="F511" s="477"/>
      <c r="G511" s="477"/>
      <c r="H511" s="477"/>
      <c r="I511" s="477"/>
      <c r="J511" s="477"/>
      <c r="K511" s="421"/>
    </row>
    <row r="512" spans="1:11" s="139" customFormat="1" ht="17.25" customHeight="1" x14ac:dyDescent="0.2">
      <c r="A512" s="337" t="str">
        <f>ORÇ!A544</f>
        <v>18.3.3</v>
      </c>
      <c r="B512" s="1710" t="str">
        <f>ORÇ!D544</f>
        <v>Piso</v>
      </c>
      <c r="C512" s="1710"/>
      <c r="D512" s="1710"/>
      <c r="E512" s="1710"/>
      <c r="F512" s="1710"/>
      <c r="G512" s="1710"/>
      <c r="H512" s="1710"/>
      <c r="I512" s="1710"/>
      <c r="J512" s="1710"/>
      <c r="K512" s="1092"/>
    </row>
    <row r="513" spans="1:11" s="139" customFormat="1" ht="17.25" customHeight="1" x14ac:dyDescent="0.2">
      <c r="A513" s="337" t="str">
        <f>ORÇ!A545</f>
        <v>18.3.3.1</v>
      </c>
      <c r="B513" s="1710" t="str">
        <f>ORÇ!D545</f>
        <v>COMPACTAÇÃO MECÂNICA DE SOLO PARA EXECUÇÃO DE RADIER, PISO DE CONCRETO OU LAJE SOBRE SOLO, COM COMPACTADOR DE SOLOS TIPO PLACA VIBRATÓRIA. AF_09/2021</v>
      </c>
      <c r="C513" s="1710"/>
      <c r="D513" s="1710"/>
      <c r="E513" s="1710"/>
      <c r="F513" s="1710"/>
      <c r="G513" s="1710"/>
      <c r="H513" s="1710"/>
      <c r="I513" s="1710"/>
      <c r="J513" s="1710"/>
      <c r="K513" s="1092"/>
    </row>
    <row r="514" spans="1:11" s="140" customFormat="1" x14ac:dyDescent="0.2">
      <c r="A514" s="162"/>
      <c r="B514" s="477"/>
      <c r="C514" s="477"/>
      <c r="D514" s="477"/>
      <c r="E514" s="477"/>
      <c r="F514" s="477"/>
      <c r="G514" s="477"/>
      <c r="H514" s="477"/>
      <c r="I514" s="477"/>
      <c r="J514" s="477"/>
      <c r="K514" s="421"/>
    </row>
    <row r="515" spans="1:11" s="140" customFormat="1" ht="20.25" customHeight="1" x14ac:dyDescent="0.2">
      <c r="B515" s="162"/>
      <c r="C515" s="1094" t="s">
        <v>216</v>
      </c>
      <c r="D515" s="1094"/>
      <c r="E515" s="1094" t="s">
        <v>405</v>
      </c>
      <c r="F515" s="1094"/>
      <c r="G515" s="1094" t="s">
        <v>213</v>
      </c>
      <c r="K515" s="421"/>
    </row>
    <row r="516" spans="1:11" s="140" customFormat="1" ht="29.25" customHeight="1" x14ac:dyDescent="0.2">
      <c r="B516" s="751" t="s">
        <v>2026</v>
      </c>
      <c r="C516" s="456">
        <v>2.2000000000000002</v>
      </c>
      <c r="D516" s="456" t="s">
        <v>45</v>
      </c>
      <c r="E516" s="456">
        <v>1.28</v>
      </c>
      <c r="F516" s="456" t="s">
        <v>46</v>
      </c>
      <c r="G516" s="456">
        <f>ROUND(C516*E516,2)</f>
        <v>2.82</v>
      </c>
      <c r="K516" s="421"/>
    </row>
    <row r="517" spans="1:11" s="140" customFormat="1" ht="17.25" customHeight="1" x14ac:dyDescent="0.2">
      <c r="A517" s="162"/>
      <c r="B517" s="21"/>
      <c r="C517" s="21"/>
      <c r="D517" s="21"/>
      <c r="E517" s="21"/>
      <c r="F517" s="21"/>
      <c r="G517" s="21"/>
      <c r="H517" s="21"/>
      <c r="I517" s="21"/>
      <c r="J517" s="21"/>
      <c r="K517" s="421"/>
    </row>
    <row r="518" spans="1:11" s="140" customFormat="1" ht="17.25" customHeight="1" x14ac:dyDescent="0.2">
      <c r="A518" s="162"/>
      <c r="B518" s="1043" t="s">
        <v>47</v>
      </c>
      <c r="C518" s="1097">
        <f>ROUND(SUM(G516:G517),2)</f>
        <v>2.82</v>
      </c>
      <c r="D518" s="787" t="s">
        <v>4</v>
      </c>
      <c r="E518" s="21"/>
      <c r="F518" s="21"/>
      <c r="G518" s="21"/>
      <c r="H518" s="21"/>
      <c r="I518" s="21"/>
      <c r="J518" s="21"/>
      <c r="K518" s="421"/>
    </row>
    <row r="519" spans="1:11" s="140" customFormat="1" x14ac:dyDescent="0.2">
      <c r="A519" s="162"/>
      <c r="B519" s="477"/>
      <c r="C519" s="477"/>
      <c r="D519" s="477"/>
      <c r="E519" s="477"/>
      <c r="F519" s="477"/>
      <c r="G519" s="477"/>
      <c r="H519" s="477"/>
      <c r="I519" s="477"/>
      <c r="J519" s="477"/>
      <c r="K519" s="421"/>
    </row>
    <row r="520" spans="1:11" s="139" customFormat="1" ht="17.25" customHeight="1" x14ac:dyDescent="0.2">
      <c r="A520" s="337" t="str">
        <f>ORÇ!A546</f>
        <v>18.3.3.2</v>
      </c>
      <c r="B520" s="1710" t="str">
        <f>ORÇ!D546</f>
        <v>LASTRO DE CONCRETO MAGRO, APLICADO EM PISOS, LAJES SOBRE SOLO OU RADIERS, ESPESSURA DE 3 CM. AF_07/2016</v>
      </c>
      <c r="C520" s="1710"/>
      <c r="D520" s="1710"/>
      <c r="E520" s="1710"/>
      <c r="F520" s="1710"/>
      <c r="G520" s="1710"/>
      <c r="H520" s="1710"/>
      <c r="I520" s="1710"/>
      <c r="J520" s="1710"/>
      <c r="K520" s="1092"/>
    </row>
    <row r="521" spans="1:11" s="140" customFormat="1" ht="17.25" customHeight="1" x14ac:dyDescent="0.2">
      <c r="A521" s="162"/>
      <c r="B521" s="21"/>
      <c r="C521" s="21"/>
      <c r="D521" s="21"/>
      <c r="E521" s="21"/>
      <c r="F521" s="21"/>
      <c r="G521" s="21"/>
      <c r="H521" s="21"/>
      <c r="I521" s="21"/>
      <c r="J521" s="21"/>
      <c r="K521" s="421"/>
    </row>
    <row r="522" spans="1:11" s="140" customFormat="1" ht="17.25" customHeight="1" x14ac:dyDescent="0.2">
      <c r="A522" s="162"/>
      <c r="B522" s="140" t="s">
        <v>2099</v>
      </c>
      <c r="K522" s="421"/>
    </row>
    <row r="523" spans="1:11" s="140" customFormat="1" ht="17.25" customHeight="1" x14ac:dyDescent="0.2">
      <c r="A523" s="162"/>
      <c r="B523" s="1043" t="s">
        <v>47</v>
      </c>
      <c r="C523" s="1097">
        <f>C518</f>
        <v>2.82</v>
      </c>
      <c r="D523" s="787" t="s">
        <v>4</v>
      </c>
      <c r="E523" s="21"/>
      <c r="F523" s="21"/>
      <c r="G523" s="21"/>
      <c r="H523" s="21"/>
      <c r="I523" s="21"/>
      <c r="J523" s="21"/>
      <c r="K523" s="421"/>
    </row>
    <row r="524" spans="1:11" s="140" customFormat="1" x14ac:dyDescent="0.2">
      <c r="A524" s="162"/>
      <c r="B524" s="477"/>
      <c r="C524" s="477"/>
      <c r="D524" s="477"/>
      <c r="E524" s="477"/>
      <c r="F524" s="477"/>
      <c r="G524" s="477"/>
      <c r="H524" s="477"/>
      <c r="I524" s="477"/>
      <c r="J524" s="477"/>
      <c r="K524" s="421"/>
    </row>
    <row r="525" spans="1:11" s="139" customFormat="1" ht="27.75" customHeight="1" x14ac:dyDescent="0.2">
      <c r="A525" s="337" t="str">
        <f>ORÇ!A547</f>
        <v>18.3.3.3</v>
      </c>
      <c r="B525" s="1710" t="str">
        <f>ORÇ!D547</f>
        <v>CONTRAPISO EM ARGAMASSA TRAÇO 1:4 (CIMENTO E AREIA), PREPARO MECÂNICO COM BETONEIRA 400 L, APLICADO EM ÁREAS SECAS SOBRE LAJE, ADERIDO, ACABAMENTO NÃO REFORÇADO, ESPESSURA 3CM. AF_07/2021</v>
      </c>
      <c r="C525" s="1710"/>
      <c r="D525" s="1710"/>
      <c r="E525" s="1710"/>
      <c r="F525" s="1710"/>
      <c r="G525" s="1710"/>
      <c r="H525" s="1710"/>
      <c r="I525" s="1710"/>
      <c r="J525" s="1710"/>
      <c r="K525" s="1092"/>
    </row>
    <row r="526" spans="1:11" s="140" customFormat="1" ht="17.25" customHeight="1" x14ac:dyDescent="0.2">
      <c r="A526" s="162"/>
      <c r="B526" s="21"/>
      <c r="C526" s="21"/>
      <c r="D526" s="21"/>
      <c r="E526" s="21"/>
      <c r="F526" s="21"/>
      <c r="G526" s="21"/>
      <c r="H526" s="21"/>
      <c r="I526" s="21"/>
      <c r="J526" s="21"/>
      <c r="K526" s="421"/>
    </row>
    <row r="527" spans="1:11" s="140" customFormat="1" ht="17.25" customHeight="1" x14ac:dyDescent="0.2">
      <c r="A527" s="162"/>
      <c r="B527" s="140" t="s">
        <v>2099</v>
      </c>
      <c r="K527" s="421"/>
    </row>
    <row r="528" spans="1:11" s="140" customFormat="1" ht="17.25" customHeight="1" x14ac:dyDescent="0.2">
      <c r="A528" s="162"/>
      <c r="B528" s="1043" t="s">
        <v>47</v>
      </c>
      <c r="C528" s="1097">
        <f>C523</f>
        <v>2.82</v>
      </c>
      <c r="D528" s="787" t="s">
        <v>4</v>
      </c>
      <c r="E528" s="21"/>
      <c r="F528" s="21"/>
      <c r="G528" s="21"/>
      <c r="H528" s="21"/>
      <c r="I528" s="21"/>
      <c r="J528" s="21"/>
      <c r="K528" s="421"/>
    </row>
    <row r="529" spans="1:11" s="140" customFormat="1" x14ac:dyDescent="0.2">
      <c r="A529" s="162"/>
      <c r="B529" s="477"/>
      <c r="C529" s="477"/>
      <c r="D529" s="477"/>
      <c r="E529" s="477"/>
      <c r="F529" s="477"/>
      <c r="G529" s="477"/>
      <c r="H529" s="477"/>
      <c r="I529" s="477"/>
      <c r="J529" s="477"/>
      <c r="K529" s="421"/>
    </row>
    <row r="530" spans="1:11" s="139" customFormat="1" ht="16.5" customHeight="1" x14ac:dyDescent="0.2">
      <c r="A530" s="337" t="str">
        <f>ORÇ!A548</f>
        <v>18.3.3.4</v>
      </c>
      <c r="B530" s="1710" t="str">
        <f>ORÇ!D548</f>
        <v>PINTURA DE PISO COM TINTA ACRÍLICA, APLICAÇÃO MANUAL, 2 DEMÃOS, INCLUSO FUNDO PREPARADOR. AF_05/2021</v>
      </c>
      <c r="C530" s="1710"/>
      <c r="D530" s="1710"/>
      <c r="E530" s="1710"/>
      <c r="F530" s="1710"/>
      <c r="G530" s="1710"/>
      <c r="H530" s="1710"/>
      <c r="I530" s="1710"/>
      <c r="J530" s="1710"/>
      <c r="K530" s="1092"/>
    </row>
    <row r="531" spans="1:11" s="140" customFormat="1" ht="17.25" customHeight="1" x14ac:dyDescent="0.2">
      <c r="A531" s="162"/>
      <c r="B531" s="21"/>
      <c r="C531" s="21"/>
      <c r="D531" s="21"/>
      <c r="E531" s="21"/>
      <c r="F531" s="21"/>
      <c r="G531" s="21"/>
      <c r="H531" s="21"/>
      <c r="I531" s="21"/>
      <c r="J531" s="21"/>
      <c r="K531" s="421"/>
    </row>
    <row r="532" spans="1:11" s="140" customFormat="1" ht="17.25" customHeight="1" x14ac:dyDescent="0.2">
      <c r="A532" s="162"/>
      <c r="B532" s="140" t="s">
        <v>2099</v>
      </c>
      <c r="K532" s="421"/>
    </row>
    <row r="533" spans="1:11" s="140" customFormat="1" ht="17.25" customHeight="1" x14ac:dyDescent="0.2">
      <c r="A533" s="162"/>
      <c r="B533" s="1043" t="s">
        <v>47</v>
      </c>
      <c r="C533" s="1097">
        <f>C528</f>
        <v>2.82</v>
      </c>
      <c r="D533" s="787" t="s">
        <v>4</v>
      </c>
      <c r="E533" s="21"/>
      <c r="F533" s="21"/>
      <c r="G533" s="21"/>
      <c r="H533" s="21"/>
      <c r="I533" s="21"/>
      <c r="J533" s="21"/>
      <c r="K533" s="421"/>
    </row>
    <row r="534" spans="1:11" s="140" customFormat="1" x14ac:dyDescent="0.2">
      <c r="A534" s="162"/>
      <c r="B534" s="477"/>
      <c r="C534" s="477"/>
      <c r="D534" s="477"/>
      <c r="E534" s="477"/>
      <c r="F534" s="477"/>
      <c r="G534" s="477"/>
      <c r="H534" s="477"/>
      <c r="I534" s="477"/>
      <c r="J534" s="477"/>
      <c r="K534" s="421"/>
    </row>
    <row r="535" spans="1:11" s="139" customFormat="1" ht="18.75" customHeight="1" x14ac:dyDescent="0.2">
      <c r="A535" s="337" t="str">
        <f>ORÇ!A549</f>
        <v>18.3.3.5</v>
      </c>
      <c r="B535" s="1710" t="str">
        <f>ORÇ!D549</f>
        <v>CAMADA REGULARIZADORA NO TRAÇO 1:4</v>
      </c>
      <c r="C535" s="1710"/>
      <c r="D535" s="1710"/>
      <c r="E535" s="1710"/>
      <c r="F535" s="1710"/>
      <c r="G535" s="1710"/>
      <c r="H535" s="1710"/>
      <c r="I535" s="1710"/>
      <c r="J535" s="1710"/>
      <c r="K535" s="1092"/>
    </row>
    <row r="536" spans="1:11" s="139" customFormat="1" ht="18.75" customHeight="1" x14ac:dyDescent="0.2">
      <c r="A536" s="337"/>
      <c r="B536" s="1088"/>
      <c r="C536" s="1088"/>
      <c r="D536" s="1088"/>
      <c r="E536" s="1088"/>
      <c r="F536" s="1088"/>
      <c r="G536" s="1088"/>
      <c r="H536" s="1088"/>
      <c r="I536" s="1088"/>
      <c r="J536" s="1088"/>
      <c r="K536" s="1092"/>
    </row>
    <row r="537" spans="1:11" s="140" customFormat="1" ht="20.25" customHeight="1" x14ac:dyDescent="0.2">
      <c r="B537" s="162"/>
      <c r="C537" s="1094" t="s">
        <v>216</v>
      </c>
      <c r="D537" s="1094"/>
      <c r="E537" s="1094" t="s">
        <v>405</v>
      </c>
      <c r="F537" s="1094"/>
      <c r="G537" s="1094" t="s">
        <v>213</v>
      </c>
      <c r="K537" s="421"/>
    </row>
    <row r="538" spans="1:11" s="140" customFormat="1" ht="18.75" customHeight="1" x14ac:dyDescent="0.2">
      <c r="B538" s="751" t="s">
        <v>1981</v>
      </c>
      <c r="C538" s="456">
        <v>2.5</v>
      </c>
      <c r="D538" s="456" t="s">
        <v>45</v>
      </c>
      <c r="E538" s="456">
        <v>1.28</v>
      </c>
      <c r="F538" s="456" t="s">
        <v>46</v>
      </c>
      <c r="G538" s="456">
        <f>ROUND(C538*E538,2)</f>
        <v>3.2</v>
      </c>
      <c r="K538" s="421"/>
    </row>
    <row r="539" spans="1:11" s="140" customFormat="1" ht="17.25" customHeight="1" x14ac:dyDescent="0.2">
      <c r="A539" s="162"/>
      <c r="B539" s="21"/>
      <c r="C539" s="21"/>
      <c r="D539" s="21"/>
      <c r="E539" s="21"/>
      <c r="F539" s="21"/>
      <c r="G539" s="21"/>
      <c r="H539" s="21"/>
      <c r="I539" s="21"/>
      <c r="J539" s="21"/>
      <c r="K539" s="421"/>
    </row>
    <row r="540" spans="1:11" s="140" customFormat="1" ht="17.25" customHeight="1" x14ac:dyDescent="0.2">
      <c r="A540" s="162"/>
      <c r="B540" s="1065" t="s">
        <v>47</v>
      </c>
      <c r="C540" s="1098">
        <f>ROUND(SUM(G538:G539),2)</f>
        <v>3.2</v>
      </c>
      <c r="D540" s="1095" t="s">
        <v>4</v>
      </c>
      <c r="E540" s="21"/>
      <c r="F540" s="21"/>
      <c r="G540" s="21"/>
      <c r="H540" s="21"/>
      <c r="I540" s="21"/>
      <c r="J540" s="21"/>
      <c r="K540" s="421"/>
    </row>
    <row r="541" spans="1:11" s="140" customFormat="1" x14ac:dyDescent="0.2">
      <c r="A541" s="162"/>
      <c r="B541" s="477"/>
      <c r="C541" s="477"/>
      <c r="D541" s="477"/>
      <c r="E541" s="477"/>
      <c r="F541" s="477"/>
      <c r="G541" s="477"/>
      <c r="H541" s="477"/>
      <c r="I541" s="477"/>
      <c r="J541" s="477"/>
      <c r="K541" s="421"/>
    </row>
    <row r="542" spans="1:11" s="140" customFormat="1" x14ac:dyDescent="0.2">
      <c r="A542" s="162"/>
      <c r="B542" s="1767" t="s">
        <v>1979</v>
      </c>
      <c r="C542" s="1767"/>
      <c r="D542" s="1767"/>
      <c r="E542" s="1767"/>
      <c r="F542" s="1767"/>
      <c r="G542" s="1767"/>
      <c r="H542" s="477"/>
      <c r="I542" s="477"/>
      <c r="J542" s="477"/>
      <c r="K542" s="421"/>
    </row>
    <row r="543" spans="1:11" s="140" customFormat="1" ht="20.25" customHeight="1" x14ac:dyDescent="0.2">
      <c r="B543" s="162"/>
      <c r="C543" s="1094" t="s">
        <v>216</v>
      </c>
      <c r="D543" s="1094"/>
      <c r="E543" s="1094" t="s">
        <v>405</v>
      </c>
      <c r="F543" s="1094"/>
      <c r="G543" s="1094" t="s">
        <v>213</v>
      </c>
      <c r="K543" s="421"/>
    </row>
    <row r="544" spans="1:11" s="140" customFormat="1" ht="18.75" customHeight="1" x14ac:dyDescent="0.2">
      <c r="B544" s="751" t="s">
        <v>2100</v>
      </c>
      <c r="C544" s="456">
        <v>1</v>
      </c>
      <c r="D544" s="456" t="s">
        <v>45</v>
      </c>
      <c r="E544" s="456">
        <v>0.6</v>
      </c>
      <c r="F544" s="456" t="s">
        <v>46</v>
      </c>
      <c r="G544" s="456">
        <f>ROUND(C544*E544,2)</f>
        <v>0.6</v>
      </c>
      <c r="K544" s="421"/>
    </row>
    <row r="545" spans="1:11" s="140" customFormat="1" ht="17.25" customHeight="1" x14ac:dyDescent="0.2">
      <c r="A545" s="162"/>
      <c r="B545" s="21"/>
      <c r="C545" s="21"/>
      <c r="D545" s="21"/>
      <c r="E545" s="21"/>
      <c r="F545" s="21"/>
      <c r="G545" s="21"/>
      <c r="H545" s="21"/>
      <c r="I545" s="21"/>
      <c r="J545" s="21"/>
      <c r="K545" s="421"/>
    </row>
    <row r="546" spans="1:11" s="140" customFormat="1" ht="17.25" customHeight="1" x14ac:dyDescent="0.2">
      <c r="A546" s="162"/>
      <c r="B546" s="1065" t="s">
        <v>47</v>
      </c>
      <c r="C546" s="1098">
        <f>ROUND(SUM(G544:G545),2)</f>
        <v>0.6</v>
      </c>
      <c r="D546" s="1095" t="s">
        <v>4</v>
      </c>
      <c r="E546" s="21"/>
      <c r="F546" s="21"/>
      <c r="G546" s="21"/>
      <c r="H546" s="21"/>
      <c r="I546" s="21"/>
      <c r="J546" s="21"/>
      <c r="K546" s="421"/>
    </row>
    <row r="547" spans="1:11" s="140" customFormat="1" x14ac:dyDescent="0.2">
      <c r="A547" s="162"/>
      <c r="B547" s="477"/>
      <c r="C547" s="477"/>
      <c r="D547" s="477"/>
      <c r="E547" s="477"/>
      <c r="F547" s="477"/>
      <c r="G547" s="477"/>
      <c r="H547" s="477"/>
      <c r="I547" s="477"/>
      <c r="J547" s="477"/>
      <c r="K547" s="421"/>
    </row>
    <row r="548" spans="1:11" s="140" customFormat="1" x14ac:dyDescent="0.2">
      <c r="A548" s="162"/>
      <c r="B548" s="477"/>
      <c r="C548" s="477"/>
      <c r="D548" s="477"/>
      <c r="E548" s="477"/>
      <c r="F548" s="477"/>
      <c r="G548" s="477"/>
      <c r="H548" s="477"/>
      <c r="I548" s="477"/>
      <c r="J548" s="477"/>
      <c r="K548" s="421"/>
    </row>
    <row r="549" spans="1:11" s="140" customFormat="1" ht="28.5" customHeight="1" x14ac:dyDescent="0.2">
      <c r="A549" s="162"/>
      <c r="B549" s="751" t="s">
        <v>1436</v>
      </c>
      <c r="C549" s="751"/>
      <c r="D549" s="751" t="s">
        <v>2101</v>
      </c>
      <c r="E549" s="751"/>
      <c r="F549" s="1117" t="s">
        <v>213</v>
      </c>
      <c r="G549" s="477"/>
      <c r="H549" s="477"/>
      <c r="I549" s="477"/>
      <c r="J549" s="477"/>
      <c r="K549" s="421"/>
    </row>
    <row r="550" spans="1:11" s="140" customFormat="1" ht="28.5" customHeight="1" x14ac:dyDescent="0.2">
      <c r="A550" s="162"/>
      <c r="B550" s="751">
        <f>C540</f>
        <v>3.2</v>
      </c>
      <c r="C550" s="751" t="s">
        <v>215</v>
      </c>
      <c r="D550" s="751">
        <f>C546</f>
        <v>0.6</v>
      </c>
      <c r="E550" s="751" t="s">
        <v>46</v>
      </c>
      <c r="F550" s="1117">
        <f>ROUND(B550-D550,2)</f>
        <v>2.6</v>
      </c>
      <c r="G550" s="477"/>
      <c r="H550" s="477"/>
      <c r="I550" s="477"/>
      <c r="J550" s="477"/>
      <c r="K550" s="421"/>
    </row>
    <row r="551" spans="1:11" s="140" customFormat="1" x14ac:dyDescent="0.2">
      <c r="A551" s="162"/>
      <c r="B551" s="477"/>
      <c r="C551" s="477"/>
      <c r="D551" s="477"/>
      <c r="E551" s="477"/>
      <c r="F551" s="477"/>
      <c r="G551" s="477"/>
      <c r="H551" s="477"/>
      <c r="I551" s="477"/>
      <c r="J551" s="477"/>
      <c r="K551" s="421"/>
    </row>
    <row r="552" spans="1:11" s="139" customFormat="1" ht="27.75" customHeight="1" x14ac:dyDescent="0.2">
      <c r="A552" s="337" t="str">
        <f>ORÇ!A550</f>
        <v>18.3.4</v>
      </c>
      <c r="B552" s="1710" t="str">
        <f>ORÇ!D550</f>
        <v>Edificação, Revestimento e Pintura</v>
      </c>
      <c r="C552" s="1710"/>
      <c r="D552" s="1710"/>
      <c r="E552" s="1710"/>
      <c r="F552" s="1710"/>
      <c r="G552" s="1710"/>
      <c r="H552" s="1710"/>
      <c r="I552" s="1710"/>
      <c r="J552" s="1710"/>
      <c r="K552" s="1092"/>
    </row>
    <row r="553" spans="1:11" s="139" customFormat="1" ht="27.75" customHeight="1" x14ac:dyDescent="0.2">
      <c r="A553" s="337" t="str">
        <f>ORÇ!A551</f>
        <v>18.3.4.1</v>
      </c>
      <c r="B553" s="1710" t="str">
        <f>ORÇ!D551</f>
        <v>ALVENARIA DE VEDAÇÃO DE BLOCOS CERÂMICOS FURADOS NA HORIZONTAL DE 9X19X29 CM (ESPESSURA 9 CM) E ARGAMASSA DE ASSENTAMENTO COM PREPARO MANUAL. AF_12/2021</v>
      </c>
      <c r="C553" s="1710"/>
      <c r="D553" s="1710"/>
      <c r="E553" s="1710"/>
      <c r="F553" s="1710"/>
      <c r="G553" s="1710"/>
      <c r="H553" s="1710"/>
      <c r="I553" s="1710"/>
      <c r="J553" s="1710"/>
      <c r="K553" s="1092"/>
    </row>
    <row r="554" spans="1:11" s="139" customFormat="1" x14ac:dyDescent="0.2">
      <c r="A554" s="337"/>
      <c r="B554" s="1088"/>
      <c r="C554" s="1088"/>
      <c r="D554" s="1088"/>
      <c r="E554" s="1088"/>
      <c r="F554" s="1088"/>
      <c r="G554" s="1088"/>
      <c r="H554" s="1088"/>
      <c r="I554" s="1088"/>
      <c r="J554" s="1088"/>
      <c r="K554" s="1092"/>
    </row>
    <row r="555" spans="1:11" s="140" customFormat="1" ht="20.25" customHeight="1" x14ac:dyDescent="0.2">
      <c r="B555" s="162"/>
      <c r="C555" s="1094" t="s">
        <v>216</v>
      </c>
      <c r="D555" s="1094"/>
      <c r="E555" s="1094" t="s">
        <v>311</v>
      </c>
      <c r="F555" s="1094"/>
      <c r="G555" s="1094" t="s">
        <v>469</v>
      </c>
      <c r="H555" s="1094"/>
      <c r="I555" s="1094" t="s">
        <v>213</v>
      </c>
      <c r="K555" s="421"/>
    </row>
    <row r="556" spans="1:11" s="140" customFormat="1" ht="29.25" customHeight="1" x14ac:dyDescent="0.2">
      <c r="B556" s="1090" t="s">
        <v>2026</v>
      </c>
      <c r="C556" s="456">
        <v>1.03</v>
      </c>
      <c r="D556" s="456" t="s">
        <v>45</v>
      </c>
      <c r="E556" s="456">
        <v>1.02</v>
      </c>
      <c r="F556" s="456" t="s">
        <v>45</v>
      </c>
      <c r="G556" s="456">
        <v>2</v>
      </c>
      <c r="H556" s="456" t="s">
        <v>46</v>
      </c>
      <c r="I556" s="456">
        <f>ROUND(C556*E556*G556,2)</f>
        <v>2.1</v>
      </c>
      <c r="K556" s="421"/>
    </row>
    <row r="557" spans="1:11" s="140" customFormat="1" ht="17.25" customHeight="1" x14ac:dyDescent="0.2">
      <c r="A557" s="162"/>
      <c r="B557" s="21"/>
      <c r="C557" s="21"/>
      <c r="D557" s="21"/>
      <c r="E557" s="21"/>
      <c r="F557" s="21"/>
      <c r="G557" s="21"/>
      <c r="H557" s="21"/>
      <c r="I557" s="21"/>
      <c r="J557" s="21"/>
      <c r="K557" s="421"/>
    </row>
    <row r="558" spans="1:11" s="140" customFormat="1" ht="17.25" customHeight="1" x14ac:dyDescent="0.2">
      <c r="A558" s="162"/>
      <c r="B558" s="1043" t="s">
        <v>47</v>
      </c>
      <c r="C558" s="1097">
        <f>ROUND(SUM(I556:I557),2)</f>
        <v>2.1</v>
      </c>
      <c r="D558" s="787" t="s">
        <v>4</v>
      </c>
      <c r="E558" s="21"/>
      <c r="F558" s="21"/>
      <c r="G558" s="21"/>
      <c r="H558" s="21"/>
      <c r="I558" s="21"/>
      <c r="J558" s="21"/>
      <c r="K558" s="421"/>
    </row>
    <row r="559" spans="1:11" s="140" customFormat="1" x14ac:dyDescent="0.2">
      <c r="A559" s="162"/>
      <c r="B559" s="477"/>
      <c r="C559" s="477"/>
      <c r="D559" s="477"/>
      <c r="E559" s="477"/>
      <c r="F559" s="477"/>
      <c r="G559" s="477"/>
      <c r="H559" s="477"/>
      <c r="I559" s="477"/>
      <c r="J559" s="477"/>
      <c r="K559" s="421"/>
    </row>
    <row r="560" spans="1:11" s="139" customFormat="1" ht="27.75" customHeight="1" x14ac:dyDescent="0.2">
      <c r="A560" s="337" t="str">
        <f>ORÇ!A552</f>
        <v>18.3.4.2</v>
      </c>
      <c r="B560" s="1710" t="str">
        <f>ORÇ!D552</f>
        <v>CHAPISCO APLICADO EM ALVENARIA (SEM PRESENÇA DE VÃOS) E ESTRUTURAS DE CONCRETO DE FACHADA, COM COLHER DE PEDREIRO.  ARGAMASSA TRAÇO 1:3 COM PREPARO EM BETONEIRA 400L. AF_06/2014</v>
      </c>
      <c r="C560" s="1710"/>
      <c r="D560" s="1710"/>
      <c r="E560" s="1710"/>
      <c r="F560" s="1710"/>
      <c r="G560" s="1710"/>
      <c r="H560" s="1710"/>
      <c r="I560" s="1710"/>
      <c r="J560" s="1710"/>
      <c r="K560" s="1092"/>
    </row>
    <row r="561" spans="1:11" s="139" customFormat="1" x14ac:dyDescent="0.2">
      <c r="A561" s="337"/>
      <c r="B561" s="1088"/>
      <c r="C561" s="1088"/>
      <c r="D561" s="1088"/>
      <c r="E561" s="1088"/>
      <c r="F561" s="1088"/>
      <c r="G561" s="1088"/>
      <c r="H561" s="1088"/>
      <c r="I561" s="1088"/>
      <c r="J561" s="1088"/>
      <c r="K561" s="1092"/>
    </row>
    <row r="562" spans="1:11" s="140" customFormat="1" ht="17.25" customHeight="1" x14ac:dyDescent="0.2">
      <c r="B562" s="162"/>
      <c r="C562" s="1094" t="s">
        <v>531</v>
      </c>
      <c r="D562" s="1094"/>
      <c r="E562" s="1094" t="s">
        <v>2102</v>
      </c>
      <c r="F562" s="1094"/>
      <c r="G562" s="1094" t="s">
        <v>213</v>
      </c>
      <c r="K562" s="421"/>
    </row>
    <row r="563" spans="1:11" s="140" customFormat="1" ht="28.5" customHeight="1" x14ac:dyDescent="0.2">
      <c r="B563" s="1090" t="s">
        <v>2026</v>
      </c>
      <c r="C563" s="456">
        <f>C558</f>
        <v>2.1</v>
      </c>
      <c r="D563" s="456" t="s">
        <v>45</v>
      </c>
      <c r="E563" s="456">
        <v>2</v>
      </c>
      <c r="F563" s="456" t="s">
        <v>46</v>
      </c>
      <c r="G563" s="456">
        <f>ROUND(C563*E563,2)</f>
        <v>4.2</v>
      </c>
      <c r="K563" s="421"/>
    </row>
    <row r="564" spans="1:11" s="140" customFormat="1" ht="17.25" customHeight="1" x14ac:dyDescent="0.2">
      <c r="A564" s="162"/>
      <c r="B564" s="21"/>
      <c r="C564" s="21"/>
      <c r="D564" s="21"/>
      <c r="E564" s="21"/>
      <c r="F564" s="21"/>
      <c r="G564" s="21"/>
      <c r="H564" s="21"/>
      <c r="I564" s="21"/>
      <c r="J564" s="21"/>
      <c r="K564" s="421"/>
    </row>
    <row r="565" spans="1:11" s="140" customFormat="1" ht="17.25" customHeight="1" x14ac:dyDescent="0.2">
      <c r="A565" s="162"/>
      <c r="B565" s="1043" t="s">
        <v>47</v>
      </c>
      <c r="C565" s="1097">
        <f>ROUND(SUM(G563:G564),2)</f>
        <v>4.2</v>
      </c>
      <c r="D565" s="787" t="s">
        <v>4</v>
      </c>
      <c r="E565" s="21"/>
      <c r="F565" s="21"/>
      <c r="G565" s="21"/>
      <c r="H565" s="21"/>
      <c r="I565" s="21"/>
      <c r="J565" s="21"/>
      <c r="K565" s="421"/>
    </row>
    <row r="566" spans="1:11" s="140" customFormat="1" ht="16.5" customHeight="1" x14ac:dyDescent="0.2">
      <c r="A566" s="162"/>
      <c r="B566" s="477"/>
      <c r="C566" s="477"/>
      <c r="D566" s="477"/>
      <c r="E566" s="477"/>
      <c r="F566" s="477"/>
      <c r="G566" s="477"/>
      <c r="H566" s="477"/>
      <c r="I566" s="477"/>
      <c r="J566" s="477"/>
      <c r="K566" s="421"/>
    </row>
    <row r="567" spans="1:11" s="139" customFormat="1" ht="45" customHeight="1" x14ac:dyDescent="0.2">
      <c r="A567" s="337" t="str">
        <f>ORÇ!A553</f>
        <v>18.3.4.3</v>
      </c>
      <c r="B567" s="1710" t="str">
        <f>ORÇ!D553</f>
        <v>EMBOÇO, PARA RECEBIMENTO DE CERÂMICA, EM ARGAMASSA TRAÇO 1:2:8, PREPARO MECÂNICO COM BETONEIRA 400L, APLICADO MANUALMENTE EM FACES INTERNAS DE PAREDES, PARA AMBIENTE COM ÁREA MAIOR QUE 10M2, ESPESSURA DE 10MM, COM EXECUÇÃO DE TALISCAS. AF_06/2014</v>
      </c>
      <c r="C567" s="1710"/>
      <c r="D567" s="1710"/>
      <c r="E567" s="1710"/>
      <c r="F567" s="1710"/>
      <c r="G567" s="1710"/>
      <c r="H567" s="1710"/>
      <c r="I567" s="1710"/>
      <c r="J567" s="1710"/>
      <c r="K567" s="1092"/>
    </row>
    <row r="568" spans="1:11" s="140" customFormat="1" ht="17.25" customHeight="1" x14ac:dyDescent="0.2">
      <c r="A568" s="162"/>
      <c r="B568" s="21"/>
      <c r="C568" s="21"/>
      <c r="D568" s="21"/>
      <c r="E568" s="21"/>
      <c r="F568" s="458"/>
      <c r="G568" s="458"/>
      <c r="H568" s="458"/>
      <c r="I568" s="21"/>
      <c r="J568" s="21"/>
      <c r="K568" s="421"/>
    </row>
    <row r="569" spans="1:11" s="140" customFormat="1" ht="17.25" customHeight="1" x14ac:dyDescent="0.2">
      <c r="A569" s="162"/>
      <c r="B569" s="21" t="s">
        <v>1986</v>
      </c>
      <c r="C569" s="21"/>
      <c r="D569" s="21"/>
      <c r="E569" s="21"/>
      <c r="F569" s="458"/>
      <c r="G569" s="458"/>
      <c r="H569" s="458"/>
      <c r="I569" s="21"/>
      <c r="J569" s="21"/>
      <c r="K569" s="421"/>
    </row>
    <row r="570" spans="1:11" s="140" customFormat="1" ht="17.25" customHeight="1" x14ac:dyDescent="0.2">
      <c r="A570" s="162"/>
      <c r="B570" s="1043" t="s">
        <v>47</v>
      </c>
      <c r="C570" s="1097">
        <f>C565</f>
        <v>4.2</v>
      </c>
      <c r="D570" s="787" t="s">
        <v>4</v>
      </c>
      <c r="E570" s="21"/>
      <c r="F570" s="458"/>
      <c r="G570" s="458"/>
      <c r="H570" s="458"/>
      <c r="I570" s="21"/>
      <c r="J570" s="21"/>
      <c r="K570" s="421"/>
    </row>
    <row r="571" spans="1:11" s="140" customFormat="1" ht="18" customHeight="1" x14ac:dyDescent="0.2">
      <c r="A571" s="162"/>
      <c r="B571" s="477"/>
      <c r="C571" s="477"/>
      <c r="D571" s="477"/>
      <c r="E571" s="477"/>
      <c r="F571" s="1118"/>
      <c r="G571" s="1118"/>
      <c r="H571" s="1118"/>
      <c r="I571" s="477"/>
      <c r="J571" s="477"/>
      <c r="K571" s="421"/>
    </row>
    <row r="572" spans="1:11" s="139" customFormat="1" ht="45" customHeight="1" x14ac:dyDescent="0.2">
      <c r="A572" s="337" t="str">
        <f>ORÇ!A554</f>
        <v>18.3.4.4</v>
      </c>
      <c r="B572" s="1710" t="str">
        <f>ORÇ!D554</f>
        <v>REVESTIMENTO CERÂMICO PARA PAREDES INTERNAS COM PLACAS TIPO ESMALTADA PADRÃO POPULAR DE DIMENSÕES 20X20 CM, ARGAMASSA TIPO AC I, APLICADAS EM AMBIENTES DE ÁREA MAIOR QUE 5 M2 NA ALTURA INTEIRA DAS PAREDES. AF_06/2014</v>
      </c>
      <c r="C572" s="1710"/>
      <c r="D572" s="1710"/>
      <c r="E572" s="1710"/>
      <c r="F572" s="1710"/>
      <c r="G572" s="1710"/>
      <c r="H572" s="1710"/>
      <c r="I572" s="1710"/>
      <c r="J572" s="1710"/>
      <c r="K572" s="1092"/>
    </row>
    <row r="573" spans="1:11" s="139" customFormat="1" x14ac:dyDescent="0.2">
      <c r="A573" s="337"/>
      <c r="B573" s="1088"/>
      <c r="C573" s="1088"/>
      <c r="D573" s="1088"/>
      <c r="E573" s="1088"/>
      <c r="F573" s="1088"/>
      <c r="G573" s="1088"/>
      <c r="H573" s="1088"/>
      <c r="I573" s="1088"/>
      <c r="J573" s="1088"/>
      <c r="K573" s="1092"/>
    </row>
    <row r="574" spans="1:11" s="140" customFormat="1" ht="20.25" customHeight="1" x14ac:dyDescent="0.2">
      <c r="B574" s="162"/>
      <c r="C574" s="1094" t="s">
        <v>216</v>
      </c>
      <c r="D574" s="1094"/>
      <c r="E574" s="1094" t="s">
        <v>311</v>
      </c>
      <c r="F574" s="1094"/>
      <c r="G574" s="1094" t="s">
        <v>469</v>
      </c>
      <c r="H574" s="1094"/>
      <c r="I574" s="1094" t="s">
        <v>213</v>
      </c>
      <c r="K574" s="421"/>
    </row>
    <row r="575" spans="1:11" s="140" customFormat="1" ht="29.25" customHeight="1" x14ac:dyDescent="0.2">
      <c r="B575" s="1090" t="s">
        <v>2103</v>
      </c>
      <c r="C575" s="456">
        <v>1.28</v>
      </c>
      <c r="D575" s="456" t="s">
        <v>45</v>
      </c>
      <c r="E575" s="456">
        <v>0.17</v>
      </c>
      <c r="F575" s="456" t="s">
        <v>45</v>
      </c>
      <c r="G575" s="456">
        <v>4</v>
      </c>
      <c r="H575" s="456" t="s">
        <v>46</v>
      </c>
      <c r="I575" s="456">
        <f>ROUND(C575*E575*G575,2)</f>
        <v>0.87</v>
      </c>
      <c r="K575" s="421"/>
    </row>
    <row r="576" spans="1:11" s="140" customFormat="1" ht="17.25" customHeight="1" x14ac:dyDescent="0.2">
      <c r="A576" s="162"/>
      <c r="B576" s="21"/>
      <c r="C576" s="21"/>
      <c r="D576" s="21"/>
      <c r="E576" s="21"/>
      <c r="F576" s="21"/>
      <c r="G576" s="21"/>
      <c r="H576" s="21"/>
      <c r="I576" s="21"/>
      <c r="J576" s="21"/>
      <c r="K576" s="421"/>
    </row>
    <row r="577" spans="1:11" s="140" customFormat="1" ht="17.25" customHeight="1" x14ac:dyDescent="0.2">
      <c r="A577" s="162"/>
      <c r="B577" s="1043" t="s">
        <v>47</v>
      </c>
      <c r="C577" s="1097">
        <f>ROUND(SUM(I575:I576),2)</f>
        <v>0.87</v>
      </c>
      <c r="D577" s="787" t="s">
        <v>4</v>
      </c>
      <c r="E577" s="21"/>
      <c r="F577" s="21"/>
      <c r="G577" s="21"/>
      <c r="H577" s="21"/>
      <c r="I577" s="21"/>
      <c r="J577" s="21"/>
      <c r="K577" s="421"/>
    </row>
    <row r="578" spans="1:11" s="140" customFormat="1" x14ac:dyDescent="0.2">
      <c r="A578" s="162"/>
      <c r="B578" s="477"/>
      <c r="C578" s="477"/>
      <c r="D578" s="477"/>
      <c r="E578" s="477"/>
      <c r="F578" s="477"/>
      <c r="G578" s="477"/>
      <c r="H578" s="477"/>
      <c r="I578" s="477"/>
      <c r="J578" s="477"/>
      <c r="K578" s="421"/>
    </row>
    <row r="579" spans="1:11" s="139" customFormat="1" ht="30.75" customHeight="1" x14ac:dyDescent="0.2">
      <c r="A579" s="337" t="str">
        <f>ORÇ!A555</f>
        <v>18.3.4.5</v>
      </c>
      <c r="B579" s="1710" t="str">
        <f>ORÇ!D555</f>
        <v>REVESTIMENTO CERÂMICO PARA PISO COM PLACAS TIPO ESMALTADA PADRÃO POPULAR DE DIMENSÕES 35X35 CM APLICADA EM AMBIENTES DE ÁREA MAIOR QUE 10 M2. AF_06/2014</v>
      </c>
      <c r="C579" s="1710"/>
      <c r="D579" s="1710"/>
      <c r="E579" s="1710"/>
      <c r="F579" s="1710"/>
      <c r="G579" s="1710"/>
      <c r="H579" s="1710"/>
      <c r="I579" s="1710"/>
      <c r="J579" s="1710"/>
      <c r="K579" s="1092"/>
    </row>
    <row r="580" spans="1:11" s="139" customFormat="1" x14ac:dyDescent="0.2">
      <c r="A580" s="337"/>
      <c r="B580" s="1088"/>
      <c r="C580" s="1088"/>
      <c r="D580" s="1088"/>
      <c r="E580" s="1088"/>
      <c r="F580" s="1088"/>
      <c r="G580" s="1088"/>
      <c r="H580" s="1088"/>
      <c r="I580" s="1088"/>
      <c r="J580" s="1088"/>
      <c r="K580" s="1092"/>
    </row>
    <row r="581" spans="1:11" s="140" customFormat="1" ht="20.25" customHeight="1" x14ac:dyDescent="0.2">
      <c r="B581" s="162"/>
      <c r="C581" s="1094" t="s">
        <v>216</v>
      </c>
      <c r="D581" s="1094"/>
      <c r="E581" s="1094" t="s">
        <v>405</v>
      </c>
      <c r="F581" s="1094"/>
      <c r="G581" s="1094" t="s">
        <v>469</v>
      </c>
      <c r="H581" s="1094"/>
      <c r="I581" s="1094" t="s">
        <v>213</v>
      </c>
      <c r="K581" s="421"/>
    </row>
    <row r="582" spans="1:11" s="140" customFormat="1" ht="29.25" customHeight="1" x14ac:dyDescent="0.2">
      <c r="B582" s="1090" t="s">
        <v>2104</v>
      </c>
      <c r="C582" s="456">
        <v>1.28</v>
      </c>
      <c r="D582" s="456" t="s">
        <v>45</v>
      </c>
      <c r="E582" s="456">
        <v>0.3</v>
      </c>
      <c r="F582" s="456" t="s">
        <v>45</v>
      </c>
      <c r="G582" s="456">
        <v>4</v>
      </c>
      <c r="H582" s="456" t="s">
        <v>46</v>
      </c>
      <c r="I582" s="456">
        <f>ROUND(C582*E582*G582,2)</f>
        <v>1.54</v>
      </c>
      <c r="K582" s="421"/>
    </row>
    <row r="583" spans="1:11" s="140" customFormat="1" ht="29.25" customHeight="1" x14ac:dyDescent="0.2">
      <c r="B583" s="1090" t="s">
        <v>1981</v>
      </c>
      <c r="C583" s="456">
        <v>2.5</v>
      </c>
      <c r="D583" s="456" t="s">
        <v>45</v>
      </c>
      <c r="E583" s="456">
        <v>1.28</v>
      </c>
      <c r="F583" s="456" t="s">
        <v>45</v>
      </c>
      <c r="G583" s="456">
        <v>1</v>
      </c>
      <c r="H583" s="456" t="s">
        <v>46</v>
      </c>
      <c r="I583" s="456">
        <f>ROUND(C583*E583*G583,2)</f>
        <v>3.2</v>
      </c>
      <c r="K583" s="421"/>
    </row>
    <row r="584" spans="1:11" s="140" customFormat="1" ht="17.25" customHeight="1" x14ac:dyDescent="0.2">
      <c r="A584" s="162"/>
      <c r="B584" s="21"/>
      <c r="C584" s="21"/>
      <c r="D584" s="21"/>
      <c r="E584" s="21"/>
      <c r="F584" s="21"/>
      <c r="G584" s="21"/>
      <c r="H584" s="21"/>
      <c r="I584" s="21"/>
      <c r="J584" s="21"/>
      <c r="K584" s="421"/>
    </row>
    <row r="585" spans="1:11" s="140" customFormat="1" ht="17.25" customHeight="1" x14ac:dyDescent="0.2">
      <c r="A585" s="162"/>
      <c r="B585" s="1043" t="s">
        <v>47</v>
      </c>
      <c r="C585" s="1097">
        <f>ROUND(SUM(I582:I584),2)</f>
        <v>4.74</v>
      </c>
      <c r="D585" s="787" t="s">
        <v>4</v>
      </c>
      <c r="E585" s="21"/>
      <c r="F585" s="21"/>
      <c r="G585" s="21"/>
      <c r="H585" s="21"/>
      <c r="I585" s="21"/>
      <c r="J585" s="21"/>
      <c r="K585" s="421"/>
    </row>
    <row r="586" spans="1:11" s="140" customFormat="1" x14ac:dyDescent="0.2">
      <c r="A586" s="162"/>
      <c r="B586" s="477"/>
      <c r="C586" s="477"/>
      <c r="D586" s="477"/>
      <c r="E586" s="477"/>
      <c r="F586" s="477"/>
      <c r="G586" s="477"/>
      <c r="H586" s="477"/>
      <c r="I586" s="477"/>
      <c r="J586" s="477"/>
      <c r="K586" s="421"/>
    </row>
    <row r="587" spans="1:11" s="139" customFormat="1" ht="20.25" customHeight="1" x14ac:dyDescent="0.2">
      <c r="A587" s="337" t="str">
        <f>ORÇ!A556</f>
        <v>18.3.4.6</v>
      </c>
      <c r="B587" s="1710" t="str">
        <f>ORÇ!D556</f>
        <v>APLICAÇÃO E LIXAMENTO DE MASSA LÁTEX EM PAREDES, UMA DEMÃO. AF_06/2014</v>
      </c>
      <c r="C587" s="1710"/>
      <c r="D587" s="1710"/>
      <c r="E587" s="1710"/>
      <c r="F587" s="1710"/>
      <c r="G587" s="1710"/>
      <c r="H587" s="1710"/>
      <c r="I587" s="1710"/>
      <c r="J587" s="1710"/>
      <c r="K587" s="1092"/>
    </row>
    <row r="588" spans="1:11" s="139" customFormat="1" x14ac:dyDescent="0.2">
      <c r="A588" s="337"/>
      <c r="B588" s="1088"/>
      <c r="C588" s="1088"/>
      <c r="D588" s="1088"/>
      <c r="E588" s="1088"/>
      <c r="F588" s="1088"/>
      <c r="G588" s="1088"/>
      <c r="H588" s="1088"/>
      <c r="I588" s="1088"/>
      <c r="J588" s="1088"/>
      <c r="K588" s="1092"/>
    </row>
    <row r="589" spans="1:11" s="140" customFormat="1" ht="20.25" customHeight="1" x14ac:dyDescent="0.2">
      <c r="B589" s="162"/>
      <c r="C589" s="1093" t="s">
        <v>216</v>
      </c>
      <c r="D589" s="1093"/>
      <c r="E589" s="1093" t="s">
        <v>311</v>
      </c>
      <c r="F589" s="1093"/>
      <c r="G589" s="1093" t="s">
        <v>469</v>
      </c>
      <c r="H589" s="1093"/>
      <c r="I589" s="1094" t="s">
        <v>213</v>
      </c>
      <c r="K589" s="421"/>
    </row>
    <row r="590" spans="1:11" s="140" customFormat="1" ht="29.25" customHeight="1" x14ac:dyDescent="0.2">
      <c r="B590" s="1090" t="s">
        <v>2026</v>
      </c>
      <c r="C590" s="493">
        <v>1.28</v>
      </c>
      <c r="D590" s="493" t="s">
        <v>45</v>
      </c>
      <c r="E590" s="493">
        <v>1.2</v>
      </c>
      <c r="F590" s="493" t="s">
        <v>45</v>
      </c>
      <c r="G590" s="493">
        <v>2</v>
      </c>
      <c r="H590" s="493" t="s">
        <v>46</v>
      </c>
      <c r="I590" s="456">
        <f>ROUND(C590*E590*G590,2)</f>
        <v>3.07</v>
      </c>
      <c r="K590" s="421"/>
    </row>
    <row r="591" spans="1:11" s="140" customFormat="1" ht="17.25" customHeight="1" x14ac:dyDescent="0.2">
      <c r="A591" s="162"/>
      <c r="B591" s="21"/>
      <c r="C591" s="21"/>
      <c r="D591" s="21"/>
      <c r="E591" s="21"/>
      <c r="F591" s="21"/>
      <c r="G591" s="21"/>
      <c r="H591" s="21"/>
      <c r="I591" s="21"/>
      <c r="J591" s="21"/>
      <c r="K591" s="421"/>
    </row>
    <row r="592" spans="1:11" s="140" customFormat="1" ht="17.25" customHeight="1" x14ac:dyDescent="0.2">
      <c r="A592" s="162"/>
      <c r="B592" s="1043" t="s">
        <v>47</v>
      </c>
      <c r="C592" s="1097">
        <f>ROUND(SUM(I590:I591),2)</f>
        <v>3.07</v>
      </c>
      <c r="D592" s="787" t="s">
        <v>4</v>
      </c>
      <c r="E592" s="21"/>
      <c r="F592" s="21"/>
      <c r="G592" s="21"/>
      <c r="H592" s="21"/>
      <c r="I592" s="21"/>
      <c r="J592" s="21"/>
      <c r="K592" s="421"/>
    </row>
    <row r="593" spans="1:11" s="140" customFormat="1" x14ac:dyDescent="0.2">
      <c r="A593" s="162"/>
      <c r="B593" s="477"/>
      <c r="C593" s="477"/>
      <c r="D593" s="477"/>
      <c r="E593" s="477"/>
      <c r="F593" s="477"/>
      <c r="G593" s="477"/>
      <c r="H593" s="477"/>
      <c r="I593" s="477"/>
      <c r="J593" s="477"/>
      <c r="K593" s="421"/>
    </row>
    <row r="594" spans="1:11" s="139" customFormat="1" ht="20.25" customHeight="1" x14ac:dyDescent="0.2">
      <c r="A594" s="337" t="str">
        <f>ORÇ!A557</f>
        <v>18.3.4.7</v>
      </c>
      <c r="B594" s="1710" t="str">
        <f>ORÇ!D557</f>
        <v>APLICAÇÃO DE FUNDO SELADOR ACRÍLICO EM PAREDES, UMA DEMÃO. AF_06/2014</v>
      </c>
      <c r="C594" s="1710"/>
      <c r="D594" s="1710"/>
      <c r="E594" s="1710"/>
      <c r="F594" s="1710"/>
      <c r="G594" s="1710"/>
      <c r="H594" s="1710"/>
      <c r="I594" s="1710"/>
      <c r="J594" s="1710"/>
      <c r="K594" s="1092"/>
    </row>
    <row r="595" spans="1:11" s="140" customFormat="1" ht="17.25" customHeight="1" x14ac:dyDescent="0.2">
      <c r="A595" s="162"/>
      <c r="B595" s="21"/>
      <c r="C595" s="21"/>
      <c r="D595" s="21"/>
      <c r="E595" s="21"/>
      <c r="F595" s="458"/>
      <c r="G595" s="458"/>
      <c r="H595" s="458"/>
      <c r="I595" s="21"/>
      <c r="J595" s="21"/>
      <c r="K595" s="421"/>
    </row>
    <row r="596" spans="1:11" s="140" customFormat="1" ht="17.25" customHeight="1" x14ac:dyDescent="0.2">
      <c r="A596" s="162"/>
      <c r="B596" s="21" t="s">
        <v>2105</v>
      </c>
      <c r="C596" s="21"/>
      <c r="D596" s="21"/>
      <c r="E596" s="21"/>
      <c r="F596" s="458"/>
      <c r="G596" s="458"/>
      <c r="H596" s="458"/>
      <c r="I596" s="21"/>
      <c r="J596" s="21"/>
      <c r="K596" s="421"/>
    </row>
    <row r="597" spans="1:11" s="140" customFormat="1" ht="17.25" customHeight="1" x14ac:dyDescent="0.2">
      <c r="A597" s="162"/>
      <c r="B597" s="1043" t="s">
        <v>47</v>
      </c>
      <c r="C597" s="1097">
        <f>C592</f>
        <v>3.07</v>
      </c>
      <c r="D597" s="787" t="s">
        <v>4</v>
      </c>
      <c r="E597" s="21"/>
      <c r="F597" s="458"/>
      <c r="G597" s="458"/>
      <c r="H597" s="458"/>
      <c r="I597" s="21"/>
      <c r="J597" s="21"/>
      <c r="K597" s="421"/>
    </row>
    <row r="598" spans="1:11" s="140" customFormat="1" ht="18" customHeight="1" x14ac:dyDescent="0.2">
      <c r="A598" s="162"/>
      <c r="B598" s="477"/>
      <c r="C598" s="477"/>
      <c r="D598" s="477"/>
      <c r="E598" s="477"/>
      <c r="F598" s="1118"/>
      <c r="G598" s="1118"/>
      <c r="H598" s="1118"/>
      <c r="I598" s="477"/>
      <c r="J598" s="477"/>
      <c r="K598" s="421"/>
    </row>
    <row r="599" spans="1:11" s="139" customFormat="1" ht="20.25" customHeight="1" x14ac:dyDescent="0.2">
      <c r="A599" s="337" t="str">
        <f>ORÇ!A558</f>
        <v>18.3.4.8</v>
      </c>
      <c r="B599" s="1710" t="str">
        <f>ORÇ!D558</f>
        <v>APLICAÇÃO MANUAL DE PINTURA COM TINTA LÁTEX ACRÍLICA EM PAREDES, DUAS DEMÃOS. AF_06/2014</v>
      </c>
      <c r="C599" s="1710"/>
      <c r="D599" s="1710"/>
      <c r="E599" s="1710"/>
      <c r="F599" s="1710"/>
      <c r="G599" s="1710"/>
      <c r="H599" s="1710"/>
      <c r="I599" s="1710"/>
      <c r="J599" s="1710"/>
      <c r="K599" s="1092"/>
    </row>
    <row r="600" spans="1:11" s="140" customFormat="1" ht="17.25" customHeight="1" x14ac:dyDescent="0.2">
      <c r="A600" s="162"/>
      <c r="B600" s="21"/>
      <c r="C600" s="21"/>
      <c r="D600" s="21"/>
      <c r="E600" s="21"/>
      <c r="F600" s="458"/>
      <c r="G600" s="458"/>
      <c r="H600" s="458"/>
      <c r="I600" s="21"/>
      <c r="J600" s="21"/>
      <c r="K600" s="421"/>
    </row>
    <row r="601" spans="1:11" s="140" customFormat="1" ht="17.25" customHeight="1" x14ac:dyDescent="0.2">
      <c r="A601" s="162"/>
      <c r="B601" s="21" t="s">
        <v>2105</v>
      </c>
      <c r="C601" s="21"/>
      <c r="D601" s="21"/>
      <c r="E601" s="21"/>
      <c r="F601" s="458"/>
      <c r="G601" s="458"/>
      <c r="H601" s="458"/>
      <c r="I601" s="21"/>
      <c r="J601" s="21"/>
      <c r="K601" s="421"/>
    </row>
    <row r="602" spans="1:11" s="140" customFormat="1" ht="17.25" customHeight="1" x14ac:dyDescent="0.2">
      <c r="A602" s="162"/>
      <c r="B602" s="1043" t="s">
        <v>47</v>
      </c>
      <c r="C602" s="1097">
        <f>C597</f>
        <v>3.07</v>
      </c>
      <c r="D602" s="787" t="s">
        <v>4</v>
      </c>
      <c r="E602" s="21"/>
      <c r="F602" s="458"/>
      <c r="G602" s="458"/>
      <c r="H602" s="458"/>
      <c r="I602" s="21"/>
      <c r="J602" s="21"/>
      <c r="K602" s="421"/>
    </row>
    <row r="603" spans="1:11" s="140" customFormat="1" ht="18" customHeight="1" x14ac:dyDescent="0.2">
      <c r="A603" s="162"/>
      <c r="B603" s="477"/>
      <c r="C603" s="477"/>
      <c r="D603" s="477"/>
      <c r="E603" s="477"/>
      <c r="F603" s="1118"/>
      <c r="G603" s="1118"/>
      <c r="H603" s="1118"/>
      <c r="I603" s="477"/>
      <c r="J603" s="477"/>
      <c r="K603" s="421"/>
    </row>
    <row r="604" spans="1:11" s="139" customFormat="1" ht="17.25" customHeight="1" x14ac:dyDescent="0.2">
      <c r="A604" s="337" t="str">
        <f>ORÇ!A559</f>
        <v>18.3.5</v>
      </c>
      <c r="B604" s="1710" t="str">
        <f>ORÇ!D559</f>
        <v>Acessórios</v>
      </c>
      <c r="C604" s="1710"/>
      <c r="D604" s="1710"/>
      <c r="E604" s="1710"/>
      <c r="F604" s="1710"/>
      <c r="G604" s="1710"/>
      <c r="H604" s="1710"/>
      <c r="I604" s="1710"/>
      <c r="J604" s="1710"/>
      <c r="K604" s="1092"/>
    </row>
    <row r="605" spans="1:11" s="139" customFormat="1" ht="17.25" customHeight="1" x14ac:dyDescent="0.2">
      <c r="A605" s="337" t="str">
        <f>ORÇ!A560</f>
        <v>18.3.5.1</v>
      </c>
      <c r="B605" s="1710" t="str">
        <f>ORÇ!D560</f>
        <v>CORRIMÃO SIMPLES, DIÂMETRO EXTERNO = 1 1/2", EM ALUMÍNIO. AF_04/2019_P</v>
      </c>
      <c r="C605" s="1710"/>
      <c r="D605" s="1710"/>
      <c r="E605" s="1710"/>
      <c r="F605" s="1710"/>
      <c r="G605" s="1710"/>
      <c r="H605" s="1710"/>
      <c r="I605" s="1710"/>
      <c r="J605" s="1710"/>
      <c r="K605" s="1092"/>
    </row>
    <row r="606" spans="1:11" s="139" customFormat="1" x14ac:dyDescent="0.2">
      <c r="A606" s="337"/>
      <c r="B606" s="1088"/>
      <c r="C606" s="1088"/>
      <c r="D606" s="1088"/>
      <c r="E606" s="1088"/>
      <c r="F606" s="1088"/>
      <c r="G606" s="1088"/>
      <c r="H606" s="1088"/>
      <c r="I606" s="1088"/>
      <c r="J606" s="1088"/>
      <c r="K606" s="1092"/>
    </row>
    <row r="607" spans="1:11" s="140" customFormat="1" ht="17.25" customHeight="1" x14ac:dyDescent="0.2">
      <c r="B607" s="162"/>
      <c r="C607" s="1094" t="s">
        <v>216</v>
      </c>
      <c r="D607" s="1094"/>
      <c r="E607" s="1094" t="s">
        <v>469</v>
      </c>
      <c r="F607" s="1094"/>
      <c r="G607" s="1094" t="s">
        <v>213</v>
      </c>
      <c r="K607" s="421"/>
    </row>
    <row r="608" spans="1:11" s="140" customFormat="1" ht="28.5" customHeight="1" x14ac:dyDescent="0.2">
      <c r="B608" s="1090" t="s">
        <v>2106</v>
      </c>
      <c r="C608" s="456">
        <v>1.3</v>
      </c>
      <c r="D608" s="456" t="s">
        <v>45</v>
      </c>
      <c r="E608" s="456">
        <v>2</v>
      </c>
      <c r="F608" s="456" t="s">
        <v>46</v>
      </c>
      <c r="G608" s="456">
        <f>ROUND(C608*E608,2)</f>
        <v>2.6</v>
      </c>
      <c r="K608" s="421"/>
    </row>
    <row r="609" spans="1:11" s="140" customFormat="1" ht="17.25" customHeight="1" x14ac:dyDescent="0.2">
      <c r="A609" s="162"/>
      <c r="B609" s="21"/>
      <c r="C609" s="21"/>
      <c r="D609" s="21"/>
      <c r="E609" s="21"/>
      <c r="F609" s="21"/>
      <c r="G609" s="21"/>
      <c r="H609" s="21"/>
      <c r="I609" s="21"/>
      <c r="J609" s="21"/>
      <c r="K609" s="421"/>
    </row>
    <row r="610" spans="1:11" s="140" customFormat="1" ht="17.25" customHeight="1" x14ac:dyDescent="0.2">
      <c r="A610" s="162"/>
      <c r="B610" s="1043" t="s">
        <v>47</v>
      </c>
      <c r="C610" s="1097">
        <f>ROUND(SUM(G608:G609),2)</f>
        <v>2.6</v>
      </c>
      <c r="D610" s="787" t="s">
        <v>4</v>
      </c>
      <c r="E610" s="21"/>
      <c r="F610" s="21"/>
      <c r="G610" s="21"/>
      <c r="H610" s="21"/>
      <c r="I610" s="21"/>
      <c r="J610" s="21"/>
      <c r="K610" s="421"/>
    </row>
    <row r="611" spans="1:11" s="140" customFormat="1" ht="16.5" customHeight="1" x14ac:dyDescent="0.2">
      <c r="A611" s="162"/>
      <c r="B611" s="477"/>
      <c r="C611" s="477"/>
      <c r="D611" s="477"/>
      <c r="E611" s="477"/>
      <c r="F611" s="477"/>
      <c r="G611" s="477"/>
      <c r="H611" s="477"/>
      <c r="I611" s="477"/>
      <c r="J611" s="477"/>
      <c r="K611" s="421"/>
    </row>
    <row r="612" spans="1:11" s="139" customFormat="1" ht="17.25" customHeight="1" x14ac:dyDescent="0.2">
      <c r="A612" s="337" t="str">
        <f>ORÇ!A561</f>
        <v>18.4</v>
      </c>
      <c r="B612" s="1710" t="str">
        <f>ORÇ!D561</f>
        <v>Casa de Bomba</v>
      </c>
      <c r="C612" s="1710"/>
      <c r="D612" s="1710"/>
      <c r="E612" s="1710"/>
      <c r="F612" s="1710"/>
      <c r="G612" s="1710"/>
      <c r="H612" s="1710"/>
      <c r="I612" s="1710"/>
      <c r="J612" s="1710"/>
      <c r="K612" s="1092"/>
    </row>
    <row r="613" spans="1:11" s="139" customFormat="1" ht="27.75" customHeight="1" x14ac:dyDescent="0.2">
      <c r="A613" s="337" t="str">
        <f>ORÇ!A562</f>
        <v>18.4.1</v>
      </c>
      <c r="B613" s="1710" t="str">
        <f>ORÇ!D562</f>
        <v>BOMBA CENTRÍFUGA, MONOFÁSICA, 0,5 CV OU 0,49 HP, HM 6 A 20 M, Q 1,2 A 8,3 M3/H - FORNECIMENTO E INSTALAÇÃO. AF_12/2020</v>
      </c>
      <c r="C613" s="1710"/>
      <c r="D613" s="1710"/>
      <c r="E613" s="1710"/>
      <c r="F613" s="1710"/>
      <c r="G613" s="1710"/>
      <c r="H613" s="1710"/>
      <c r="I613" s="1710"/>
      <c r="J613" s="1710"/>
      <c r="K613" s="1092"/>
    </row>
    <row r="614" spans="1:11" s="140" customFormat="1" ht="17.25" customHeight="1" x14ac:dyDescent="0.2">
      <c r="A614" s="162"/>
      <c r="B614" s="21"/>
      <c r="C614" s="21"/>
      <c r="D614" s="21"/>
      <c r="E614" s="21"/>
      <c r="F614" s="21"/>
      <c r="G614" s="21"/>
      <c r="H614" s="21"/>
      <c r="I614" s="21"/>
      <c r="J614" s="21"/>
      <c r="K614" s="421"/>
    </row>
    <row r="615" spans="1:11" s="140" customFormat="1" ht="17.25" customHeight="1" x14ac:dyDescent="0.2">
      <c r="A615" s="162"/>
      <c r="B615" s="1043" t="s">
        <v>47</v>
      </c>
      <c r="C615" s="1097">
        <v>1</v>
      </c>
      <c r="D615" s="787" t="s">
        <v>834</v>
      </c>
      <c r="E615" s="21"/>
      <c r="F615" s="21"/>
      <c r="G615" s="21"/>
      <c r="H615" s="21"/>
      <c r="I615" s="21"/>
      <c r="J615" s="21"/>
      <c r="K615" s="421"/>
    </row>
    <row r="616" spans="1:11" s="140" customFormat="1" ht="16.5" customHeight="1" x14ac:dyDescent="0.2">
      <c r="A616" s="162"/>
      <c r="B616" s="477"/>
      <c r="C616" s="477"/>
      <c r="D616" s="477"/>
      <c r="E616" s="477"/>
      <c r="F616" s="477"/>
      <c r="G616" s="477"/>
      <c r="H616" s="477"/>
      <c r="I616" s="477"/>
      <c r="J616" s="477"/>
      <c r="K616" s="421"/>
    </row>
    <row r="617" spans="1:11" s="139" customFormat="1" ht="17.25" customHeight="1" x14ac:dyDescent="0.2">
      <c r="A617" s="337" t="str">
        <f>ORÇ!A563</f>
        <v>18.4.2</v>
      </c>
      <c r="B617" s="1710" t="str">
        <f>ORÇ!D563</f>
        <v>FILTRO PARA PISCINA DE 30.000 LITROS. FORNECIMENTO E INSTALAÇÃO</v>
      </c>
      <c r="C617" s="1710"/>
      <c r="D617" s="1710"/>
      <c r="E617" s="1710"/>
      <c r="F617" s="1710"/>
      <c r="G617" s="1710"/>
      <c r="H617" s="1710"/>
      <c r="I617" s="1710"/>
      <c r="J617" s="1710"/>
      <c r="K617" s="1092"/>
    </row>
    <row r="618" spans="1:11" s="140" customFormat="1" ht="17.25" customHeight="1" x14ac:dyDescent="0.2">
      <c r="A618" s="162"/>
      <c r="B618" s="21"/>
      <c r="C618" s="21"/>
      <c r="D618" s="21"/>
      <c r="E618" s="21"/>
      <c r="F618" s="21"/>
      <c r="G618" s="21"/>
      <c r="H618" s="21"/>
      <c r="I618" s="21"/>
      <c r="J618" s="21"/>
      <c r="K618" s="421"/>
    </row>
    <row r="619" spans="1:11" s="140" customFormat="1" ht="17.25" customHeight="1" x14ac:dyDescent="0.2">
      <c r="A619" s="162"/>
      <c r="B619" s="1043" t="s">
        <v>47</v>
      </c>
      <c r="C619" s="1097">
        <v>1</v>
      </c>
      <c r="D619" s="787" t="s">
        <v>834</v>
      </c>
      <c r="E619" s="21"/>
      <c r="F619" s="21"/>
      <c r="G619" s="21"/>
      <c r="H619" s="21"/>
      <c r="I619" s="21"/>
      <c r="J619" s="21"/>
      <c r="K619" s="421"/>
    </row>
    <row r="620" spans="1:11" s="140" customFormat="1" ht="16.5" customHeight="1" x14ac:dyDescent="0.2">
      <c r="A620" s="162"/>
      <c r="B620" s="477"/>
      <c r="C620" s="477"/>
      <c r="D620" s="477"/>
      <c r="E620" s="477"/>
      <c r="F620" s="477"/>
      <c r="G620" s="477"/>
      <c r="H620" s="477"/>
      <c r="I620" s="477"/>
      <c r="J620" s="477"/>
      <c r="K620" s="421"/>
    </row>
    <row r="621" spans="1:11" s="139" customFormat="1" ht="17.25" customHeight="1" x14ac:dyDescent="0.2">
      <c r="A621" s="337" t="str">
        <f>ORÇ!A564</f>
        <v>18.4.3</v>
      </c>
      <c r="B621" s="1710" t="str">
        <f>ORÇ!D564</f>
        <v>TAMPA PARA CASA DE BOMBA EM CHAPA DE AÇO XADREZ PARA PISO, E = 1/4 " (6,30 MM). FORNECIMENTO E INSTALAÇÃO.</v>
      </c>
      <c r="C621" s="1710"/>
      <c r="D621" s="1710"/>
      <c r="E621" s="1710"/>
      <c r="F621" s="1710"/>
      <c r="G621" s="1710"/>
      <c r="H621" s="1710"/>
      <c r="I621" s="1710"/>
      <c r="J621" s="1710"/>
      <c r="K621" s="1092"/>
    </row>
    <row r="622" spans="1:11" s="139" customFormat="1" x14ac:dyDescent="0.2">
      <c r="A622" s="337"/>
      <c r="B622" s="1088"/>
      <c r="C622" s="1088"/>
      <c r="D622" s="1088"/>
      <c r="E622" s="1088"/>
      <c r="F622" s="1088"/>
      <c r="G622" s="1088"/>
      <c r="H622" s="1088"/>
      <c r="I622" s="1088"/>
      <c r="J622" s="1088"/>
      <c r="K622" s="1092"/>
    </row>
    <row r="623" spans="1:11" s="140" customFormat="1" ht="17.25" customHeight="1" x14ac:dyDescent="0.2">
      <c r="B623" s="162"/>
      <c r="C623" s="1094" t="s">
        <v>216</v>
      </c>
      <c r="D623" s="1094"/>
      <c r="E623" s="1094" t="s">
        <v>405</v>
      </c>
      <c r="F623" s="1094"/>
      <c r="G623" s="1094" t="s">
        <v>213</v>
      </c>
      <c r="K623" s="421"/>
    </row>
    <row r="624" spans="1:11" s="140" customFormat="1" ht="16.5" customHeight="1" x14ac:dyDescent="0.2">
      <c r="B624" s="1090" t="s">
        <v>2107</v>
      </c>
      <c r="C624" s="456">
        <v>1</v>
      </c>
      <c r="D624" s="456" t="s">
        <v>45</v>
      </c>
      <c r="E624" s="456">
        <v>0.6</v>
      </c>
      <c r="F624" s="456" t="s">
        <v>46</v>
      </c>
      <c r="G624" s="456">
        <f>ROUND(C624*E624,2)</f>
        <v>0.6</v>
      </c>
      <c r="K624" s="421"/>
    </row>
    <row r="625" spans="1:11" s="140" customFormat="1" ht="17.25" customHeight="1" x14ac:dyDescent="0.2">
      <c r="A625" s="162"/>
      <c r="B625" s="21"/>
      <c r="C625" s="21"/>
      <c r="D625" s="21"/>
      <c r="E625" s="21"/>
      <c r="F625" s="21"/>
      <c r="G625" s="21"/>
      <c r="H625" s="21"/>
      <c r="I625" s="21"/>
      <c r="J625" s="21"/>
      <c r="K625" s="421"/>
    </row>
    <row r="626" spans="1:11" s="140" customFormat="1" ht="17.25" customHeight="1" x14ac:dyDescent="0.2">
      <c r="A626" s="162"/>
      <c r="B626" s="1043" t="s">
        <v>47</v>
      </c>
      <c r="C626" s="1097">
        <f>ROUND(SUM(G624:G625),2)</f>
        <v>0.6</v>
      </c>
      <c r="D626" s="787" t="s">
        <v>4</v>
      </c>
      <c r="E626" s="21"/>
      <c r="F626" s="21"/>
      <c r="G626" s="21"/>
      <c r="H626" s="21"/>
      <c r="I626" s="21"/>
      <c r="J626" s="21"/>
      <c r="K626" s="421"/>
    </row>
    <row r="627" spans="1:11" s="140" customFormat="1" ht="16.5" customHeight="1" x14ac:dyDescent="0.2">
      <c r="A627" s="162"/>
      <c r="B627" s="477"/>
      <c r="C627" s="477"/>
      <c r="D627" s="477"/>
      <c r="E627" s="477"/>
      <c r="F627" s="477"/>
      <c r="G627" s="477"/>
      <c r="H627" s="477"/>
      <c r="I627" s="477"/>
      <c r="J627" s="477"/>
      <c r="K627" s="421"/>
    </row>
    <row r="628" spans="1:11" s="139" customFormat="1" ht="17.25" customHeight="1" x14ac:dyDescent="0.2">
      <c r="A628" s="337" t="str">
        <f>ORÇ!A565</f>
        <v>18.5</v>
      </c>
      <c r="B628" s="1710" t="str">
        <f>ORÇ!D565</f>
        <v>Hidrossanitário</v>
      </c>
      <c r="C628" s="1710"/>
      <c r="D628" s="1710"/>
      <c r="E628" s="1710"/>
      <c r="F628" s="1710"/>
      <c r="G628" s="1710"/>
      <c r="H628" s="1710"/>
      <c r="I628" s="1710"/>
      <c r="J628" s="1710"/>
      <c r="K628" s="1092"/>
    </row>
    <row r="629" spans="1:11" s="139" customFormat="1" ht="27.75" customHeight="1" x14ac:dyDescent="0.2">
      <c r="A629" s="337" t="str">
        <f>ORÇ!A566</f>
        <v>18.5.1</v>
      </c>
      <c r="B629" s="1710" t="str">
        <f>ORÇ!D566</f>
        <v>TUBO, PVC, SOLDÁVEL, DN 32MM, INSTALADO EM RAMAL DE DISTRIBUIÇÃO DE ÁGUA - FORNECIMENTO E INSTALAÇÃO. AF_12/2014</v>
      </c>
      <c r="C629" s="1710"/>
      <c r="D629" s="1710"/>
      <c r="E629" s="1710"/>
      <c r="F629" s="1710"/>
      <c r="G629" s="1710"/>
      <c r="H629" s="1710"/>
      <c r="I629" s="1710"/>
      <c r="J629" s="1710"/>
      <c r="K629" s="1107"/>
    </row>
    <row r="631" spans="1:11" s="140" customFormat="1" ht="17.25" customHeight="1" x14ac:dyDescent="0.2">
      <c r="A631" s="162"/>
      <c r="B631" s="1043" t="s">
        <v>47</v>
      </c>
      <c r="C631" s="1097">
        <v>18</v>
      </c>
      <c r="D631" s="787" t="s">
        <v>12</v>
      </c>
      <c r="E631" s="21"/>
      <c r="F631" s="21"/>
      <c r="G631" s="21"/>
      <c r="H631" s="21"/>
      <c r="I631" s="21"/>
      <c r="J631" s="21"/>
      <c r="K631" s="421"/>
    </row>
    <row r="633" spans="1:11" s="139" customFormat="1" ht="17.25" customHeight="1" x14ac:dyDescent="0.2">
      <c r="A633" s="337" t="str">
        <f>ORÇ!A567</f>
        <v>18.5.2</v>
      </c>
      <c r="B633" s="1710" t="str">
        <f>ORÇ!D567</f>
        <v>TUBO, PVC, SOLDÁVEL, DN 50MM, INSTALADO EM PRUMADA DE ÁGUA - FORNECIMENTO E INSTALAÇÃO. AF_12/2014</v>
      </c>
      <c r="C633" s="1710"/>
      <c r="D633" s="1710"/>
      <c r="E633" s="1710"/>
      <c r="F633" s="1710"/>
      <c r="G633" s="1710"/>
      <c r="H633" s="1710"/>
      <c r="I633" s="1710"/>
      <c r="J633" s="1710"/>
      <c r="K633" s="1107"/>
    </row>
    <row r="635" spans="1:11" s="140" customFormat="1" ht="17.25" customHeight="1" x14ac:dyDescent="0.2">
      <c r="A635" s="162"/>
      <c r="B635" s="1043" t="s">
        <v>47</v>
      </c>
      <c r="C635" s="1097">
        <v>45.45</v>
      </c>
      <c r="D635" s="787" t="s">
        <v>12</v>
      </c>
      <c r="E635" s="21"/>
      <c r="F635" s="21"/>
      <c r="G635" s="21"/>
      <c r="H635" s="21"/>
      <c r="I635" s="21"/>
      <c r="J635" s="21"/>
      <c r="K635" s="421"/>
    </row>
    <row r="637" spans="1:11" s="139" customFormat="1" ht="30" customHeight="1" x14ac:dyDescent="0.2">
      <c r="A637" s="337" t="str">
        <f>ORÇ!A568</f>
        <v>18.5.3</v>
      </c>
      <c r="B637" s="1710" t="str">
        <f>ORÇ!D568</f>
        <v>JOELHO 90 GRAUS, PVC, SOLDÁVEL, DN 32MM, INSTALADO EM RAMAL DE DISTRIBUIÇÃO DE ÁGUA - FORNECIMENTO E INSTALAÇÃO. AF_12/2014</v>
      </c>
      <c r="C637" s="1710"/>
      <c r="D637" s="1710"/>
      <c r="E637" s="1710"/>
      <c r="F637" s="1710"/>
      <c r="G637" s="1710"/>
      <c r="H637" s="1710"/>
      <c r="I637" s="1710"/>
      <c r="J637" s="1710"/>
      <c r="K637" s="1107"/>
    </row>
    <row r="639" spans="1:11" s="140" customFormat="1" ht="17.25" customHeight="1" x14ac:dyDescent="0.2">
      <c r="A639" s="162"/>
      <c r="B639" s="1043" t="s">
        <v>47</v>
      </c>
      <c r="C639" s="1097">
        <v>4</v>
      </c>
      <c r="D639" s="787" t="s">
        <v>668</v>
      </c>
      <c r="E639" s="21"/>
      <c r="F639" s="21"/>
      <c r="G639" s="21"/>
      <c r="H639" s="21"/>
      <c r="I639" s="21"/>
      <c r="J639" s="21"/>
      <c r="K639" s="421"/>
    </row>
    <row r="641" spans="1:11" s="139" customFormat="1" ht="27.75" customHeight="1" x14ac:dyDescent="0.2">
      <c r="A641" s="337" t="str">
        <f>ORÇ!A569</f>
        <v>18.5.4</v>
      </c>
      <c r="B641" s="1710" t="str">
        <f>ORÇ!D569</f>
        <v>CURVA 90 GRAUS, PVC, SOLDÁVEL, DN 50MM, INSTALADO EM PRUMADA DE ÁGUA - FORNECIMENTO E INSTALAÇÃO. AF_12/2014</v>
      </c>
      <c r="C641" s="1710"/>
      <c r="D641" s="1710"/>
      <c r="E641" s="1710"/>
      <c r="F641" s="1710"/>
      <c r="G641" s="1710"/>
      <c r="H641" s="1710"/>
      <c r="I641" s="1710"/>
      <c r="J641" s="1710"/>
      <c r="K641" s="1107"/>
    </row>
    <row r="643" spans="1:11" s="140" customFormat="1" ht="17.25" customHeight="1" x14ac:dyDescent="0.2">
      <c r="A643" s="162"/>
      <c r="B643" s="1043" t="s">
        <v>47</v>
      </c>
      <c r="C643" s="1097">
        <v>25</v>
      </c>
      <c r="D643" s="787" t="s">
        <v>668</v>
      </c>
      <c r="E643" s="21"/>
      <c r="F643" s="21"/>
      <c r="G643" s="21"/>
      <c r="H643" s="21"/>
      <c r="I643" s="21"/>
      <c r="J643" s="21"/>
      <c r="K643" s="421"/>
    </row>
    <row r="645" spans="1:11" s="139" customFormat="1" ht="17.25" customHeight="1" x14ac:dyDescent="0.2">
      <c r="A645" s="337" t="str">
        <f>ORÇ!A570</f>
        <v>18.5.5</v>
      </c>
      <c r="B645" s="1710" t="str">
        <f>ORÇ!D570</f>
        <v>TE DE REDUÇÃO 90° JS - 50MM X 32MM (LH)</v>
      </c>
      <c r="C645" s="1710"/>
      <c r="D645" s="1710"/>
      <c r="E645" s="1710"/>
      <c r="F645" s="1710"/>
      <c r="G645" s="1710"/>
      <c r="H645" s="1710"/>
      <c r="I645" s="1710"/>
      <c r="J645" s="1710"/>
      <c r="K645" s="1107"/>
    </row>
    <row r="647" spans="1:11" s="140" customFormat="1" ht="17.25" customHeight="1" x14ac:dyDescent="0.2">
      <c r="A647" s="162"/>
      <c r="B647" s="1043" t="s">
        <v>47</v>
      </c>
      <c r="C647" s="1097">
        <v>1</v>
      </c>
      <c r="D647" s="787" t="s">
        <v>834</v>
      </c>
      <c r="E647" s="21"/>
      <c r="F647" s="21"/>
      <c r="G647" s="21"/>
      <c r="H647" s="21"/>
      <c r="I647" s="21"/>
      <c r="J647" s="21"/>
      <c r="K647" s="421"/>
    </row>
    <row r="649" spans="1:11" s="139" customFormat="1" ht="17.25" customHeight="1" x14ac:dyDescent="0.2">
      <c r="A649" s="337" t="str">
        <f>ORÇ!A571</f>
        <v>18.5.6</v>
      </c>
      <c r="B649" s="1710" t="str">
        <f>ORÇ!D571</f>
        <v>TE, PVC, SOLDÁVEL, DN 32MM, INSTALADO EM PRUMADA DE ÁGUA - FORNECIMENTO E INSTALAÇÃO. AF_12/2014</v>
      </c>
      <c r="C649" s="1710"/>
      <c r="D649" s="1710"/>
      <c r="E649" s="1710"/>
      <c r="F649" s="1710"/>
      <c r="G649" s="1710"/>
      <c r="H649" s="1710"/>
      <c r="I649" s="1710"/>
      <c r="J649" s="1710"/>
      <c r="K649" s="1107"/>
    </row>
    <row r="651" spans="1:11" s="140" customFormat="1" ht="17.25" customHeight="1" x14ac:dyDescent="0.2">
      <c r="A651" s="162"/>
      <c r="B651" s="1043" t="s">
        <v>47</v>
      </c>
      <c r="C651" s="1097">
        <v>1</v>
      </c>
      <c r="D651" s="787" t="s">
        <v>834</v>
      </c>
      <c r="E651" s="21"/>
      <c r="F651" s="21"/>
      <c r="G651" s="21"/>
      <c r="H651" s="21"/>
      <c r="I651" s="21"/>
      <c r="J651" s="21"/>
      <c r="K651" s="421"/>
    </row>
    <row r="653" spans="1:11" s="139" customFormat="1" ht="17.25" customHeight="1" x14ac:dyDescent="0.2">
      <c r="A653" s="337" t="str">
        <f>ORÇ!A572</f>
        <v>18.5.7</v>
      </c>
      <c r="B653" s="1710" t="str">
        <f>ORÇ!D572</f>
        <v>TÊ EM PVC - JS - 50MM-LH</v>
      </c>
      <c r="C653" s="1710"/>
      <c r="D653" s="1710"/>
      <c r="E653" s="1710"/>
      <c r="F653" s="1710"/>
      <c r="G653" s="1710"/>
      <c r="H653" s="1710"/>
      <c r="I653" s="1710"/>
      <c r="J653" s="1710"/>
      <c r="K653" s="1107"/>
    </row>
    <row r="655" spans="1:11" s="140" customFormat="1" ht="17.25" customHeight="1" x14ac:dyDescent="0.2">
      <c r="A655" s="162"/>
      <c r="B655" s="1043" t="s">
        <v>47</v>
      </c>
      <c r="C655" s="1097">
        <v>3</v>
      </c>
      <c r="D655" s="787" t="s">
        <v>668</v>
      </c>
      <c r="E655" s="21"/>
      <c r="F655" s="21"/>
      <c r="G655" s="21"/>
      <c r="H655" s="21"/>
      <c r="I655" s="21"/>
      <c r="J655" s="21"/>
      <c r="K655" s="421"/>
    </row>
    <row r="657" spans="1:11" s="139" customFormat="1" ht="17.25" customHeight="1" x14ac:dyDescent="0.2">
      <c r="A657" s="337" t="str">
        <f>ORÇ!A573</f>
        <v>18.5.8</v>
      </c>
      <c r="B657" s="1710" t="str">
        <f>ORÇ!D573</f>
        <v>CRUZETA PVC SOLDAVEL NBR 5648 - 50 MM. FORNECIMENTO E INSTALAÇÃO.</v>
      </c>
      <c r="C657" s="1710"/>
      <c r="D657" s="1710"/>
      <c r="E657" s="1710"/>
      <c r="F657" s="1710"/>
      <c r="G657" s="1710"/>
      <c r="H657" s="1710"/>
      <c r="I657" s="1710"/>
      <c r="J657" s="1710"/>
      <c r="K657" s="1107"/>
    </row>
    <row r="659" spans="1:11" s="140" customFormat="1" ht="17.25" customHeight="1" x14ac:dyDescent="0.2">
      <c r="A659" s="162"/>
      <c r="B659" s="1043" t="s">
        <v>47</v>
      </c>
      <c r="C659" s="1097">
        <v>1</v>
      </c>
      <c r="D659" s="787" t="s">
        <v>834</v>
      </c>
      <c r="E659" s="21"/>
      <c r="F659" s="21"/>
      <c r="G659" s="21"/>
      <c r="H659" s="21"/>
      <c r="I659" s="21"/>
      <c r="J659" s="21"/>
      <c r="K659" s="421"/>
    </row>
    <row r="661" spans="1:11" s="139" customFormat="1" ht="27.75" customHeight="1" x14ac:dyDescent="0.2">
      <c r="A661" s="337" t="str">
        <f>ORÇ!A574</f>
        <v>18.5.9</v>
      </c>
      <c r="B661" s="1710" t="str">
        <f>ORÇ!D574</f>
        <v>LUVA DE CORRER, PVC, SOLDÁVEL, DN 32MM, INSTALADO EM RAMAL OU SUB-RAMAL DE ÁGUA   FORNECIMENTO E INSTALAÇÃO. AF_12/2014</v>
      </c>
      <c r="C661" s="1710"/>
      <c r="D661" s="1710"/>
      <c r="E661" s="1710"/>
      <c r="F661" s="1710"/>
      <c r="G661" s="1710"/>
      <c r="H661" s="1710"/>
      <c r="I661" s="1710"/>
      <c r="J661" s="1710"/>
      <c r="K661" s="1107"/>
    </row>
    <row r="663" spans="1:11" s="140" customFormat="1" ht="17.25" customHeight="1" x14ac:dyDescent="0.2">
      <c r="A663" s="162"/>
      <c r="B663" s="1043" t="s">
        <v>47</v>
      </c>
      <c r="C663" s="1097">
        <v>2</v>
      </c>
      <c r="D663" s="787" t="s">
        <v>668</v>
      </c>
      <c r="E663" s="21"/>
      <c r="F663" s="21"/>
      <c r="G663" s="21"/>
      <c r="H663" s="21"/>
      <c r="I663" s="21"/>
      <c r="J663" s="21"/>
      <c r="K663" s="421"/>
    </row>
    <row r="665" spans="1:11" s="139" customFormat="1" ht="27.75" customHeight="1" x14ac:dyDescent="0.2">
      <c r="A665" s="337" t="str">
        <f>ORÇ!A575</f>
        <v>18.5.10</v>
      </c>
      <c r="B665" s="1710" t="str">
        <f>ORÇ!D575</f>
        <v>REGISTRO DE GAVETA BRUTO, LATÃO, ROSCÁVEL, 1 1/2", COM ACABAMENTO E CANOPLA CROMADOS - FORNECIMENTO E INSTALAÇÃO. AF_08/2021</v>
      </c>
      <c r="C665" s="1710"/>
      <c r="D665" s="1710"/>
      <c r="E665" s="1710"/>
      <c r="F665" s="1710"/>
      <c r="G665" s="1710"/>
      <c r="H665" s="1710"/>
      <c r="I665" s="1710"/>
      <c r="J665" s="1710"/>
      <c r="K665" s="1107"/>
    </row>
    <row r="667" spans="1:11" s="140" customFormat="1" ht="17.25" customHeight="1" x14ac:dyDescent="0.2">
      <c r="A667" s="162"/>
      <c r="B667" s="1043" t="s">
        <v>47</v>
      </c>
      <c r="C667" s="1097">
        <v>6</v>
      </c>
      <c r="D667" s="787" t="s">
        <v>668</v>
      </c>
      <c r="E667" s="21"/>
      <c r="F667" s="21"/>
      <c r="G667" s="21"/>
      <c r="H667" s="21"/>
      <c r="I667" s="21"/>
      <c r="J667" s="21"/>
      <c r="K667" s="421"/>
    </row>
    <row r="669" spans="1:11" s="139" customFormat="1" ht="27.75" customHeight="1" x14ac:dyDescent="0.2">
      <c r="A669" s="337" t="str">
        <f>ORÇ!A576</f>
        <v>18.5.11</v>
      </c>
      <c r="B669" s="1710" t="str">
        <f>ORÇ!D576</f>
        <v>ADAPTADOR CURTO COM BOLSA E ROSCA PARA REGISTRO, PVC, SOLDÁVEL, DN 50MM X 1.1/2, INSTALADO EM PRUMADA DE ÁGUA - FORNECIMENTO E INSTALAÇÃO. AF_12/2014</v>
      </c>
      <c r="C669" s="1710"/>
      <c r="D669" s="1710"/>
      <c r="E669" s="1710"/>
      <c r="F669" s="1710"/>
      <c r="G669" s="1710"/>
      <c r="H669" s="1710"/>
      <c r="I669" s="1710"/>
      <c r="J669" s="1710"/>
      <c r="K669" s="1107"/>
    </row>
    <row r="671" spans="1:11" s="140" customFormat="1" ht="17.25" customHeight="1" x14ac:dyDescent="0.2">
      <c r="A671" s="162"/>
      <c r="B671" s="1043" t="s">
        <v>47</v>
      </c>
      <c r="C671" s="1097">
        <v>12</v>
      </c>
      <c r="D671" s="787" t="s">
        <v>668</v>
      </c>
      <c r="E671" s="21"/>
      <c r="F671" s="21"/>
      <c r="G671" s="21"/>
      <c r="H671" s="21"/>
      <c r="I671" s="21"/>
      <c r="J671" s="21"/>
      <c r="K671" s="421"/>
    </row>
    <row r="673" spans="1:11" s="139" customFormat="1" ht="17.25" customHeight="1" x14ac:dyDescent="0.2">
      <c r="A673" s="337" t="str">
        <f>ORÇ!A577</f>
        <v>18.5.12</v>
      </c>
      <c r="B673" s="1710" t="str">
        <f>ORÇ!D577</f>
        <v>SKIMMER PARA PISCINA. FORNECIMENTO E INSTALAÇÃO.</v>
      </c>
      <c r="C673" s="1710"/>
      <c r="D673" s="1710"/>
      <c r="E673" s="1710"/>
      <c r="F673" s="1710"/>
      <c r="G673" s="1710"/>
      <c r="H673" s="1710"/>
      <c r="I673" s="1710"/>
      <c r="J673" s="1710"/>
      <c r="K673" s="1107"/>
    </row>
    <row r="675" spans="1:11" s="140" customFormat="1" ht="17.25" customHeight="1" x14ac:dyDescent="0.2">
      <c r="A675" s="162"/>
      <c r="B675" s="1043" t="s">
        <v>47</v>
      </c>
      <c r="C675" s="1097">
        <v>1</v>
      </c>
      <c r="D675" s="787" t="s">
        <v>834</v>
      </c>
      <c r="E675" s="21"/>
      <c r="F675" s="21"/>
      <c r="G675" s="21"/>
      <c r="H675" s="21"/>
      <c r="I675" s="21"/>
      <c r="J675" s="21"/>
      <c r="K675" s="421"/>
    </row>
    <row r="677" spans="1:11" s="139" customFormat="1" ht="30.75" customHeight="1" x14ac:dyDescent="0.2">
      <c r="A677" s="337" t="str">
        <f>ORÇ!A578</f>
        <v>18.5.13</v>
      </c>
      <c r="B677" s="1710" t="str">
        <f>ORÇ!D578</f>
        <v>RALO SECO, PVC, DN 100 X 40 MM, JUNTA SOLDÁVEL, FORNECIDO E INSTALADO EM RAMAL DE DESCARGA OU EM RAMAL DE ESGOTO SANITÁRIO. AF_12/2014</v>
      </c>
      <c r="C677" s="1710"/>
      <c r="D677" s="1710"/>
      <c r="E677" s="1710"/>
      <c r="F677" s="1710"/>
      <c r="G677" s="1710"/>
      <c r="H677" s="1710"/>
      <c r="I677" s="1710"/>
      <c r="J677" s="1710"/>
      <c r="K677" s="1107"/>
    </row>
    <row r="679" spans="1:11" s="140" customFormat="1" ht="17.25" customHeight="1" x14ac:dyDescent="0.2">
      <c r="A679" s="162"/>
      <c r="B679" s="1043" t="s">
        <v>47</v>
      </c>
      <c r="C679" s="1097">
        <v>1</v>
      </c>
      <c r="D679" s="787" t="s">
        <v>834</v>
      </c>
      <c r="E679" s="21"/>
      <c r="F679" s="21"/>
      <c r="G679" s="21"/>
      <c r="H679" s="21"/>
      <c r="I679" s="21"/>
      <c r="J679" s="21"/>
      <c r="K679" s="421"/>
    </row>
    <row r="681" spans="1:11" s="139" customFormat="1" ht="17.25" customHeight="1" x14ac:dyDescent="0.2">
      <c r="A681" s="337" t="str">
        <f>ORÇ!A579</f>
        <v>18.5.14</v>
      </c>
      <c r="B681" s="1710" t="str">
        <f>ORÇ!D579</f>
        <v>RALO DRENO DE 50MM PARA PISCINA.FORNECIMENTO E INSTALAÇÃO.</v>
      </c>
      <c r="C681" s="1710"/>
      <c r="D681" s="1710"/>
      <c r="E681" s="1710"/>
      <c r="F681" s="1710"/>
      <c r="G681" s="1710"/>
      <c r="H681" s="1710"/>
      <c r="I681" s="1710"/>
      <c r="J681" s="1710"/>
      <c r="K681" s="1107"/>
    </row>
    <row r="683" spans="1:11" s="140" customFormat="1" ht="17.25" customHeight="1" x14ac:dyDescent="0.2">
      <c r="A683" s="162"/>
      <c r="B683" s="1043" t="s">
        <v>47</v>
      </c>
      <c r="C683" s="1097">
        <v>2</v>
      </c>
      <c r="D683" s="787" t="s">
        <v>668</v>
      </c>
      <c r="E683" s="21"/>
      <c r="F683" s="21"/>
      <c r="G683" s="21"/>
      <c r="H683" s="21"/>
      <c r="I683" s="21"/>
      <c r="J683" s="21"/>
      <c r="K683" s="421"/>
    </row>
    <row r="685" spans="1:11" s="139" customFormat="1" ht="17.25" customHeight="1" x14ac:dyDescent="0.2">
      <c r="A685" s="337" t="str">
        <f>ORÇ!A580</f>
        <v>18.5.15</v>
      </c>
      <c r="B685" s="1710" t="str">
        <f>ORÇ!D580</f>
        <v>DISPOSITIVO DE RETORNO DE 50MM. FORNECIMENTO E INSTALAÇÃO.</v>
      </c>
      <c r="C685" s="1710"/>
      <c r="D685" s="1710"/>
      <c r="E685" s="1710"/>
      <c r="F685" s="1710"/>
      <c r="G685" s="1710"/>
      <c r="H685" s="1710"/>
      <c r="I685" s="1710"/>
      <c r="J685" s="1710"/>
      <c r="K685" s="1107"/>
    </row>
    <row r="687" spans="1:11" s="140" customFormat="1" ht="17.25" customHeight="1" x14ac:dyDescent="0.2">
      <c r="A687" s="162"/>
      <c r="B687" s="1043" t="s">
        <v>47</v>
      </c>
      <c r="C687" s="1097">
        <v>2</v>
      </c>
      <c r="D687" s="787" t="s">
        <v>668</v>
      </c>
      <c r="E687" s="21"/>
      <c r="F687" s="21"/>
      <c r="G687" s="21"/>
      <c r="H687" s="21"/>
      <c r="I687" s="21"/>
      <c r="J687" s="21"/>
      <c r="K687" s="421"/>
    </row>
    <row r="689" spans="1:11" s="139" customFormat="1" ht="17.25" customHeight="1" x14ac:dyDescent="0.2">
      <c r="A689" s="337" t="str">
        <f>ORÇ!A581</f>
        <v>18.5.16</v>
      </c>
      <c r="B689" s="1710" t="str">
        <f>ORÇ!D581</f>
        <v>DISPOSITIVO DE ASPIRAÇÃO DE 50MM. FORNECIMENTO E INSTALAÇÃO</v>
      </c>
      <c r="C689" s="1710"/>
      <c r="D689" s="1710"/>
      <c r="E689" s="1710"/>
      <c r="F689" s="1710"/>
      <c r="G689" s="1710"/>
      <c r="H689" s="1710"/>
      <c r="I689" s="1710"/>
      <c r="J689" s="1710"/>
      <c r="K689" s="1107"/>
    </row>
    <row r="691" spans="1:11" s="140" customFormat="1" ht="17.25" customHeight="1" x14ac:dyDescent="0.2">
      <c r="A691" s="162"/>
      <c r="B691" s="1043" t="s">
        <v>47</v>
      </c>
      <c r="C691" s="1097">
        <v>1</v>
      </c>
      <c r="D691" s="787" t="s">
        <v>834</v>
      </c>
      <c r="E691" s="21"/>
      <c r="F691" s="21"/>
      <c r="G691" s="21"/>
      <c r="H691" s="21"/>
      <c r="I691" s="21"/>
      <c r="J691" s="21"/>
      <c r="K691" s="421"/>
    </row>
    <row r="694" spans="1:11" s="139" customFormat="1" ht="17.25" customHeight="1" x14ac:dyDescent="0.2">
      <c r="A694" s="337" t="str">
        <f>ORÇ!A582</f>
        <v>18.6</v>
      </c>
      <c r="B694" s="1710" t="str">
        <f>ORÇ!D582</f>
        <v>Instalações Elétricas para Casa de Bomba</v>
      </c>
      <c r="C694" s="1710"/>
      <c r="D694" s="1710"/>
      <c r="E694" s="1710"/>
      <c r="F694" s="1710"/>
      <c r="G694" s="1710"/>
      <c r="H694" s="1710"/>
      <c r="I694" s="1710"/>
      <c r="J694" s="1710"/>
      <c r="K694" s="1269"/>
    </row>
    <row r="695" spans="1:11" s="139" customFormat="1" ht="17.25" customHeight="1" x14ac:dyDescent="0.2">
      <c r="A695" s="337" t="str">
        <f>ORÇ!A583</f>
        <v>18.6.1</v>
      </c>
      <c r="B695" s="1710" t="str">
        <f>ORÇ!D583</f>
        <v>PONTO ELÉTRICO ESTABILIZADO (INCL. ELETR.,CX.,FIAÇÃO E TOMADA)</v>
      </c>
      <c r="C695" s="1710"/>
      <c r="D695" s="1710"/>
      <c r="E695" s="1710"/>
      <c r="F695" s="1710"/>
      <c r="G695" s="1710"/>
      <c r="H695" s="1710"/>
      <c r="I695" s="1710"/>
      <c r="J695" s="1710"/>
      <c r="K695" s="1269"/>
    </row>
    <row r="697" spans="1:11" s="140" customFormat="1" ht="17.25" customHeight="1" x14ac:dyDescent="0.2">
      <c r="A697" s="162"/>
      <c r="B697" s="1043" t="s">
        <v>47</v>
      </c>
      <c r="C697" s="1097">
        <v>1</v>
      </c>
      <c r="D697" s="787" t="s">
        <v>2587</v>
      </c>
      <c r="E697" s="21"/>
      <c r="F697" s="21"/>
      <c r="G697" s="21"/>
      <c r="H697" s="21"/>
      <c r="I697" s="21"/>
      <c r="J697" s="21"/>
      <c r="K697" s="421"/>
    </row>
  </sheetData>
  <mergeCells count="163">
    <mergeCell ref="B695:J695"/>
    <mergeCell ref="B694:J694"/>
    <mergeCell ref="A483:A484"/>
    <mergeCell ref="B480:J480"/>
    <mergeCell ref="F470:I474"/>
    <mergeCell ref="B506:B507"/>
    <mergeCell ref="B604:J604"/>
    <mergeCell ref="B605:J605"/>
    <mergeCell ref="B612:J612"/>
    <mergeCell ref="B613:J613"/>
    <mergeCell ref="B617:J617"/>
    <mergeCell ref="B621:J621"/>
    <mergeCell ref="B628:J628"/>
    <mergeCell ref="B579:J579"/>
    <mergeCell ref="B587:J587"/>
    <mergeCell ref="B594:J594"/>
    <mergeCell ref="B599:J599"/>
    <mergeCell ref="B665:J665"/>
    <mergeCell ref="B669:J669"/>
    <mergeCell ref="B673:J673"/>
    <mergeCell ref="B677:J677"/>
    <mergeCell ref="B681:J681"/>
    <mergeCell ref="B685:J685"/>
    <mergeCell ref="B689:J689"/>
    <mergeCell ref="B420:J420"/>
    <mergeCell ref="B552:J552"/>
    <mergeCell ref="B535:J535"/>
    <mergeCell ref="B530:J530"/>
    <mergeCell ref="B542:G542"/>
    <mergeCell ref="B553:J553"/>
    <mergeCell ref="B560:J560"/>
    <mergeCell ref="B567:J567"/>
    <mergeCell ref="B572:J572"/>
    <mergeCell ref="B496:J496"/>
    <mergeCell ref="B503:J503"/>
    <mergeCell ref="B512:J512"/>
    <mergeCell ref="B513:J513"/>
    <mergeCell ref="B520:J520"/>
    <mergeCell ref="B525:J525"/>
    <mergeCell ref="B428:J428"/>
    <mergeCell ref="B478:J478"/>
    <mergeCell ref="B488:J488"/>
    <mergeCell ref="B438:D438"/>
    <mergeCell ref="B459:D459"/>
    <mergeCell ref="B436:J436"/>
    <mergeCell ref="B441:J441"/>
    <mergeCell ref="B449:J449"/>
    <mergeCell ref="B457:J457"/>
    <mergeCell ref="B94:G94"/>
    <mergeCell ref="B107:G107"/>
    <mergeCell ref="B116:G116"/>
    <mergeCell ref="B409:J409"/>
    <mergeCell ref="B417:J417"/>
    <mergeCell ref="B418:J418"/>
    <mergeCell ref="B237:B238"/>
    <mergeCell ref="B253:B256"/>
    <mergeCell ref="B363:J363"/>
    <mergeCell ref="B364:J364"/>
    <mergeCell ref="B394:J394"/>
    <mergeCell ref="B400:J400"/>
    <mergeCell ref="B408:J408"/>
    <mergeCell ref="B380:J380"/>
    <mergeCell ref="B389:J389"/>
    <mergeCell ref="B383:B384"/>
    <mergeCell ref="B124:B127"/>
    <mergeCell ref="B104:J104"/>
    <mergeCell ref="B113:J113"/>
    <mergeCell ref="B121:J121"/>
    <mergeCell ref="B216:B219"/>
    <mergeCell ref="B232:B233"/>
    <mergeCell ref="B235:B236"/>
    <mergeCell ref="B372:J372"/>
    <mergeCell ref="B260:J260"/>
    <mergeCell ref="B462:J462"/>
    <mergeCell ref="B467:J467"/>
    <mergeCell ref="A4:B4"/>
    <mergeCell ref="C4:J4"/>
    <mergeCell ref="A5:B5"/>
    <mergeCell ref="C5:J5"/>
    <mergeCell ref="A6:B6"/>
    <mergeCell ref="C6:D6"/>
    <mergeCell ref="E6:F6"/>
    <mergeCell ref="G6:J6"/>
    <mergeCell ref="B138:J138"/>
    <mergeCell ref="B65:B66"/>
    <mergeCell ref="A9:J9"/>
    <mergeCell ref="A10:J10"/>
    <mergeCell ref="B58:J58"/>
    <mergeCell ref="B76:J76"/>
    <mergeCell ref="B91:J91"/>
    <mergeCell ref="B28:J28"/>
    <mergeCell ref="B42:J42"/>
    <mergeCell ref="B49:J49"/>
    <mergeCell ref="B26:J26"/>
    <mergeCell ref="B35:J35"/>
    <mergeCell ref="B61:B62"/>
    <mergeCell ref="B63:B64"/>
    <mergeCell ref="A1:J2"/>
    <mergeCell ref="A3:B3"/>
    <mergeCell ref="C3:E3"/>
    <mergeCell ref="F3:G3"/>
    <mergeCell ref="H3:J3"/>
    <mergeCell ref="A7:B7"/>
    <mergeCell ref="C7:D7"/>
    <mergeCell ref="E7:F7"/>
    <mergeCell ref="G7:J7"/>
    <mergeCell ref="B79:G79"/>
    <mergeCell ref="B27:J27"/>
    <mergeCell ref="B334:J334"/>
    <mergeCell ref="B344:J344"/>
    <mergeCell ref="B352:J352"/>
    <mergeCell ref="B357:J357"/>
    <mergeCell ref="B129:B134"/>
    <mergeCell ref="B224:B226"/>
    <mergeCell ref="B281:B283"/>
    <mergeCell ref="B220:B223"/>
    <mergeCell ref="B277:B280"/>
    <mergeCell ref="B143:B144"/>
    <mergeCell ref="B145:B146"/>
    <mergeCell ref="B154:B157"/>
    <mergeCell ref="B326:J326"/>
    <mergeCell ref="B141:B142"/>
    <mergeCell ref="B318:J318"/>
    <mergeCell ref="B150:J150"/>
    <mergeCell ref="B316:J316"/>
    <mergeCell ref="B311:J311"/>
    <mergeCell ref="B304:J304"/>
    <mergeCell ref="B303:J303"/>
    <mergeCell ref="B270:J270"/>
    <mergeCell ref="B265:J265"/>
    <mergeCell ref="B71:B72"/>
    <mergeCell ref="B67:B70"/>
    <mergeCell ref="B273:B276"/>
    <mergeCell ref="B287:G287"/>
    <mergeCell ref="B289:B290"/>
    <mergeCell ref="B292:B293"/>
    <mergeCell ref="B294:B295"/>
    <mergeCell ref="B317:J317"/>
    <mergeCell ref="B192:J192"/>
    <mergeCell ref="B185:J185"/>
    <mergeCell ref="B178:J178"/>
    <mergeCell ref="B167:J167"/>
    <mergeCell ref="B166:J166"/>
    <mergeCell ref="B250:J250"/>
    <mergeCell ref="B245:J245"/>
    <mergeCell ref="B209:J209"/>
    <mergeCell ref="B208:J208"/>
    <mergeCell ref="B83:G83"/>
    <mergeCell ref="B97:G97"/>
    <mergeCell ref="B198:J198"/>
    <mergeCell ref="B171:B174"/>
    <mergeCell ref="B201:B204"/>
    <mergeCell ref="B212:B215"/>
    <mergeCell ref="B230:G230"/>
    <mergeCell ref="B629:J629"/>
    <mergeCell ref="B633:J633"/>
    <mergeCell ref="B637:J637"/>
    <mergeCell ref="B641:J641"/>
    <mergeCell ref="B645:J645"/>
    <mergeCell ref="B649:J649"/>
    <mergeCell ref="B653:J653"/>
    <mergeCell ref="B657:J657"/>
    <mergeCell ref="B661:J661"/>
  </mergeCells>
  <phoneticPr fontId="6" type="noConversion"/>
  <pageMargins left="0.51181102362204722" right="0.51181102362204722" top="0.78740157480314965" bottom="0.78740157480314965" header="0.31496062992125984" footer="0.31496062992125984"/>
  <pageSetup paperSize="9" scale="67" orientation="portrait" r:id="rId1"/>
  <rowBreaks count="10" manualBreakCount="10">
    <brk id="57" max="9" man="1"/>
    <brk id="165" max="9" man="1"/>
    <brk id="207" max="9" man="1"/>
    <brk id="315" max="9" man="1"/>
    <brk id="371" max="9" man="1"/>
    <brk id="426" max="9" man="1"/>
    <brk id="466" max="9" man="1"/>
    <brk id="524" max="9" man="1"/>
    <brk id="578" max="9" man="1"/>
    <brk id="636"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view="pageBreakPreview" topLeftCell="A58" zoomScale="110" zoomScaleSheetLayoutView="110" workbookViewId="0">
      <selection activeCell="A11" sqref="A11:J11"/>
    </sheetView>
  </sheetViews>
  <sheetFormatPr defaultRowHeight="12.75" x14ac:dyDescent="0.2"/>
  <cols>
    <col min="2" max="2" width="10.140625" customWidth="1"/>
    <col min="3" max="4" width="11.28515625" customWidth="1"/>
    <col min="5" max="5" width="11.5703125" customWidth="1"/>
    <col min="6" max="6" width="13.42578125" customWidth="1"/>
    <col min="7" max="7" width="14.28515625" customWidth="1"/>
    <col min="8" max="8" width="13" customWidth="1"/>
    <col min="9" max="9" width="12.42578125" customWidth="1"/>
    <col min="10" max="10"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ht="24" customHeight="1" x14ac:dyDescent="0.2">
      <c r="A3" s="1316" t="s">
        <v>79</v>
      </c>
      <c r="B3" s="1317"/>
      <c r="C3" s="1321" t="str">
        <f>ORÇ!B2</f>
        <v>PREFEITURA MUNICIPAL DE OURÉM</v>
      </c>
      <c r="D3" s="1738"/>
      <c r="E3" s="1322"/>
      <c r="F3" s="1326" t="s">
        <v>85</v>
      </c>
      <c r="G3" s="1327"/>
      <c r="H3" s="1819" t="str">
        <f>ORÇ!I2</f>
        <v>OURÉM/PA</v>
      </c>
      <c r="I3" s="1820"/>
      <c r="J3" s="1821"/>
    </row>
    <row r="4" spans="1:11" ht="14.25" customHeight="1" x14ac:dyDescent="0.2">
      <c r="A4" s="1316" t="s">
        <v>80</v>
      </c>
      <c r="B4" s="1317"/>
      <c r="C4" s="1321" t="str">
        <f>ORÇ!B3</f>
        <v>CONSTRUÇÃO DO CENTRO DE FISIOTERAPIA, NO MUNICÍPIO DE OURÉM/PA</v>
      </c>
      <c r="D4" s="1738"/>
      <c r="E4" s="1738"/>
      <c r="F4" s="1738"/>
      <c r="G4" s="1738"/>
      <c r="H4" s="1738"/>
      <c r="I4" s="1738"/>
      <c r="J4" s="1322"/>
    </row>
    <row r="5" spans="1:11" ht="14.25" customHeight="1" x14ac:dyDescent="0.2">
      <c r="A5" s="1316" t="s">
        <v>161</v>
      </c>
      <c r="B5" s="1317"/>
      <c r="C5" s="1808" t="str">
        <f>ORÇ!B4</f>
        <v>AV. PADRE ANGELO MORETTE, S/Nº - OURÉM/PA</v>
      </c>
      <c r="D5" s="1809"/>
      <c r="E5" s="1809"/>
      <c r="F5" s="1809"/>
      <c r="G5" s="1809"/>
      <c r="H5" s="1809"/>
      <c r="I5" s="1809"/>
      <c r="J5" s="1810"/>
    </row>
    <row r="6" spans="1:11" ht="31.5"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11" ht="22.5" customHeight="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15" customHeight="1" thickBot="1" x14ac:dyDescent="0.25">
      <c r="A9" s="1674" t="str">
        <f>CONCATENATE("MEMÓRIA DE CÁLCULO ",ORÇ!A585)</f>
        <v>MEMÓRIA DE CÁLCULO 19</v>
      </c>
      <c r="B9" s="1675"/>
      <c r="C9" s="1675"/>
      <c r="D9" s="1675"/>
      <c r="E9" s="1675"/>
      <c r="F9" s="1675"/>
      <c r="G9" s="1675"/>
      <c r="H9" s="1675"/>
      <c r="I9" s="1675"/>
      <c r="J9" s="1676"/>
      <c r="K9" s="67"/>
    </row>
    <row r="10" spans="1:11" ht="16.5" customHeight="1" x14ac:dyDescent="0.2">
      <c r="A10" s="1677" t="str">
        <f>ORÇ!D585</f>
        <v>Fachada e Paisagismo</v>
      </c>
      <c r="B10" s="1677"/>
      <c r="C10" s="1677"/>
      <c r="D10" s="1677"/>
      <c r="E10" s="1677"/>
      <c r="F10" s="1677"/>
      <c r="G10" s="1677"/>
      <c r="H10" s="1677"/>
      <c r="I10" s="1677"/>
      <c r="J10" s="1677"/>
      <c r="K10" s="126"/>
    </row>
    <row r="11" spans="1:11" x14ac:dyDescent="0.2">
      <c r="A11" s="30">
        <f>ORÇ!A585</f>
        <v>19</v>
      </c>
      <c r="B11" s="815" t="str">
        <f>ORÇ!D585</f>
        <v>Fachada e Paisagismo</v>
      </c>
      <c r="C11" s="183"/>
      <c r="D11" s="198"/>
      <c r="E11" s="198"/>
      <c r="F11" s="198"/>
      <c r="G11" s="198"/>
      <c r="H11" s="198"/>
      <c r="I11" s="198"/>
      <c r="J11" s="198"/>
    </row>
    <row r="12" spans="1:11" x14ac:dyDescent="0.2">
      <c r="A12" s="30" t="str">
        <f>ORÇ!A586</f>
        <v>19.1</v>
      </c>
      <c r="B12" s="815" t="str">
        <f>ORÇ!D586</f>
        <v>Fachada</v>
      </c>
      <c r="C12" s="183"/>
      <c r="D12" s="198"/>
      <c r="E12" s="198"/>
      <c r="F12" s="198"/>
      <c r="G12" s="198"/>
      <c r="H12" s="198"/>
      <c r="I12" s="198"/>
      <c r="J12" s="198"/>
    </row>
    <row r="13" spans="1:11" s="139" customFormat="1" ht="15.75" customHeight="1" x14ac:dyDescent="0.2">
      <c r="A13" s="308" t="str">
        <f>ORÇ!A587</f>
        <v>19.1.1</v>
      </c>
      <c r="B13" s="1905" t="str">
        <f>ORÇ!D587</f>
        <v>PAINEL EM ACM - ESTRUTURADO (FACHADAS)</v>
      </c>
      <c r="C13" s="1905"/>
      <c r="D13" s="1905"/>
      <c r="E13" s="1905"/>
      <c r="F13" s="1905"/>
      <c r="G13" s="1905"/>
      <c r="H13" s="1905"/>
      <c r="I13" s="1905"/>
      <c r="J13" s="1905"/>
      <c r="K13" s="753"/>
    </row>
    <row r="14" spans="1:11" x14ac:dyDescent="0.2">
      <c r="A14" s="27"/>
      <c r="B14" s="27"/>
      <c r="C14" s="27"/>
      <c r="D14" s="27"/>
      <c r="E14" s="27"/>
      <c r="F14" s="27"/>
      <c r="G14" s="27"/>
      <c r="H14" s="27"/>
      <c r="I14" s="27"/>
      <c r="J14" s="27"/>
      <c r="K14" s="27"/>
    </row>
    <row r="15" spans="1:11" s="246" customFormat="1" ht="30.75" customHeight="1" x14ac:dyDescent="0.2">
      <c r="A15" s="748"/>
      <c r="B15" s="854" t="s">
        <v>1449</v>
      </c>
      <c r="C15" s="783" t="s">
        <v>753</v>
      </c>
      <c r="D15" s="783"/>
      <c r="E15" s="783" t="s">
        <v>405</v>
      </c>
      <c r="F15" s="783"/>
      <c r="G15" s="783" t="s">
        <v>590</v>
      </c>
      <c r="H15" s="783"/>
      <c r="I15" s="783" t="s">
        <v>213</v>
      </c>
      <c r="J15" s="748"/>
      <c r="K15" s="748"/>
    </row>
    <row r="16" spans="1:11" ht="14.25" customHeight="1" x14ac:dyDescent="0.2">
      <c r="A16" s="27"/>
      <c r="B16" s="1906" t="s">
        <v>900</v>
      </c>
      <c r="C16" s="395">
        <v>2</v>
      </c>
      <c r="D16" s="391" t="s">
        <v>45</v>
      </c>
      <c r="E16" s="395">
        <v>0.7</v>
      </c>
      <c r="F16" s="391" t="s">
        <v>45</v>
      </c>
      <c r="G16" s="392">
        <v>1</v>
      </c>
      <c r="H16" s="391" t="s">
        <v>46</v>
      </c>
      <c r="I16" s="395">
        <f t="shared" ref="I16:I21" si="0">ROUND(C16*E16*G16,2)</f>
        <v>1.4</v>
      </c>
      <c r="J16" s="27"/>
      <c r="K16" s="27"/>
    </row>
    <row r="17" spans="1:11" ht="14.25" customHeight="1" x14ac:dyDescent="0.2">
      <c r="A17" s="27"/>
      <c r="B17" s="1907"/>
      <c r="C17" s="395">
        <v>6.7</v>
      </c>
      <c r="D17" s="391" t="s">
        <v>45</v>
      </c>
      <c r="E17" s="395">
        <v>0.7</v>
      </c>
      <c r="F17" s="391" t="s">
        <v>45</v>
      </c>
      <c r="G17" s="392">
        <v>1</v>
      </c>
      <c r="H17" s="391" t="s">
        <v>46</v>
      </c>
      <c r="I17" s="395">
        <f t="shared" si="0"/>
        <v>4.6900000000000004</v>
      </c>
      <c r="J17" s="27"/>
      <c r="K17" s="27"/>
    </row>
    <row r="18" spans="1:11" ht="14.25" customHeight="1" x14ac:dyDescent="0.2">
      <c r="A18" s="27"/>
      <c r="B18" s="1907"/>
      <c r="C18" s="395">
        <v>7.57</v>
      </c>
      <c r="D18" s="391" t="s">
        <v>45</v>
      </c>
      <c r="E18" s="395">
        <v>0.7</v>
      </c>
      <c r="F18" s="391" t="s">
        <v>45</v>
      </c>
      <c r="G18" s="392">
        <v>1</v>
      </c>
      <c r="H18" s="391" t="s">
        <v>46</v>
      </c>
      <c r="I18" s="395">
        <f t="shared" si="0"/>
        <v>5.3</v>
      </c>
      <c r="J18" s="27"/>
      <c r="K18" s="27"/>
    </row>
    <row r="19" spans="1:11" ht="14.25" customHeight="1" x14ac:dyDescent="0.2">
      <c r="A19" s="27"/>
      <c r="B19" s="1908"/>
      <c r="C19" s="395">
        <v>0.5</v>
      </c>
      <c r="D19" s="391" t="s">
        <v>45</v>
      </c>
      <c r="E19" s="395">
        <v>0.7</v>
      </c>
      <c r="F19" s="391" t="s">
        <v>45</v>
      </c>
      <c r="G19" s="392">
        <v>1</v>
      </c>
      <c r="H19" s="391" t="s">
        <v>46</v>
      </c>
      <c r="I19" s="395">
        <f t="shared" si="0"/>
        <v>0.35</v>
      </c>
      <c r="J19" s="27"/>
      <c r="K19" s="27"/>
    </row>
    <row r="20" spans="1:11" ht="46.5" customHeight="1" x14ac:dyDescent="0.2">
      <c r="A20" s="27"/>
      <c r="B20" s="785" t="s">
        <v>1470</v>
      </c>
      <c r="C20" s="395">
        <v>1.97</v>
      </c>
      <c r="D20" s="391" t="s">
        <v>45</v>
      </c>
      <c r="E20" s="395">
        <v>1.97</v>
      </c>
      <c r="F20" s="391" t="s">
        <v>45</v>
      </c>
      <c r="G20" s="392">
        <v>2</v>
      </c>
      <c r="H20" s="391" t="s">
        <v>46</v>
      </c>
      <c r="I20" s="395">
        <f t="shared" si="0"/>
        <v>7.76</v>
      </c>
      <c r="J20" s="27"/>
      <c r="K20" s="27"/>
    </row>
    <row r="21" spans="1:11" ht="44.25" customHeight="1" x14ac:dyDescent="0.2">
      <c r="A21" s="27"/>
      <c r="B21" s="785" t="s">
        <v>1471</v>
      </c>
      <c r="C21" s="395">
        <v>7.57</v>
      </c>
      <c r="D21" s="391" t="s">
        <v>45</v>
      </c>
      <c r="E21" s="395">
        <v>4.67</v>
      </c>
      <c r="F21" s="391" t="s">
        <v>45</v>
      </c>
      <c r="G21" s="392">
        <v>2</v>
      </c>
      <c r="H21" s="391" t="s">
        <v>46</v>
      </c>
      <c r="I21" s="395">
        <f t="shared" si="0"/>
        <v>70.7</v>
      </c>
      <c r="J21" s="27"/>
      <c r="K21" s="27"/>
    </row>
    <row r="22" spans="1:11" ht="14.25" customHeight="1" x14ac:dyDescent="0.2">
      <c r="A22" s="27"/>
      <c r="B22" s="27"/>
      <c r="C22" s="779"/>
      <c r="D22" s="538"/>
      <c r="E22" s="779"/>
      <c r="F22" s="538"/>
      <c r="G22" s="779"/>
      <c r="H22" s="538"/>
      <c r="I22" s="779"/>
      <c r="J22" s="27"/>
      <c r="K22" s="27"/>
    </row>
    <row r="23" spans="1:11" ht="14.25" customHeight="1" x14ac:dyDescent="0.2">
      <c r="A23" s="27"/>
      <c r="B23" s="786" t="s">
        <v>47</v>
      </c>
      <c r="C23" s="855">
        <f>ROUND(SUM(I16:I22),2)</f>
        <v>90.2</v>
      </c>
      <c r="D23" s="787" t="s">
        <v>4</v>
      </c>
      <c r="E23" s="779"/>
      <c r="F23" s="538"/>
      <c r="G23" s="779"/>
      <c r="H23" s="538"/>
      <c r="I23" s="779"/>
      <c r="J23" s="27"/>
      <c r="K23" s="27"/>
    </row>
    <row r="24" spans="1:11" ht="14.25" customHeight="1" x14ac:dyDescent="0.2">
      <c r="A24" s="27"/>
      <c r="B24" s="27"/>
      <c r="C24" s="27"/>
      <c r="D24" s="27"/>
      <c r="E24" s="27"/>
      <c r="F24" s="27"/>
      <c r="G24" s="27"/>
      <c r="H24" s="27"/>
      <c r="I24" s="27"/>
      <c r="J24" s="27"/>
      <c r="K24" s="27"/>
    </row>
    <row r="25" spans="1:11" s="21" customFormat="1" x14ac:dyDescent="0.2">
      <c r="A25" s="308" t="str">
        <f>ORÇ!A588</f>
        <v>19.1.2</v>
      </c>
      <c r="B25" s="1909" t="str">
        <f>ORÇ!D588</f>
        <v>ADESIVO VINILICO FIXADO EM PAINEL ACM PARA FACHADA. FORNECIMENTO E INSTALAÇÃO.</v>
      </c>
      <c r="C25" s="1909"/>
      <c r="D25" s="1909"/>
      <c r="E25" s="1909"/>
      <c r="F25" s="1909"/>
      <c r="G25" s="1909"/>
      <c r="H25" s="1909"/>
      <c r="I25" s="1909"/>
      <c r="J25" s="1909"/>
      <c r="K25" s="814"/>
    </row>
    <row r="26" spans="1:11" s="21" customFormat="1" x14ac:dyDescent="0.2">
      <c r="A26" s="859"/>
      <c r="B26" s="859"/>
      <c r="C26" s="859"/>
      <c r="D26" s="859"/>
      <c r="E26" s="859"/>
      <c r="F26" s="859"/>
      <c r="G26" s="859"/>
      <c r="H26" s="859"/>
      <c r="I26" s="859"/>
      <c r="J26" s="859"/>
      <c r="K26" s="859"/>
    </row>
    <row r="27" spans="1:11" s="861" customFormat="1" ht="16.5" customHeight="1" x14ac:dyDescent="0.2">
      <c r="A27" s="860"/>
      <c r="B27" s="783" t="s">
        <v>1463</v>
      </c>
      <c r="C27" s="783" t="s">
        <v>311</v>
      </c>
      <c r="D27" s="813"/>
      <c r="E27" s="813" t="s">
        <v>405</v>
      </c>
      <c r="F27" s="813"/>
      <c r="G27" s="813" t="s">
        <v>213</v>
      </c>
      <c r="H27" s="860"/>
      <c r="I27" s="860"/>
      <c r="J27" s="860"/>
      <c r="K27" s="860"/>
    </row>
    <row r="28" spans="1:11" s="21" customFormat="1" ht="12.75" customHeight="1" x14ac:dyDescent="0.2">
      <c r="A28" s="859"/>
      <c r="B28" s="785" t="s">
        <v>1464</v>
      </c>
      <c r="C28" s="516">
        <v>0.3</v>
      </c>
      <c r="D28" s="812" t="s">
        <v>45</v>
      </c>
      <c r="E28" s="456">
        <v>0.86</v>
      </c>
      <c r="F28" s="812" t="s">
        <v>46</v>
      </c>
      <c r="G28" s="456">
        <f>ROUND(C28*E28,2)</f>
        <v>0.26</v>
      </c>
      <c r="H28" s="859"/>
      <c r="I28" s="859"/>
      <c r="J28" s="859"/>
      <c r="K28" s="859"/>
    </row>
    <row r="29" spans="1:11" s="21" customFormat="1" ht="25.5" x14ac:dyDescent="0.2">
      <c r="A29" s="859"/>
      <c r="B29" s="785" t="s">
        <v>1465</v>
      </c>
      <c r="C29" s="516">
        <v>0.2</v>
      </c>
      <c r="D29" s="812" t="s">
        <v>45</v>
      </c>
      <c r="E29" s="456">
        <v>3.63</v>
      </c>
      <c r="F29" s="812" t="s">
        <v>46</v>
      </c>
      <c r="G29" s="456">
        <f t="shared" ref="G29" si="1">ROUND(C29*E29,2)</f>
        <v>0.73</v>
      </c>
      <c r="H29" s="859"/>
      <c r="I29" s="859"/>
      <c r="J29" s="859"/>
      <c r="K29" s="859"/>
    </row>
    <row r="30" spans="1:11" s="21" customFormat="1" x14ac:dyDescent="0.2"/>
    <row r="31" spans="1:11" s="21" customFormat="1" ht="15.75" customHeight="1" x14ac:dyDescent="0.2">
      <c r="B31" s="659" t="s">
        <v>47</v>
      </c>
      <c r="C31" s="661">
        <f>ROUND(SUM(G28:G29),2)</f>
        <v>0.99</v>
      </c>
      <c r="D31" s="660" t="s">
        <v>4</v>
      </c>
    </row>
    <row r="32" spans="1:11" s="471" customFormat="1" x14ac:dyDescent="0.2"/>
    <row r="33" spans="1:11" s="139" customFormat="1" ht="29.25" customHeight="1" x14ac:dyDescent="0.2">
      <c r="A33" s="308" t="str">
        <f>ORÇ!A589</f>
        <v>19.1.3</v>
      </c>
      <c r="B33" s="1905" t="str">
        <f>ORÇ!D589</f>
        <v>TIRANTE EM CABO DE AÇO GALVANIZADO, DIÂMETRO DE 9,53 MM (3/8") PARA COBERTURA. FORNECIMENTO E INSTALAÇÃO.</v>
      </c>
      <c r="C33" s="1905"/>
      <c r="D33" s="1905"/>
      <c r="E33" s="1905"/>
      <c r="F33" s="1905"/>
      <c r="G33" s="1905"/>
      <c r="H33" s="1905"/>
      <c r="I33" s="1905"/>
      <c r="J33" s="1905"/>
      <c r="K33" s="1218"/>
    </row>
    <row r="34" spans="1:11" x14ac:dyDescent="0.2">
      <c r="A34" s="27"/>
      <c r="B34" s="27"/>
      <c r="C34" s="27"/>
      <c r="D34" s="27"/>
      <c r="E34" s="27"/>
      <c r="F34" s="27"/>
      <c r="G34" s="27"/>
      <c r="H34" s="27"/>
      <c r="I34" s="27"/>
      <c r="J34" s="27"/>
      <c r="K34" s="27"/>
    </row>
    <row r="35" spans="1:11" s="139" customFormat="1" ht="16.5" customHeight="1" x14ac:dyDescent="0.2">
      <c r="A35" s="295"/>
      <c r="B35" s="295"/>
      <c r="C35" s="391" t="s">
        <v>753</v>
      </c>
      <c r="D35" s="295"/>
      <c r="E35" s="295"/>
      <c r="F35" s="295"/>
      <c r="G35" s="295"/>
      <c r="H35" s="295"/>
      <c r="I35" s="295"/>
      <c r="J35" s="295"/>
      <c r="K35" s="295"/>
    </row>
    <row r="36" spans="1:11" x14ac:dyDescent="0.2">
      <c r="A36" s="27"/>
      <c r="B36" s="1910" t="s">
        <v>1287</v>
      </c>
      <c r="C36" s="784">
        <v>2.0699999999999998</v>
      </c>
      <c r="D36" s="27"/>
      <c r="E36" s="27"/>
      <c r="F36" s="27"/>
      <c r="G36" s="27"/>
      <c r="H36" s="27"/>
      <c r="I36" s="27"/>
      <c r="J36" s="27"/>
      <c r="K36" s="27"/>
    </row>
    <row r="37" spans="1:11" x14ac:dyDescent="0.2">
      <c r="A37" s="27"/>
      <c r="B37" s="1911"/>
      <c r="C37" s="784">
        <v>2.0699999999999998</v>
      </c>
      <c r="D37" s="27"/>
      <c r="E37" s="27"/>
      <c r="F37" s="27"/>
      <c r="G37" s="27"/>
      <c r="H37" s="27"/>
      <c r="I37" s="27"/>
      <c r="J37" s="27"/>
      <c r="K37" s="27"/>
    </row>
    <row r="38" spans="1:11" x14ac:dyDescent="0.2">
      <c r="A38" s="27"/>
      <c r="B38" s="1911"/>
      <c r="C38" s="784">
        <v>3.65</v>
      </c>
      <c r="D38" s="27"/>
      <c r="E38" s="27"/>
      <c r="F38" s="27"/>
      <c r="G38" s="27"/>
      <c r="H38" s="27"/>
      <c r="I38" s="27"/>
      <c r="J38" s="27"/>
      <c r="K38" s="27"/>
    </row>
    <row r="39" spans="1:11" x14ac:dyDescent="0.2">
      <c r="A39" s="27"/>
      <c r="B39" s="1911"/>
      <c r="C39" s="784">
        <v>3.65</v>
      </c>
      <c r="D39" s="27"/>
      <c r="E39" s="27"/>
      <c r="F39" s="27"/>
      <c r="G39" s="27"/>
      <c r="H39" s="27"/>
      <c r="I39" s="27"/>
      <c r="J39" s="27"/>
      <c r="K39" s="27"/>
    </row>
    <row r="40" spans="1:11" x14ac:dyDescent="0.2">
      <c r="A40" s="27"/>
      <c r="B40" s="1912"/>
      <c r="C40" s="784">
        <v>3.65</v>
      </c>
      <c r="D40" s="27"/>
      <c r="E40" s="27"/>
      <c r="F40" s="27"/>
      <c r="G40" s="27"/>
      <c r="H40" s="27"/>
      <c r="I40" s="27"/>
      <c r="J40" s="27"/>
      <c r="K40" s="27"/>
    </row>
    <row r="42" spans="1:11" ht="15.75" customHeight="1" x14ac:dyDescent="0.2">
      <c r="B42" s="659" t="s">
        <v>47</v>
      </c>
      <c r="C42" s="661">
        <f>ROUND(SUM(C36:C40),2)</f>
        <v>15.09</v>
      </c>
      <c r="D42" s="660" t="s">
        <v>12</v>
      </c>
    </row>
    <row r="44" spans="1:11" x14ac:dyDescent="0.2">
      <c r="A44" s="308" t="str">
        <f>ORÇ!A590</f>
        <v>19.2</v>
      </c>
      <c r="B44" s="1909" t="str">
        <f>ORÇ!D590</f>
        <v>Paisagismo</v>
      </c>
      <c r="C44" s="1909"/>
      <c r="D44" s="1909"/>
      <c r="E44" s="1909"/>
      <c r="F44" s="1909"/>
      <c r="G44" s="1909"/>
      <c r="H44" s="1909"/>
      <c r="I44" s="1909"/>
      <c r="J44" s="1909"/>
      <c r="K44" s="814"/>
    </row>
    <row r="45" spans="1:11" x14ac:dyDescent="0.2">
      <c r="A45" s="308" t="str">
        <f>ORÇ!A591</f>
        <v>19.2.1</v>
      </c>
      <c r="B45" s="1909" t="str">
        <f>ORÇ!D591</f>
        <v>PLANTIO DE GRAMA EM PLACAS. AF_05/2018</v>
      </c>
      <c r="C45" s="1909"/>
      <c r="D45" s="1909"/>
      <c r="E45" s="1909"/>
      <c r="F45" s="1909"/>
      <c r="G45" s="1909"/>
      <c r="H45" s="1909"/>
      <c r="I45" s="1909"/>
      <c r="J45" s="1909"/>
      <c r="K45" s="814"/>
    </row>
    <row r="47" spans="1:11" s="851" customFormat="1" x14ac:dyDescent="0.2">
      <c r="B47" s="813" t="s">
        <v>589</v>
      </c>
      <c r="C47" s="813" t="s">
        <v>496</v>
      </c>
    </row>
    <row r="48" spans="1:11" s="884" customFormat="1" ht="15" customHeight="1" x14ac:dyDescent="0.2">
      <c r="B48" s="876" t="s">
        <v>1829</v>
      </c>
      <c r="C48" s="857">
        <v>51.6</v>
      </c>
    </row>
    <row r="49" spans="1:11" ht="15" customHeight="1" x14ac:dyDescent="0.2">
      <c r="B49" s="895" t="s">
        <v>1830</v>
      </c>
      <c r="C49" s="857">
        <v>10.8</v>
      </c>
    </row>
    <row r="50" spans="1:11" ht="15" customHeight="1" x14ac:dyDescent="0.2">
      <c r="B50" s="895" t="s">
        <v>1831</v>
      </c>
      <c r="C50" s="857">
        <v>7.92</v>
      </c>
    </row>
    <row r="51" spans="1:11" ht="15" customHeight="1" x14ac:dyDescent="0.2">
      <c r="B51" s="895" t="s">
        <v>1832</v>
      </c>
      <c r="C51" s="857">
        <v>4.24</v>
      </c>
    </row>
    <row r="52" spans="1:11" ht="15" customHeight="1" x14ac:dyDescent="0.2">
      <c r="B52" s="895" t="s">
        <v>1833</v>
      </c>
      <c r="C52" s="857">
        <v>72.77</v>
      </c>
    </row>
    <row r="53" spans="1:11" ht="15" customHeight="1" x14ac:dyDescent="0.2">
      <c r="B53" s="895" t="s">
        <v>1834</v>
      </c>
      <c r="C53" s="857">
        <v>22.53</v>
      </c>
    </row>
    <row r="54" spans="1:11" ht="15" customHeight="1" x14ac:dyDescent="0.2">
      <c r="B54" s="895" t="s">
        <v>1835</v>
      </c>
      <c r="C54" s="857">
        <v>7.21</v>
      </c>
    </row>
    <row r="55" spans="1:11" ht="15" customHeight="1" x14ac:dyDescent="0.2">
      <c r="B55" s="804" t="s">
        <v>794</v>
      </c>
      <c r="C55" s="857">
        <v>86.6</v>
      </c>
    </row>
    <row r="57" spans="1:11" s="325" customFormat="1" x14ac:dyDescent="0.2">
      <c r="B57" s="856" t="s">
        <v>47</v>
      </c>
      <c r="C57" s="858">
        <f>ROUND(SUM(C47:C55),2)</f>
        <v>263.67</v>
      </c>
      <c r="D57" s="802" t="s">
        <v>4</v>
      </c>
    </row>
    <row r="59" spans="1:11" x14ac:dyDescent="0.2">
      <c r="A59" s="308" t="str">
        <f>ORÇ!A592</f>
        <v>19.2.2</v>
      </c>
      <c r="B59" s="1909" t="str">
        <f>ORÇ!D592</f>
        <v>PLANTIO DE ARBUSTO OU  CERCA VIVA. AF_05/2018</v>
      </c>
      <c r="C59" s="1909"/>
      <c r="D59" s="1909"/>
      <c r="E59" s="1909"/>
      <c r="F59" s="1909"/>
      <c r="G59" s="1909"/>
      <c r="H59" s="1909"/>
      <c r="I59" s="1909"/>
      <c r="J59" s="1909"/>
      <c r="K59" s="814"/>
    </row>
    <row r="61" spans="1:11" s="325" customFormat="1" x14ac:dyDescent="0.2">
      <c r="B61" s="856" t="s">
        <v>47</v>
      </c>
      <c r="C61" s="858">
        <v>64</v>
      </c>
      <c r="D61" s="802" t="s">
        <v>668</v>
      </c>
    </row>
    <row r="63" spans="1:11" s="139" customFormat="1" ht="29.25" customHeight="1" x14ac:dyDescent="0.2">
      <c r="A63" s="308" t="str">
        <f>ORÇ!A593</f>
        <v>19.2.3</v>
      </c>
      <c r="B63" s="1905" t="str">
        <f>ORÇ!D593</f>
        <v>PLANTIO DE ÁRVORE ORNAMENTAL COM ALTURA DE MUDA MENOR OU IGUAL A 2,00 M. AF_05/2018</v>
      </c>
      <c r="C63" s="1905"/>
      <c r="D63" s="1905"/>
      <c r="E63" s="1905"/>
      <c r="F63" s="1905"/>
      <c r="G63" s="1905"/>
      <c r="H63" s="1905"/>
      <c r="I63" s="1905"/>
      <c r="J63" s="1905"/>
      <c r="K63" s="817"/>
    </row>
    <row r="64" spans="1:11" ht="15" customHeight="1" x14ac:dyDescent="0.2"/>
    <row r="65" spans="2:4" s="325" customFormat="1" x14ac:dyDescent="0.2">
      <c r="B65" s="856" t="s">
        <v>47</v>
      </c>
      <c r="C65" s="858">
        <v>3</v>
      </c>
      <c r="D65" s="802" t="s">
        <v>668</v>
      </c>
    </row>
  </sheetData>
  <mergeCells count="28">
    <mergeCell ref="B44:J44"/>
    <mergeCell ref="B45:J45"/>
    <mergeCell ref="B59:J59"/>
    <mergeCell ref="B63:J63"/>
    <mergeCell ref="B36:B40"/>
    <mergeCell ref="B33:J33"/>
    <mergeCell ref="B13:J13"/>
    <mergeCell ref="B16:B19"/>
    <mergeCell ref="B25:J25"/>
    <mergeCell ref="A10:J10"/>
    <mergeCell ref="A5:B5"/>
    <mergeCell ref="C5:J5"/>
    <mergeCell ref="A6:B6"/>
    <mergeCell ref="C6:D6"/>
    <mergeCell ref="E6:F6"/>
    <mergeCell ref="G6:J6"/>
    <mergeCell ref="A7:B7"/>
    <mergeCell ref="C7:D7"/>
    <mergeCell ref="E7:F7"/>
    <mergeCell ref="G7:J7"/>
    <mergeCell ref="A9:J9"/>
    <mergeCell ref="A4:B4"/>
    <mergeCell ref="C4:J4"/>
    <mergeCell ref="A1:J2"/>
    <mergeCell ref="A3:B3"/>
    <mergeCell ref="C3:E3"/>
    <mergeCell ref="F3:G3"/>
    <mergeCell ref="H3:J3"/>
  </mergeCells>
  <pageMargins left="0.51181102362204722" right="0.51181102362204722" top="0.78740157480314965" bottom="0.78740157480314965" header="0.31496062992125984" footer="0.31496062992125984"/>
  <pageSetup paperSize="9" scale="6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view="pageBreakPreview" topLeftCell="A22" zoomScale="110" zoomScaleSheetLayoutView="110" workbookViewId="0">
      <selection activeCell="A11" sqref="A11:J11"/>
    </sheetView>
  </sheetViews>
  <sheetFormatPr defaultRowHeight="12.75" x14ac:dyDescent="0.2"/>
  <cols>
    <col min="2" max="2" width="11.140625" customWidth="1"/>
    <col min="3" max="4" width="11.28515625" customWidth="1"/>
    <col min="5" max="5" width="11.5703125" customWidth="1"/>
    <col min="6" max="6" width="13.42578125" customWidth="1"/>
    <col min="7" max="7" width="14.28515625" customWidth="1"/>
    <col min="8" max="8" width="13" customWidth="1"/>
    <col min="9" max="9" width="12.42578125" customWidth="1"/>
    <col min="10" max="10"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ht="24" customHeight="1" x14ac:dyDescent="0.2">
      <c r="A3" s="1316" t="s">
        <v>79</v>
      </c>
      <c r="B3" s="1317"/>
      <c r="C3" s="1321" t="str">
        <f>ORÇ!B2</f>
        <v>PREFEITURA MUNICIPAL DE OURÉM</v>
      </c>
      <c r="D3" s="1738"/>
      <c r="E3" s="1322"/>
      <c r="F3" s="1326" t="s">
        <v>85</v>
      </c>
      <c r="G3" s="1327"/>
      <c r="H3" s="1819" t="str">
        <f>ORÇ!I2</f>
        <v>OURÉM/PA</v>
      </c>
      <c r="I3" s="1820"/>
      <c r="J3" s="1821"/>
    </row>
    <row r="4" spans="1:11" ht="15.75" customHeight="1" x14ac:dyDescent="0.2">
      <c r="A4" s="1316" t="s">
        <v>80</v>
      </c>
      <c r="B4" s="1317"/>
      <c r="C4" s="1321" t="str">
        <f>ORÇ!B3</f>
        <v>CONSTRUÇÃO DO CENTRO DE FISIOTERAPIA, NO MUNICÍPIO DE OURÉM/PA</v>
      </c>
      <c r="D4" s="1738"/>
      <c r="E4" s="1738"/>
      <c r="F4" s="1738"/>
      <c r="G4" s="1738"/>
      <c r="H4" s="1738"/>
      <c r="I4" s="1738"/>
      <c r="J4" s="1322"/>
    </row>
    <row r="5" spans="1:11" ht="15.75" customHeight="1" x14ac:dyDescent="0.2">
      <c r="A5" s="1316" t="s">
        <v>161</v>
      </c>
      <c r="B5" s="1317"/>
      <c r="C5" s="1808" t="str">
        <f>ORÇ!B4</f>
        <v>AV. PADRE ANGELO MORETTE, S/Nº - OURÉM/PA</v>
      </c>
      <c r="D5" s="1809"/>
      <c r="E5" s="1809"/>
      <c r="F5" s="1809"/>
      <c r="G5" s="1809"/>
      <c r="H5" s="1809"/>
      <c r="I5" s="1809"/>
      <c r="J5" s="1810"/>
    </row>
    <row r="6" spans="1:11" ht="31.5" customHeight="1" x14ac:dyDescent="0.2">
      <c r="A6" s="1310" t="s">
        <v>81</v>
      </c>
      <c r="B6" s="1311"/>
      <c r="C6" s="1312">
        <f>ORÇ!B5</f>
        <v>0.2881986483454233</v>
      </c>
      <c r="D6" s="1680"/>
      <c r="E6" s="1342" t="s">
        <v>169</v>
      </c>
      <c r="F6" s="1343"/>
      <c r="G6" s="1816" t="str">
        <f>ORÇ!G5</f>
        <v>SINAPI FEVEREIRO 2022 - DESONERADA                                 SEDOP FEVEREIRO 2022 - DESONERADA</v>
      </c>
      <c r="H6" s="1817"/>
      <c r="I6" s="1817"/>
      <c r="J6" s="1818"/>
    </row>
    <row r="7" spans="1:11" ht="22.5" customHeight="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21" customHeight="1" thickBot="1" x14ac:dyDescent="0.25">
      <c r="A9" s="1674" t="str">
        <f>CONCATENATE("MEMÓRIA DE CÁLCULO ",ORÇ!A595)</f>
        <v>MEMÓRIA DE CÁLCULO 20</v>
      </c>
      <c r="B9" s="1675"/>
      <c r="C9" s="1675"/>
      <c r="D9" s="1675"/>
      <c r="E9" s="1675"/>
      <c r="F9" s="1675"/>
      <c r="G9" s="1675"/>
      <c r="H9" s="1675"/>
      <c r="I9" s="1675"/>
      <c r="J9" s="1676"/>
      <c r="K9" s="67"/>
    </row>
    <row r="10" spans="1:11" ht="16.5" customHeight="1" x14ac:dyDescent="0.2">
      <c r="A10" s="1677" t="str">
        <f>ORÇ!D595</f>
        <v>Prevenção e Combate a Incêndio</v>
      </c>
      <c r="B10" s="1677"/>
      <c r="C10" s="1677"/>
      <c r="D10" s="1677"/>
      <c r="E10" s="1677"/>
      <c r="F10" s="1677"/>
      <c r="G10" s="1677"/>
      <c r="H10" s="1677"/>
      <c r="I10" s="1677"/>
      <c r="J10" s="1677"/>
      <c r="K10" s="126"/>
    </row>
    <row r="11" spans="1:11" x14ac:dyDescent="0.2">
      <c r="A11" s="30">
        <f>ORÇ!A595</f>
        <v>20</v>
      </c>
      <c r="B11" s="291" t="str">
        <f>ORÇ!D595</f>
        <v>Prevenção e Combate a Incêndio</v>
      </c>
      <c r="C11" s="183"/>
      <c r="D11" s="198"/>
      <c r="E11" s="198"/>
      <c r="F11" s="198"/>
      <c r="G11" s="198"/>
      <c r="H11" s="198"/>
      <c r="I11" s="198"/>
      <c r="J11" s="198"/>
    </row>
    <row r="12" spans="1:11" ht="25.5" customHeight="1" x14ac:dyDescent="0.2">
      <c r="A12" s="293" t="str">
        <f>ORÇ!A596</f>
        <v>20.1</v>
      </c>
      <c r="B12" s="1735" t="str">
        <f>ORÇ!D596</f>
        <v>EXTINTOR DE INCÊNDIO PORTÁTIL COM CARGA DE PQS DE 4 KG, CLASSE BC - FORNECIMENTO E INSTALAÇÃO. AF_10/2020_P</v>
      </c>
      <c r="C12" s="1735"/>
      <c r="D12" s="1735"/>
      <c r="E12" s="1735"/>
      <c r="F12" s="1735"/>
      <c r="G12" s="1735"/>
      <c r="H12" s="1735"/>
      <c r="I12" s="1735"/>
      <c r="J12" s="1735"/>
      <c r="K12" s="291"/>
    </row>
    <row r="13" spans="1:11" x14ac:dyDescent="0.2">
      <c r="C13" s="196"/>
      <c r="D13" s="10"/>
      <c r="E13" s="198"/>
      <c r="F13" s="853"/>
      <c r="G13" s="853"/>
      <c r="H13" s="294"/>
      <c r="I13" s="294"/>
      <c r="J13" s="183"/>
      <c r="K13" s="183"/>
    </row>
    <row r="14" spans="1:11" x14ac:dyDescent="0.2">
      <c r="B14" s="158" t="s">
        <v>163</v>
      </c>
      <c r="C14" s="159">
        <v>4</v>
      </c>
      <c r="D14" s="160" t="s">
        <v>52</v>
      </c>
      <c r="E14" s="198"/>
      <c r="F14" s="853"/>
      <c r="G14" s="853"/>
      <c r="H14" s="294"/>
      <c r="I14" s="294"/>
      <c r="J14" s="183"/>
      <c r="K14" s="183"/>
    </row>
    <row r="15" spans="1:11" x14ac:dyDescent="0.2">
      <c r="B15" s="243"/>
      <c r="C15" s="243"/>
      <c r="D15" s="243"/>
      <c r="E15" s="198"/>
      <c r="F15" s="853"/>
      <c r="G15" s="853"/>
      <c r="H15" s="294"/>
      <c r="I15" s="294"/>
      <c r="J15" s="183"/>
      <c r="K15" s="183"/>
    </row>
    <row r="16" spans="1:11" s="139" customFormat="1" ht="16.5" customHeight="1" x14ac:dyDescent="0.2">
      <c r="A16" s="337" t="str">
        <f>ORÇ!A597</f>
        <v>20.2</v>
      </c>
      <c r="B16" s="1730" t="str">
        <f>ORÇ!D597</f>
        <v>PLACA DE SINALIZAÇÃO FOTOLUMINOSCENTE</v>
      </c>
      <c r="C16" s="1730"/>
      <c r="D16" s="1730"/>
      <c r="E16" s="1730"/>
      <c r="F16" s="1730"/>
      <c r="G16" s="1730"/>
      <c r="H16" s="1730"/>
      <c r="I16" s="1730"/>
      <c r="J16" s="1730"/>
    </row>
    <row r="17" spans="1:10" x14ac:dyDescent="0.2">
      <c r="A17" s="292"/>
      <c r="B17" s="243"/>
      <c r="C17" s="243"/>
      <c r="D17" s="243"/>
      <c r="E17" s="183"/>
      <c r="F17" s="183"/>
      <c r="G17" s="183"/>
    </row>
    <row r="18" spans="1:10" s="33" customFormat="1" ht="16.5" customHeight="1" x14ac:dyDescent="0.2">
      <c r="A18" s="337"/>
      <c r="B18" s="874" t="s">
        <v>616</v>
      </c>
      <c r="C18" s="874" t="s">
        <v>469</v>
      </c>
      <c r="E18" s="337"/>
      <c r="F18" s="337"/>
      <c r="G18" s="337"/>
    </row>
    <row r="19" spans="1:10" ht="30" customHeight="1" x14ac:dyDescent="0.2">
      <c r="A19" s="875"/>
      <c r="B19" s="877" t="s">
        <v>1761</v>
      </c>
      <c r="C19" s="857">
        <f>4+3+6+4</f>
        <v>17</v>
      </c>
      <c r="D19" s="243"/>
      <c r="E19" s="183"/>
      <c r="F19" s="183"/>
      <c r="G19" s="183"/>
    </row>
    <row r="20" spans="1:10" ht="25.5" x14ac:dyDescent="0.2">
      <c r="A20" s="875"/>
      <c r="B20" s="877" t="s">
        <v>1762</v>
      </c>
      <c r="C20" s="857">
        <v>2</v>
      </c>
      <c r="D20" s="243"/>
      <c r="E20" s="183"/>
      <c r="F20" s="183"/>
      <c r="G20" s="183"/>
    </row>
    <row r="21" spans="1:10" x14ac:dyDescent="0.2">
      <c r="A21" s="875"/>
      <c r="B21" s="1023" t="s">
        <v>1763</v>
      </c>
      <c r="C21" s="845">
        <f>C14</f>
        <v>4</v>
      </c>
      <c r="D21" s="243"/>
      <c r="E21" s="183"/>
      <c r="F21" s="183"/>
      <c r="G21" s="183"/>
    </row>
    <row r="22" spans="1:10" x14ac:dyDescent="0.2">
      <c r="A22" s="875"/>
      <c r="B22" s="243"/>
      <c r="C22" s="243"/>
      <c r="D22" s="243"/>
      <c r="E22" s="183"/>
      <c r="F22" s="183"/>
      <c r="G22" s="183"/>
    </row>
    <row r="23" spans="1:10" x14ac:dyDescent="0.2">
      <c r="B23" s="158" t="s">
        <v>163</v>
      </c>
      <c r="C23" s="159">
        <f>ROUND(SUM(C19:C21),2)</f>
        <v>23</v>
      </c>
      <c r="D23" s="160" t="s">
        <v>52</v>
      </c>
    </row>
    <row r="25" spans="1:10" s="139" customFormat="1" ht="29.25" customHeight="1" x14ac:dyDescent="0.2">
      <c r="A25" s="246" t="str">
        <f>ORÇ!A598</f>
        <v>20.3</v>
      </c>
      <c r="B25" s="1730" t="str">
        <f>ORÇ!D598</f>
        <v>LUMINÁRIA DE EMERGÊNCIA, COM 30 LÂMPADAS LED DE 2 W, SEM REATOR - FORNECIMENTO E INSTALAÇÃO. AF_02/2020</v>
      </c>
      <c r="C25" s="1730"/>
      <c r="D25" s="1730"/>
      <c r="E25" s="1730"/>
      <c r="F25" s="1730"/>
      <c r="G25" s="1730"/>
      <c r="H25" s="1730"/>
      <c r="I25" s="1730"/>
      <c r="J25" s="1730"/>
    </row>
    <row r="27" spans="1:10" x14ac:dyDescent="0.2">
      <c r="B27" s="158" t="s">
        <v>163</v>
      </c>
      <c r="C27" s="159">
        <v>19</v>
      </c>
      <c r="D27" s="160" t="s">
        <v>52</v>
      </c>
    </row>
    <row r="29" spans="1:10" s="21" customFormat="1" ht="20.25" customHeight="1" x14ac:dyDescent="0.2">
      <c r="A29" s="246" t="str">
        <f>ORÇ!A599</f>
        <v>20.4</v>
      </c>
      <c r="B29" s="1730" t="str">
        <f>ORÇ!D599</f>
        <v>PINTURA DE PISO COM TINTA EPÓXI, APLICAÇÃO MANUAL, 2 DEMÃOS, INCLUSO PRIMER EPÓXI. AF_05/2021</v>
      </c>
      <c r="C29" s="1730"/>
      <c r="D29" s="1730"/>
      <c r="E29" s="1730"/>
      <c r="F29" s="1730"/>
      <c r="G29" s="1730"/>
      <c r="H29" s="1730"/>
      <c r="I29" s="1730"/>
      <c r="J29" s="1730"/>
    </row>
    <row r="30" spans="1:10" s="21" customFormat="1" x14ac:dyDescent="0.2"/>
    <row r="31" spans="1:10" s="140" customFormat="1" ht="17.25" customHeight="1" x14ac:dyDescent="0.2">
      <c r="C31" s="701" t="s">
        <v>1215</v>
      </c>
      <c r="D31" s="701"/>
      <c r="E31" s="701" t="s">
        <v>405</v>
      </c>
      <c r="F31" s="701"/>
      <c r="G31" s="701" t="s">
        <v>213</v>
      </c>
    </row>
    <row r="32" spans="1:10" s="21" customFormat="1" ht="25.5" x14ac:dyDescent="0.2">
      <c r="B32" s="84" t="s">
        <v>1213</v>
      </c>
      <c r="C32" s="456">
        <v>3.4</v>
      </c>
      <c r="D32" s="701" t="s">
        <v>45</v>
      </c>
      <c r="E32" s="701">
        <v>0.15</v>
      </c>
      <c r="F32" s="701" t="s">
        <v>46</v>
      </c>
      <c r="G32" s="701">
        <f>ROUND(C32*E32,2)</f>
        <v>0.51</v>
      </c>
    </row>
    <row r="33" spans="2:7" s="21" customFormat="1" x14ac:dyDescent="0.2">
      <c r="B33" s="78" t="s">
        <v>1214</v>
      </c>
      <c r="C33" s="456">
        <v>0.7</v>
      </c>
      <c r="D33" s="701" t="s">
        <v>45</v>
      </c>
      <c r="E33" s="701">
        <v>0.7</v>
      </c>
      <c r="F33" s="701" t="s">
        <v>46</v>
      </c>
      <c r="G33" s="701">
        <f>ROUND(C33*E33,2)</f>
        <v>0.49</v>
      </c>
    </row>
    <row r="34" spans="2:7" s="21" customFormat="1" x14ac:dyDescent="0.2"/>
    <row r="35" spans="2:7" s="246" customFormat="1" ht="29.25" customHeight="1" x14ac:dyDescent="0.2">
      <c r="B35" s="764" t="s">
        <v>496</v>
      </c>
      <c r="C35" s="764"/>
      <c r="D35" s="765" t="s">
        <v>1216</v>
      </c>
      <c r="E35" s="702"/>
      <c r="F35" s="702" t="s">
        <v>213</v>
      </c>
    </row>
    <row r="36" spans="2:7" s="21" customFormat="1" ht="21.75" customHeight="1" x14ac:dyDescent="0.2">
      <c r="B36" s="456">
        <f>ROUND(SUM(G32:G33),2)</f>
        <v>1</v>
      </c>
      <c r="C36" s="701" t="s">
        <v>45</v>
      </c>
      <c r="D36" s="696">
        <f>C14</f>
        <v>4</v>
      </c>
      <c r="E36" s="701" t="s">
        <v>46</v>
      </c>
      <c r="F36" s="456">
        <f>ROUND(B36*D36,2)</f>
        <v>4</v>
      </c>
    </row>
    <row r="37" spans="2:7" s="21" customFormat="1" x14ac:dyDescent="0.2"/>
    <row r="38" spans="2:7" s="471" customFormat="1" x14ac:dyDescent="0.2"/>
  </sheetData>
  <mergeCells count="23">
    <mergeCell ref="E6:F6"/>
    <mergeCell ref="G6:J6"/>
    <mergeCell ref="A10:J10"/>
    <mergeCell ref="A7:B7"/>
    <mergeCell ref="C7:D7"/>
    <mergeCell ref="E7:F7"/>
    <mergeCell ref="G7:J7"/>
    <mergeCell ref="B29:J29"/>
    <mergeCell ref="A9:J9"/>
    <mergeCell ref="A1:J2"/>
    <mergeCell ref="A3:B3"/>
    <mergeCell ref="C3:E3"/>
    <mergeCell ref="F3:G3"/>
    <mergeCell ref="H3:J3"/>
    <mergeCell ref="B25:J25"/>
    <mergeCell ref="A4:B4"/>
    <mergeCell ref="C4:J4"/>
    <mergeCell ref="B12:J12"/>
    <mergeCell ref="B16:J16"/>
    <mergeCell ref="A5:B5"/>
    <mergeCell ref="C5:J5"/>
    <mergeCell ref="A6:B6"/>
    <mergeCell ref="C6:D6"/>
  </mergeCells>
  <pageMargins left="0.51181102362204722" right="0.51181102362204722" top="0.78740157480314965" bottom="0.78740157480314965" header="0.31496062992125984" footer="0.31496062992125984"/>
  <pageSetup paperSize="9" scale="7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topLeftCell="A7" zoomScale="110" zoomScaleSheetLayoutView="110" workbookViewId="0">
      <selection activeCell="A11" sqref="A11:J11"/>
    </sheetView>
  </sheetViews>
  <sheetFormatPr defaultRowHeight="12.75" x14ac:dyDescent="0.2"/>
  <cols>
    <col min="2" max="2" width="10.85546875" customWidth="1"/>
    <col min="3" max="3" width="13.5703125" customWidth="1"/>
    <col min="4" max="4" width="11.85546875" customWidth="1"/>
    <col min="5" max="5" width="11.140625" customWidth="1"/>
    <col min="8" max="8" width="12.7109375" customWidth="1"/>
  </cols>
  <sheetData>
    <row r="1" spans="1:11" ht="12.75" customHeight="1" x14ac:dyDescent="0.2">
      <c r="A1" s="1307"/>
      <c r="B1" s="1307"/>
      <c r="C1" s="1307"/>
      <c r="D1" s="1307"/>
      <c r="E1" s="1307"/>
      <c r="F1" s="1307"/>
      <c r="G1" s="1307"/>
      <c r="H1" s="1307"/>
      <c r="I1" s="1307"/>
      <c r="J1" s="1307"/>
      <c r="K1" s="218"/>
    </row>
    <row r="2" spans="1:11" ht="69.95" customHeight="1" x14ac:dyDescent="0.2">
      <c r="A2" s="1365"/>
      <c r="B2" s="1365"/>
      <c r="C2" s="1365"/>
      <c r="D2" s="1365"/>
      <c r="E2" s="1365"/>
      <c r="F2" s="1365"/>
      <c r="G2" s="1365"/>
      <c r="H2" s="1365"/>
      <c r="I2" s="1365"/>
      <c r="J2" s="1365"/>
      <c r="K2" s="218"/>
    </row>
    <row r="3" spans="1:11" x14ac:dyDescent="0.2">
      <c r="A3" s="1316" t="s">
        <v>79</v>
      </c>
      <c r="B3" s="1317"/>
      <c r="C3" s="1913" t="str">
        <f>ORÇ!B2</f>
        <v>PREFEITURA MUNICIPAL DE OURÉM</v>
      </c>
      <c r="D3" s="1914"/>
      <c r="E3" s="1915"/>
      <c r="F3" s="1326" t="s">
        <v>85</v>
      </c>
      <c r="G3" s="1327"/>
      <c r="H3" s="1819" t="str">
        <f>ORÇ!I2</f>
        <v>OURÉM/PA</v>
      </c>
      <c r="I3" s="1820"/>
      <c r="J3" s="1821"/>
    </row>
    <row r="4" spans="1:11" x14ac:dyDescent="0.2">
      <c r="A4" s="1316" t="s">
        <v>80</v>
      </c>
      <c r="B4" s="1317"/>
      <c r="C4" s="1321" t="str">
        <f>ORÇ!B3</f>
        <v>CONSTRUÇÃO DO CENTRO DE FISIOTERAPIA, NO MUNICÍPIO DE OURÉM/PA</v>
      </c>
      <c r="D4" s="1738"/>
      <c r="E4" s="1738"/>
      <c r="F4" s="1738"/>
      <c r="G4" s="1738"/>
      <c r="H4" s="1738"/>
      <c r="I4" s="1738"/>
      <c r="J4" s="1322"/>
    </row>
    <row r="5" spans="1:11" x14ac:dyDescent="0.2">
      <c r="A5" s="1316" t="s">
        <v>161</v>
      </c>
      <c r="B5" s="1317"/>
      <c r="C5" s="1808" t="str">
        <f>ORÇ!B4</f>
        <v>AV. PADRE ANGELO MORETTE, S/Nº - OURÉM/PA</v>
      </c>
      <c r="D5" s="1809"/>
      <c r="E5" s="1809"/>
      <c r="F5" s="1809"/>
      <c r="G5" s="1809"/>
      <c r="H5" s="1809"/>
      <c r="I5" s="1809"/>
      <c r="J5" s="1810"/>
    </row>
    <row r="6" spans="1:11" ht="39" customHeight="1" x14ac:dyDescent="0.2">
      <c r="A6" s="1310" t="s">
        <v>81</v>
      </c>
      <c r="B6" s="1311"/>
      <c r="C6" s="1312">
        <f>ORÇ!B5</f>
        <v>0.2881986483454233</v>
      </c>
      <c r="D6" s="1680"/>
      <c r="E6" s="1342" t="s">
        <v>169</v>
      </c>
      <c r="F6" s="1343"/>
      <c r="G6" s="1882" t="str">
        <f>ORÇ!G5</f>
        <v>SINAPI FEVEREIRO 2022 - DESONERADA                                 SEDOP FEVEREIRO 2022 - DESONERADA</v>
      </c>
      <c r="H6" s="1883"/>
      <c r="I6" s="1883"/>
      <c r="J6" s="1884"/>
    </row>
    <row r="7" spans="1:11" x14ac:dyDescent="0.2">
      <c r="A7" s="1736" t="s">
        <v>82</v>
      </c>
      <c r="B7" s="1736"/>
      <c r="C7" s="1672" t="str">
        <f>ORÇ!B6</f>
        <v>MARUZA BAPTISTA</v>
      </c>
      <c r="D7" s="1673"/>
      <c r="E7" s="1342" t="s">
        <v>170</v>
      </c>
      <c r="F7" s="1343"/>
      <c r="G7" s="1811" t="str">
        <f>ORÇ!G7</f>
        <v>CAU: 28510-2 A</v>
      </c>
      <c r="H7" s="1812"/>
      <c r="I7" s="1812"/>
      <c r="J7" s="1813"/>
    </row>
    <row r="8" spans="1:11" ht="14.25" customHeight="1" thickBot="1" x14ac:dyDescent="0.25">
      <c r="A8" s="284"/>
      <c r="B8" s="284"/>
      <c r="C8" s="285"/>
      <c r="D8" s="285"/>
      <c r="E8" s="282"/>
      <c r="F8" s="282"/>
      <c r="G8" s="282"/>
      <c r="H8" s="282"/>
      <c r="I8" s="282"/>
      <c r="J8" s="282"/>
    </row>
    <row r="9" spans="1:11" ht="15.75" customHeight="1" thickBot="1" x14ac:dyDescent="0.25">
      <c r="A9" s="1674" t="str">
        <f>CONCATENATE("MEMÓRIA DE CÁLCULO ",ORÇ!A601)</f>
        <v>MEMÓRIA DE CÁLCULO 21</v>
      </c>
      <c r="B9" s="1675"/>
      <c r="C9" s="1675"/>
      <c r="D9" s="1675"/>
      <c r="E9" s="1675"/>
      <c r="F9" s="1675"/>
      <c r="G9" s="1675"/>
      <c r="H9" s="1675"/>
      <c r="I9" s="1675"/>
      <c r="J9" s="1676"/>
      <c r="K9" s="67"/>
    </row>
    <row r="10" spans="1:11" ht="12.75" customHeight="1" x14ac:dyDescent="0.2">
      <c r="A10" s="1677" t="str">
        <f>ORÇ!D601</f>
        <v>Serviços Finais</v>
      </c>
      <c r="B10" s="1677"/>
      <c r="C10" s="1677"/>
      <c r="D10" s="1677"/>
      <c r="E10" s="1677"/>
      <c r="F10" s="1677"/>
      <c r="G10" s="1677"/>
      <c r="H10" s="1677"/>
      <c r="I10" s="1677"/>
      <c r="J10" s="1677"/>
      <c r="K10" s="126"/>
    </row>
    <row r="11" spans="1:11" x14ac:dyDescent="0.2">
      <c r="A11" s="226">
        <f>ORÇ!A601</f>
        <v>21</v>
      </c>
      <c r="B11" s="37" t="str">
        <f>ORÇ!D601</f>
        <v>Serviços Finais</v>
      </c>
      <c r="C11" s="36"/>
      <c r="D11" s="35"/>
      <c r="E11" s="35"/>
      <c r="F11" s="35"/>
      <c r="G11" s="35"/>
      <c r="H11" s="35"/>
      <c r="I11" s="35"/>
      <c r="J11" s="35"/>
    </row>
    <row r="12" spans="1:11" s="139" customFormat="1" ht="17.25" customHeight="1" x14ac:dyDescent="0.2">
      <c r="A12" s="337" t="str">
        <f>ORÇ!A602</f>
        <v>21.1</v>
      </c>
      <c r="B12" s="5" t="str">
        <f>ORÇ!D602</f>
        <v>LIMPEZA GERAL E ENTREGA DA OBRA</v>
      </c>
      <c r="C12" s="337"/>
      <c r="D12" s="337"/>
      <c r="E12" s="337"/>
      <c r="F12" s="337"/>
      <c r="G12" s="337"/>
      <c r="H12" s="337"/>
      <c r="I12" s="420"/>
      <c r="J12" s="5"/>
      <c r="K12" s="5"/>
    </row>
    <row r="13" spans="1:11" x14ac:dyDescent="0.2">
      <c r="C13" s="157"/>
      <c r="D13" s="10"/>
      <c r="E13" s="94"/>
      <c r="F13" s="13"/>
      <c r="G13" s="14"/>
      <c r="H13" s="13"/>
      <c r="I13" s="36"/>
      <c r="J13" s="36"/>
      <c r="K13" s="75"/>
    </row>
    <row r="14" spans="1:11" x14ac:dyDescent="0.2">
      <c r="A14" s="37"/>
      <c r="B14" s="773" t="s">
        <v>1217</v>
      </c>
      <c r="C14" s="773" t="s">
        <v>496</v>
      </c>
      <c r="D14" s="243"/>
      <c r="E14" s="99"/>
      <c r="F14" s="36"/>
      <c r="G14" s="36"/>
    </row>
    <row r="15" spans="1:11" ht="25.5" x14ac:dyDescent="0.2">
      <c r="A15" s="37"/>
      <c r="B15" s="84" t="s">
        <v>1218</v>
      </c>
      <c r="C15" s="845">
        <f>'10.PAV.'!C73</f>
        <v>439.61</v>
      </c>
      <c r="D15" s="243"/>
      <c r="E15" s="36"/>
      <c r="F15" s="36"/>
      <c r="G15" s="36"/>
    </row>
    <row r="16" spans="1:11" ht="25.5" x14ac:dyDescent="0.2">
      <c r="B16" s="84" t="s">
        <v>1219</v>
      </c>
      <c r="C16" s="845">
        <f>'10.PAV.'!C205</f>
        <v>108.21</v>
      </c>
    </row>
    <row r="18" spans="2:3" s="139" customFormat="1" ht="17.25" customHeight="1" x14ac:dyDescent="0.2">
      <c r="B18" s="766" t="s">
        <v>213</v>
      </c>
      <c r="C18" s="767">
        <f>ROUND(SUM(C15:C16),2)</f>
        <v>547.82000000000005</v>
      </c>
    </row>
  </sheetData>
  <mergeCells count="19">
    <mergeCell ref="A1:J2"/>
    <mergeCell ref="A10:J10"/>
    <mergeCell ref="A9:J9"/>
    <mergeCell ref="A3:B3"/>
    <mergeCell ref="C3:E3"/>
    <mergeCell ref="F3:G3"/>
    <mergeCell ref="H3:J3"/>
    <mergeCell ref="A4:B4"/>
    <mergeCell ref="C4:J4"/>
    <mergeCell ref="A5:B5"/>
    <mergeCell ref="C5:J5"/>
    <mergeCell ref="A6:B6"/>
    <mergeCell ref="C6:D6"/>
    <mergeCell ref="E6:F6"/>
    <mergeCell ref="G6:J6"/>
    <mergeCell ref="A7:B7"/>
    <mergeCell ref="C7:D7"/>
    <mergeCell ref="E7:F7"/>
    <mergeCell ref="G7:J7"/>
  </mergeCells>
  <pageMargins left="0.51181102362204722" right="0.51181102362204722" top="0.78740157480314965" bottom="0.78740157480314965"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36</vt:i4>
      </vt:variant>
    </vt:vector>
  </HeadingPairs>
  <TitlesOfParts>
    <vt:vector size="63" baseType="lpstr">
      <vt:lpstr>BDI</vt:lpstr>
      <vt:lpstr>ENC.SOC.</vt:lpstr>
      <vt:lpstr>CFF</vt:lpstr>
      <vt:lpstr>COTAÇÃO</vt:lpstr>
      <vt:lpstr>ORÇ</vt:lpstr>
      <vt:lpstr>COMPOSIÇÕES</vt:lpstr>
      <vt:lpstr>1.ADM</vt:lpstr>
      <vt:lpstr>2.SER.PRE</vt:lpstr>
      <vt:lpstr>3.M.TER.</vt:lpstr>
      <vt:lpstr>4.FUND.</vt:lpstr>
      <vt:lpstr>5.SUP.</vt:lpstr>
      <vt:lpstr>6.COB.</vt:lpstr>
      <vt:lpstr>7.ALVE.</vt:lpstr>
      <vt:lpstr>8.REV.</vt:lpstr>
      <vt:lpstr>9.ESQ.</vt:lpstr>
      <vt:lpstr>10.PAV.</vt:lpstr>
      <vt:lpstr>11.PINT</vt:lpstr>
      <vt:lpstr>12.ELE.</vt:lpstr>
      <vt:lpstr>13.HIDRO</vt:lpstr>
      <vt:lpstr>14.ACESS.</vt:lpstr>
      <vt:lpstr>15.SAUNA</vt:lpstr>
      <vt:lpstr>16.MURO</vt:lpstr>
      <vt:lpstr>17.PLAY</vt:lpstr>
      <vt:lpstr>18.PISC</vt:lpstr>
      <vt:lpstr>19.FACH</vt:lpstr>
      <vt:lpstr>20. C. INCEN</vt:lpstr>
      <vt:lpstr>21.S. FINAIS</vt:lpstr>
      <vt:lpstr>CFF!Area_de_impressao</vt:lpstr>
      <vt:lpstr>'1.ADM'!Print_Area</vt:lpstr>
      <vt:lpstr>'10.PAV.'!Print_Area</vt:lpstr>
      <vt:lpstr>'11.PINT'!Print_Area</vt:lpstr>
      <vt:lpstr>'12.ELE.'!Print_Area</vt:lpstr>
      <vt:lpstr>'13.HIDRO'!Print_Area</vt:lpstr>
      <vt:lpstr>'14.ACESS.'!Print_Area</vt:lpstr>
      <vt:lpstr>'15.SAUNA'!Print_Area</vt:lpstr>
      <vt:lpstr>'16.MURO'!Print_Area</vt:lpstr>
      <vt:lpstr>'17.PLAY'!Print_Area</vt:lpstr>
      <vt:lpstr>'18.PISC'!Print_Area</vt:lpstr>
      <vt:lpstr>'19.FACH'!Print_Area</vt:lpstr>
      <vt:lpstr>'2.SER.PRE'!Print_Area</vt:lpstr>
      <vt:lpstr>'20. C. INCEN'!Print_Area</vt:lpstr>
      <vt:lpstr>'21.S. FINAIS'!Print_Area</vt:lpstr>
      <vt:lpstr>'3.M.TER.'!Print_Area</vt:lpstr>
      <vt:lpstr>'4.FUND.'!Print_Area</vt:lpstr>
      <vt:lpstr>'5.SUP.'!Print_Area</vt:lpstr>
      <vt:lpstr>'6.COB.'!Print_Area</vt:lpstr>
      <vt:lpstr>'7.ALVE.'!Print_Area</vt:lpstr>
      <vt:lpstr>'8.REV.'!Print_Area</vt:lpstr>
      <vt:lpstr>'9.ESQ.'!Print_Area</vt:lpstr>
      <vt:lpstr>BDI!Print_Area</vt:lpstr>
      <vt:lpstr>CFF!Print_Area</vt:lpstr>
      <vt:lpstr>COMPOSIÇÕES!Print_Area</vt:lpstr>
      <vt:lpstr>COTAÇÃO!Print_Area</vt:lpstr>
      <vt:lpstr>ENC.SOC.!Print_Area</vt:lpstr>
      <vt:lpstr>ORÇ!Print_Area</vt:lpstr>
      <vt:lpstr>'10.PAV.'!Print_Titles</vt:lpstr>
      <vt:lpstr>'11.PINT'!Print_Titles</vt:lpstr>
      <vt:lpstr>'3.M.TER.'!Print_Titles</vt:lpstr>
      <vt:lpstr>'6.COB.'!Print_Titles</vt:lpstr>
      <vt:lpstr>'7.ALVE.'!Print_Titles</vt:lpstr>
      <vt:lpstr>'9.ESQ.'!Print_Titles</vt:lpstr>
      <vt:lpstr>BDI!Print_Titles</vt:lpstr>
      <vt:lpstr>ORÇ!Print_Titles</vt:lpstr>
    </vt:vector>
  </TitlesOfParts>
  <Company>FNDE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BAPTISTA</cp:lastModifiedBy>
  <cp:lastPrinted>2022-02-24T21:07:50Z</cp:lastPrinted>
  <dcterms:created xsi:type="dcterms:W3CDTF">2009-07-02T17:29:30Z</dcterms:created>
  <dcterms:modified xsi:type="dcterms:W3CDTF">2022-06-13T13:23:57Z</dcterms:modified>
</cp:coreProperties>
</file>